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host.lan\Data\"/>
    </mc:Choice>
  </mc:AlternateContent>
  <workbookProtection workbookAlgorithmName="SHA-512" workbookHashValue="vEtgEHdHhJTTvkeOpeAGl/NqPaJkgZBg3K57/5Vo11SfO8bX/nmwMK8OHsxabkFUZXHjYOJzAxWYke+FBqcgxQ==" workbookSaltValue="8E337p0rAI6k5AmdxQLHDg==" workbookSpinCount="100000" lockStructure="1"/>
  <bookViews>
    <workbookView xWindow="-120" yWindow="-120" windowWidth="29040" windowHeight="17520" tabRatio="565"/>
  </bookViews>
  <sheets>
    <sheet name="Design Converter" sheetId="1" r:id="rId1"/>
    <sheet name="BOM &amp; Schematic" sheetId="16" r:id="rId2"/>
    <sheet name="Licenses" sheetId="23" r:id="rId3"/>
    <sheet name="EVMs" sheetId="14" state="hidden" r:id="rId4"/>
    <sheet name="Variable Management" sheetId="2" state="hidden" r:id="rId5"/>
    <sheet name="Schematic Management" sheetId="22" state="hidden" r:id="rId6"/>
    <sheet name="Efficiency Plot Management" sheetId="19" state="hidden" r:id="rId7"/>
    <sheet name="Efficiency vs VIN Calculations" sheetId="20" state="hidden" r:id="rId8"/>
    <sheet name="Efficiency vs Load Calculations" sheetId="21" state="hidden" r:id="rId9"/>
    <sheet name="Stability Calculations" sheetId="17" state="hidden" r:id="rId10"/>
    <sheet name="Standard Value Calculator" sheetId="8" state="hidden" r:id="rId11"/>
    <sheet name="Snubber" sheetId="11" state="hidden" r:id="rId12"/>
    <sheet name="Parallel Output Caps" sheetId="6" state="hidden" r:id="rId13"/>
  </sheets>
  <externalReferences>
    <externalReference r:id="rId14"/>
  </externalReferences>
  <definedNames>
    <definedName name="_Don1" localSheetId="2">'[1]Variable Management'!$B$48</definedName>
    <definedName name="_Don1">'Variable Management'!$B$48</definedName>
    <definedName name="_Don2" localSheetId="2">'[1]Variable Management'!$B$69</definedName>
    <definedName name="_Don2">'Variable Management'!$B$69</definedName>
    <definedName name="Acs" localSheetId="2">'[1]Variable Management'!$B$294</definedName>
    <definedName name="Acs">'Variable Management'!$B$294</definedName>
    <definedName name="Adc" localSheetId="2">'[1]Stability Calculations'!$Q$3</definedName>
    <definedName name="Adc">'Stability Calculations'!$Q$3</definedName>
    <definedName name="AEA" localSheetId="2">'[1]Variable Management'!$B$292</definedName>
    <definedName name="AEA">'Variable Management'!$B$292</definedName>
    <definedName name="Afb" localSheetId="2">'[1]Variable Management'!$B$293</definedName>
    <definedName name="Afb">'Variable Management'!$B$293</definedName>
    <definedName name="Am" localSheetId="2">'[1]Variable Management'!$B$297</definedName>
    <definedName name="Am">'Variable Management'!$B$297</definedName>
    <definedName name="Am_boost" localSheetId="2">'[1]Variable Management'!$B$296</definedName>
    <definedName name="Am_boost">'Variable Management'!$B$296</definedName>
    <definedName name="Am_buck" localSheetId="2">'[1]Variable Management'!$B$295</definedName>
    <definedName name="Am_buck">'Variable Management'!$B$295</definedName>
    <definedName name="Boost_CS_Threshold" localSheetId="2">'[1]Variable Management'!$B$112</definedName>
    <definedName name="Boost_CS_Threshold">'Variable Management'!$B$112</definedName>
    <definedName name="Boost_CS_Threshold_max">'Variable Management'!$B$113</definedName>
    <definedName name="Boost_CS_Threshold_min">'Variable Management'!$B$111</definedName>
    <definedName name="Buck_CS_threshold" localSheetId="2">'[1]Variable Management'!$B$108</definedName>
    <definedName name="Buck_CS_threshold">'Variable Management'!$B$108</definedName>
    <definedName name="Buck_CS_threshold_max">'Variable Management'!$B$109</definedName>
    <definedName name="Buck_CS_threshold_min">'Variable Management'!$B$107</definedName>
    <definedName name="Cb">'Variable Management'!$B$233</definedName>
    <definedName name="Cbw" localSheetId="2">'[1]Variable Management'!$B$288</definedName>
    <definedName name="Cbw">'Variable Management'!$B$288</definedName>
    <definedName name="Cby">'Variable Management'!$B$232</definedName>
    <definedName name="Cc1ea" localSheetId="2">'[1]Variable Management'!$B$319</definedName>
    <definedName name="Cc1ea">'Variable Management'!$B$318</definedName>
    <definedName name="Cc1ea_u" localSheetId="2">'[1]Variable Management'!$B$324</definedName>
    <definedName name="Cc1ea_u">'Variable Management'!$B$323</definedName>
    <definedName name="Cc2ea" localSheetId="2">'[1]Variable Management'!$B$320</definedName>
    <definedName name="Cc2ea">'Variable Management'!$B$319</definedName>
    <definedName name="Cc2ea_u" localSheetId="2">'[1]Variable Management'!$B$325</definedName>
    <definedName name="Cc2ea_u">'Variable Management'!$B$324</definedName>
    <definedName name="Cdither" localSheetId="2">'[1]Variable Management'!$B$232</definedName>
    <definedName name="Cdither">'Variable Management'!$B$232</definedName>
    <definedName name="CFG">'[1]Variable Management'!$O$10</definedName>
    <definedName name="Cin" localSheetId="2">'[1]Variable Management'!$B$189</definedName>
    <definedName name="Cin">'Variable Management'!$B$189</definedName>
    <definedName name="CinEsrMax" localSheetId="2">'[1]Variable Management'!$B$192</definedName>
    <definedName name="CinEsrMax">'Variable Management'!$B$192</definedName>
    <definedName name="Cinmin" localSheetId="2">'[1]Variable Management'!$B$187</definedName>
    <definedName name="Cinmin">'Variable Management'!$B$187</definedName>
    <definedName name="Constant_Current_Loop_Setpoint" localSheetId="2">'[1]Variable Management'!$B$154</definedName>
    <definedName name="Constant_Current_Loop_Setpoint">'Variable Management'!$B$154</definedName>
    <definedName name="Cout" localSheetId="2">'[1]Variable Management'!$B$169</definedName>
    <definedName name="Cout">'Variable Management'!$B$169</definedName>
    <definedName name="CoutEsr" localSheetId="2">'[1]Variable Management'!$B$173</definedName>
    <definedName name="CoutEsr">'Variable Management'!$B$173</definedName>
    <definedName name="CoutEsrMax" localSheetId="2">'[1]Variable Management'!$B$170</definedName>
    <definedName name="CoutEsrMax">'Variable Management'!$B$170</definedName>
    <definedName name="Coutmin" localSheetId="2">'[1]Variable Management'!$B$167</definedName>
    <definedName name="Coutmin">'Variable Management'!$B$167</definedName>
    <definedName name="CSAmp_gain" localSheetId="2">'[1]Variable Management'!$B$237</definedName>
    <definedName name="CSAmp_gain">'Variable Management'!$B$237</definedName>
    <definedName name="Csb" localSheetId="2">'[1]Variable Management'!$B$230</definedName>
    <definedName name="Csb">'Variable Management'!$B$230</definedName>
    <definedName name="Csby" localSheetId="2">'[1]Variable Management'!$B$231</definedName>
    <definedName name="Csby">'Variable Management'!$B$231</definedName>
    <definedName name="Csideal">'Variable Management'!$B$139</definedName>
    <definedName name="Cslope" localSheetId="2">'[1]Variable Management'!$B$240</definedName>
    <definedName name="Cslope">'Variable Management'!$B$141</definedName>
    <definedName name="Cslope_ideal">'Variable Management'!$B$139</definedName>
    <definedName name="Css" localSheetId="2">'[1]Variable Management'!$B$205</definedName>
    <definedName name="Css">'Variable Management'!$B$205</definedName>
    <definedName name="Css_u" localSheetId="2">'[1]Variable Management'!$B$206</definedName>
    <definedName name="Css_u">'Variable Management'!$B$206</definedName>
    <definedName name="D_max_buck_BB" localSheetId="2">'[1]Variable Management'!$B$34</definedName>
    <definedName name="D_max_buck_BB">'Variable Management'!$B$34</definedName>
    <definedName name="D_max_buck_enterBB">'Variable Management'!$B$38</definedName>
    <definedName name="D_max_exitBB_to_buck" localSheetId="2">'[1]Variable Management'!$B$37</definedName>
    <definedName name="D_max_exitBB_to_buck">'Variable Management'!$B$37</definedName>
    <definedName name="D_min_boost">'Variable Management'!$B$32</definedName>
    <definedName name="D_min_boost_exitBB_to_buck" localSheetId="2">'[1]Variable Management'!$B$36</definedName>
    <definedName name="D_min_boost_exitBB_to_buck">'Variable Management'!$B$36</definedName>
    <definedName name="Deadtime" localSheetId="2">'[1]Variable Management'!$B$362</definedName>
    <definedName name="Deadtime">'Variable Management'!$B$361</definedName>
    <definedName name="DITHER" localSheetId="2">'[1]Variable Management'!$O$10</definedName>
    <definedName name="DITHER">'Variable Management'!$O$10</definedName>
    <definedName name="Doff1">'Variable Management'!$B$49</definedName>
    <definedName name="Doff2" localSheetId="2">'[1]Variable Management'!$B$70</definedName>
    <definedName name="Doff2">'Variable Management'!$B$70</definedName>
    <definedName name="Don_buckboost" localSheetId="2">'[1]Variable Management'!$B$54</definedName>
    <definedName name="Don_buckboost">'Variable Management'!$B$54</definedName>
    <definedName name="Don_Vinmax" localSheetId="2">'[1]Variable Management'!$B$53</definedName>
    <definedName name="Don_Vinmax">'Variable Management'!$B$53</definedName>
    <definedName name="Don_Vinmax_2" localSheetId="2">'[1]Variable Management'!$B$74</definedName>
    <definedName name="Don_Vinmax_2">'Variable Management'!$B$74</definedName>
    <definedName name="Don_Vinmin" localSheetId="2">'[1]Variable Management'!$B$51</definedName>
    <definedName name="Don_Vinmin">'Variable Management'!$B$51</definedName>
    <definedName name="Don_Vinmin_2" localSheetId="2">'[1]Variable Management'!$B$72</definedName>
    <definedName name="Don_Vinmin_2">'Variable Management'!$B$72</definedName>
    <definedName name="Don_Vinnom" localSheetId="2">'[1]Variable Management'!$B$52</definedName>
    <definedName name="Don_Vinnom">'Variable Management'!$B$52</definedName>
    <definedName name="Don_Vinnom_2" localSheetId="2">'[1]Variable Management'!$B$73</definedName>
    <definedName name="Don_Vinnom_2">'Variable Management'!$B$73</definedName>
    <definedName name="EFF_IOUT">'Efficiency Plot Management'!$B$5</definedName>
    <definedName name="EFF_VIN">'Efficiency Plot Management'!$B$7</definedName>
    <definedName name="Efficiency" localSheetId="2">'[1]Variable Management'!$B$16</definedName>
    <definedName name="Efficiency">'Variable Management'!$B$16</definedName>
    <definedName name="Fcross" localSheetId="2">'[1]Variable Management'!$B$317</definedName>
    <definedName name="Fcross">'Variable Management'!$B$316</definedName>
    <definedName name="Fdither">'Variable Management'!$B$230</definedName>
    <definedName name="Fesr" localSheetId="2">'[1]Variable Management'!$B$312</definedName>
    <definedName name="Fesr">'Variable Management'!$B$312</definedName>
    <definedName name="Fload_boost">'[1]Variable Management'!$B$307</definedName>
    <definedName name="Fload_buck">'[1]Variable Management'!$B$306</definedName>
    <definedName name="Fload_u">'Variable Management'!$B$306</definedName>
    <definedName name="Fp_dominant" localSheetId="2">'[1]Variable Management'!$B$308</definedName>
    <definedName name="Fp_dominant">'Variable Management'!$B$308</definedName>
    <definedName name="Fp1_u" localSheetId="2">'[1]Variable Management'!$B$310</definedName>
    <definedName name="Fp1_u">'Variable Management'!$B$310</definedName>
    <definedName name="Fp2_u" localSheetId="2">'[1]Variable Management'!$B$311</definedName>
    <definedName name="Fp2_u">'Variable Management'!$B$311</definedName>
    <definedName name="Frhp" localSheetId="2">'[1]Variable Management'!$B$313</definedName>
    <definedName name="Frhp">'Variable Management'!$B$313</definedName>
    <definedName name="Frhp_Vinmin">'[1]Variable Management'!$B$314</definedName>
    <definedName name="Fsw" localSheetId="2">'[1]Variable Management'!$B$22</definedName>
    <definedName name="Fsw">'Variable Management'!$B$22</definedName>
    <definedName name="Fz1_u" localSheetId="2">'[1]Variable Management'!$B$330</definedName>
    <definedName name="Fz1_u">'Variable Management'!$B$329</definedName>
    <definedName name="GBW" localSheetId="2">'[1]Variable Management'!$B$287</definedName>
    <definedName name="GBW">'Variable Management'!$B$287</definedName>
    <definedName name="GdrvDelay">[1]Timings!$B$2</definedName>
    <definedName name="Gfs_Q1" localSheetId="2">'[1]Variable Management'!$B$373</definedName>
    <definedName name="Gfs_Q1">'Variable Management'!$B$372</definedName>
    <definedName name="Gfs_Q2" localSheetId="2">'[1]Variable Management'!$D$373</definedName>
    <definedName name="Gfs_Q2">'Variable Management'!$D$372</definedName>
    <definedName name="Gfs_Q3" localSheetId="2">'[1]Variable Management'!$B$390</definedName>
    <definedName name="Gfs_Q3">'Variable Management'!$B$389</definedName>
    <definedName name="Gfs_Q4" localSheetId="2">'[1]Variable Management'!$D$390</definedName>
    <definedName name="Gfs_Q4">'Variable Management'!$D$389</definedName>
    <definedName name="gm" localSheetId="2">'[1]Variable Management'!$B$239</definedName>
    <definedName name="gm">'Variable Management'!$B$239</definedName>
    <definedName name="gm_slopecomp" localSheetId="2">'[1]Variable Management'!$B$241</definedName>
    <definedName name="gm_slopecomp">'Variable Management'!$B$241</definedName>
    <definedName name="I_T12_FSW">[1]Timings!$B$17</definedName>
    <definedName name="I_T12_max">[1]Timings!$B$12</definedName>
    <definedName name="I_T23_FSW">[1]Timings!$B$18</definedName>
    <definedName name="I_T23_max">[1]Timings!$B$13</definedName>
    <definedName name="Iconst">[1]Timings!$B$9</definedName>
    <definedName name="Icoutrms">'Variable Management'!$B$160</definedName>
    <definedName name="Ifsw_2M">[1]Timings!$B$8</definedName>
    <definedName name="Iin_Vinmax" localSheetId="2">'[1]Variable Management'!$B$20</definedName>
    <definedName name="Iin_Vinmax">'Variable Management'!$B$20</definedName>
    <definedName name="Iin_Vinmin" localSheetId="2">'[1]Variable Management'!$B$18</definedName>
    <definedName name="Iin_Vinmin">'Variable Management'!$B$18</definedName>
    <definedName name="Iin_Vinnom" localSheetId="2">'[1]Variable Management'!$B$19</definedName>
    <definedName name="Iin_Vinnom">'Variable Management'!$B$19</definedName>
    <definedName name="IL_peak_OCP" localSheetId="2">'[1]Variable Management'!$B$137</definedName>
    <definedName name="IL_peak_OCP">'Variable Management'!$B$137</definedName>
    <definedName name="IlDir">[1]Timings!$B$6</definedName>
    <definedName name="Ilimit_DC" localSheetId="2">'[1]Variable Management'!$B$100</definedName>
    <definedName name="Ilimit_DC">'Variable Management'!$B$100</definedName>
    <definedName name="IlNeg">[1]Timings!$B$5</definedName>
    <definedName name="ILpeak_OCP_Vinmax">'Variable Management'!$B$134</definedName>
    <definedName name="ILpeak_OCP_Vinmin">'Variable Management'!$B$132</definedName>
    <definedName name="ILpeak_OCP_Vinnom">'Variable Management'!$B$133</definedName>
    <definedName name="IlPos">[1]Timings!$B$4</definedName>
    <definedName name="Iout" localSheetId="2">'[1]Variable Management'!$B$13</definedName>
    <definedName name="Iout">'Variable Management'!$B$13</definedName>
    <definedName name="Iout_OCP_Vinmax" localSheetId="2">'[1]Variable Management'!$B$129</definedName>
    <definedName name="Iout_OCP_Vinmax">'Variable Management'!$B$129</definedName>
    <definedName name="Iout_OCP_Vinmin" localSheetId="2">'[1]Variable Management'!$B$127</definedName>
    <definedName name="Iout_OCP_Vinmin">'Variable Management'!$B$127</definedName>
    <definedName name="Iout_OCP_Vinnom" localSheetId="2">'[1]Variable Management'!$B$128</definedName>
    <definedName name="Iout_OCP_Vinnom">'Variable Management'!$B$128</definedName>
    <definedName name="Iout_threshold" localSheetId="2">'[1]Variable Management'!$B$155</definedName>
    <definedName name="Iout_threshold">'Variable Management'!$B$155</definedName>
    <definedName name="Iq" localSheetId="2">'[1]Variable Management'!$B$364</definedName>
    <definedName name="Iq">'Variable Management'!$B$363</definedName>
    <definedName name="Ireverse" localSheetId="2">'[1]Variable Management'!$B$402</definedName>
    <definedName name="Ireverse">'Variable Management'!$B$401</definedName>
    <definedName name="Iripple_edgebuckboost" localSheetId="2">'[1]Variable Management'!$B$81</definedName>
    <definedName name="Iripple_edgebuckboost">'Variable Management'!$B$81</definedName>
    <definedName name="Iripple_Vinmax" localSheetId="2">'[1]Variable Management'!$B$80</definedName>
    <definedName name="Iripple_Vinmax">'Variable Management'!$B$80</definedName>
    <definedName name="Iripple_Vinmin" localSheetId="2">'[1]Variable Management'!$B$78</definedName>
    <definedName name="Iripple_Vinmin">'Variable Management'!$B$78</definedName>
    <definedName name="Iripple_Vinnom" localSheetId="2">'[1]Variable Management'!$B$79</definedName>
    <definedName name="Iripple_Vinnom">'Variable Management'!$B$79</definedName>
    <definedName name="Isc_const" localSheetId="2">'[1]Variable Management'!$B$242</definedName>
    <definedName name="Isc_const">'Variable Management'!$B$242</definedName>
    <definedName name="Islope_fixed" localSheetId="2">'[1]Variable Management'!$B$143</definedName>
    <definedName name="Islope_fixed">'Variable Management'!$B$143</definedName>
    <definedName name="Iss" localSheetId="2">'[1]Variable Management'!$B$204</definedName>
    <definedName name="Iss">'Variable Management'!$B$204</definedName>
    <definedName name="Iuvlo_hys">'Variable Management'!$B$223</definedName>
    <definedName name="Iuvlo1" localSheetId="2">'[1]Variable Management'!$B$221</definedName>
    <definedName name="Iuvlo1">'Variable Management'!$B$221</definedName>
    <definedName name="Iuvlo2" localSheetId="2">'[1]Variable Management'!$B$222</definedName>
    <definedName name="Iuvlo2">'Variable Management'!$B$222</definedName>
    <definedName name="k" localSheetId="2">'[1]Variable Management'!$B$279</definedName>
    <definedName name="k">'Variable Management'!$B$279</definedName>
    <definedName name="K_1" localSheetId="2">'[1]Variable Management'!$B$283</definedName>
    <definedName name="K_1">'Variable Management'!$B$283</definedName>
    <definedName name="k_boost" localSheetId="2">'[1]Variable Management'!$B$276</definedName>
    <definedName name="k_boost">'Variable Management'!$B$276</definedName>
    <definedName name="k_buck" localSheetId="2">'[1]Variable Management'!$B$274</definedName>
    <definedName name="k_buck">'Variable Management'!$B$274</definedName>
    <definedName name="K_SL" localSheetId="2">'[1]Variable Management'!$B$251</definedName>
    <definedName name="K_SL">'Variable Management'!$B$251</definedName>
    <definedName name="KD">'Variable Management'!$B$284</definedName>
    <definedName name="Kgain_12">[1]Timings!$B$14</definedName>
    <definedName name="KM" localSheetId="2">'[1]Variable Management'!$B$282</definedName>
    <definedName name="KM">'Variable Management'!$B$282</definedName>
    <definedName name="Kratio_23">[1]Timings!$B$15</definedName>
    <definedName name="Lf" localSheetId="2">'[1]Variable Management'!$B$66</definedName>
    <definedName name="Lf">'Variable Management'!$B$66</definedName>
    <definedName name="Lopt" localSheetId="2">'[1]Variable Management'!$B$64</definedName>
    <definedName name="Lopt">'Variable Management'!$B$64</definedName>
    <definedName name="Ltc" localSheetId="2">'[1]Variable Management'!$B$350</definedName>
    <definedName name="Ltc">'Variable Management'!$B$349</definedName>
    <definedName name="MaxTlRise">[1]Timings!$B$41</definedName>
    <definedName name="MaxToffBoost">[1]Timings!$B$35</definedName>
    <definedName name="MaxTonBoost">[1]Timings!$B$34</definedName>
    <definedName name="MaxTonBuck">[1]Timings!$B$30</definedName>
    <definedName name="mc" localSheetId="2">'[1]Variable Management'!$B$278</definedName>
    <definedName name="mc">'Variable Management'!$B$278</definedName>
    <definedName name="mc_boost" localSheetId="2">'[1]Variable Management'!$B$275</definedName>
    <definedName name="mc_boost">'Variable Management'!$B$275</definedName>
    <definedName name="mc_buck" localSheetId="2">'[1]Variable Management'!$B$273</definedName>
    <definedName name="mc_buck">'Variable Management'!$B$273</definedName>
    <definedName name="MinT1FallCtrl">[1]Timings!$B$25</definedName>
    <definedName name="MinT1RiseCtrl">[1]Timings!$B$26</definedName>
    <definedName name="MinTlFall">[1]Timings!$B$37</definedName>
    <definedName name="MinTlRise">[1]Timings!$B$36</definedName>
    <definedName name="MinToffBoost">[1]Timings!$B$33</definedName>
    <definedName name="MinToffBuck">[1]Timings!$B$29</definedName>
    <definedName name="MinTonBoost">[1]Timings!$B$32</definedName>
    <definedName name="MinTonBuck">[1]Timings!$B$28</definedName>
    <definedName name="Pi" localSheetId="2">'[1]Variable Management'!$B$236</definedName>
    <definedName name="Pi">'Variable Management'!$B$236</definedName>
    <definedName name="PICTURE" localSheetId="2">INDIRECT('[1]Efficiency Plot Management'!$A$2)</definedName>
    <definedName name="PICTURE">INDIRECT('Efficiency Plot Management'!$A$2)</definedName>
    <definedName name="PICTURE2" localSheetId="0">INDIRECT('Schematic Management'!$A$2)</definedName>
    <definedName name="PICTURE2" localSheetId="5">INDIRECT('Schematic Management'!$A$2)</definedName>
    <definedName name="PICTURE2">INDIRECT('[1]Schematic Management'!$A$2)</definedName>
    <definedName name="Pin" localSheetId="2">'[1]Variable Management'!$B$17</definedName>
    <definedName name="Pin">'Variable Management'!$B$17</definedName>
    <definedName name="PLOT_TYPE" localSheetId="2">'[1]Variable Management'!$L$10</definedName>
    <definedName name="PLOT_TYPE">'Variable Management'!$L$10</definedName>
    <definedName name="pole1" localSheetId="2">'[1]Stability Calculations'!$K$4</definedName>
    <definedName name="pole1">'Stability Calculations'!$K$4</definedName>
    <definedName name="Pole2" localSheetId="2">'[1]Stability Calculations'!$C$5</definedName>
    <definedName name="Pole2">'Stability Calculations'!$C$5</definedName>
    <definedName name="pole3" localSheetId="2">'[1]Stability Calculations'!$N$3</definedName>
    <definedName name="pole3">'Stability Calculations'!$N$3</definedName>
    <definedName name="pole4" localSheetId="2">'[1]Stability Calculations'!$C$7</definedName>
    <definedName name="pole4">'Stability Calculations'!$C$7</definedName>
    <definedName name="Pout" localSheetId="2">'[1]Variable Management'!$B$15</definedName>
    <definedName name="Pout">'Variable Management'!$B$15</definedName>
    <definedName name="_xlnm.Print_Area" localSheetId="1">'BOM &amp; Schematic'!$A$1:$J$81</definedName>
    <definedName name="_xlnm.Print_Area" localSheetId="0">'Design Converter'!$A$1:$Q$114</definedName>
    <definedName name="pterm1" localSheetId="2">'[1]Stability Calculations'!$N$4</definedName>
    <definedName name="pterm1">'Stability Calculations'!$N$4</definedName>
    <definedName name="pterm2" localSheetId="2">'[1]Stability Calculations'!$N$5</definedName>
    <definedName name="pterm2">'Stability Calculations'!$N$5</definedName>
    <definedName name="Q" localSheetId="2">'[1]Variable Management'!$B$280</definedName>
    <definedName name="Q">'Variable Management'!$B$280</definedName>
    <definedName name="Qg_Q1" localSheetId="2">'[1]Variable Management'!$B$369</definedName>
    <definedName name="Qg_Q1">'Variable Management'!$B$368</definedName>
    <definedName name="Qg_Q2" localSheetId="2">'[1]Variable Management'!$D$369</definedName>
    <definedName name="Qg_Q2">'Variable Management'!$D$368</definedName>
    <definedName name="Qg_Q3" localSheetId="2">'[1]Variable Management'!$B$386</definedName>
    <definedName name="Qg_Q3">'Variable Management'!$B$385</definedName>
    <definedName name="Qg_Q4" localSheetId="2">'[1]Variable Management'!$D$386</definedName>
    <definedName name="Qg_Q4">'Variable Management'!$D$385</definedName>
    <definedName name="Qgd_Q1" localSheetId="2">'[1]Variable Management'!$B$370</definedName>
    <definedName name="Qgd_Q1">'Variable Management'!$B$369</definedName>
    <definedName name="Qgd_Q2">'Variable Management'!$D$369</definedName>
    <definedName name="Qgd_Q3">'Variable Management'!$B$386</definedName>
    <definedName name="Qgd_Q4" localSheetId="2">'[1]Variable Management'!$D$387</definedName>
    <definedName name="Qgd_Q4">'Variable Management'!$D$386</definedName>
    <definedName name="Qgs_Q1" localSheetId="2">'[1]Variable Management'!$B$371</definedName>
    <definedName name="Qgs_Q1">'Variable Management'!$B$370</definedName>
    <definedName name="Qgs_Q2">'Variable Management'!$D$370</definedName>
    <definedName name="Qgs_Q3">'Variable Management'!$B$387</definedName>
    <definedName name="Qgs_Q4" localSheetId="2">'[1]Variable Management'!$D$388</definedName>
    <definedName name="Qgs_Q4">'Variable Management'!$D$387</definedName>
    <definedName name="Qrr_Q1">'Variable Management'!$B$377</definedName>
    <definedName name="Qrr_Q2" localSheetId="2">'[1]Variable Management'!$D$378</definedName>
    <definedName name="Qrr_Q2">'Variable Management'!$D$377</definedName>
    <definedName name="Qrr_Q3" localSheetId="2">'[1]Variable Management'!$B$395</definedName>
    <definedName name="Qrr_Q3">'Variable Management'!$B$394</definedName>
    <definedName name="Qrr_Q4">'Variable Management'!$D$394</definedName>
    <definedName name="QrrSky_Q2" localSheetId="2">'[1]Variable Management'!$B$401</definedName>
    <definedName name="QrrSky_Q2">'Variable Management'!$B$400</definedName>
    <definedName name="QrrSky_Q3" localSheetId="2">'[1]Variable Management'!$D$401</definedName>
    <definedName name="QrrSky_Q3">'Variable Management'!$D$400</definedName>
    <definedName name="radconv" localSheetId="2">'[1]Stability Calculations'!$Q$6</definedName>
    <definedName name="radconv">'Stability Calculations'!$Q$6</definedName>
    <definedName name="Rcea1" localSheetId="2">'[1]Variable Management'!$B$318</definedName>
    <definedName name="Rcea1">'Variable Management'!$B$317</definedName>
    <definedName name="Rcea1_u" localSheetId="2">'[1]Variable Management'!$B$323</definedName>
    <definedName name="Rcea1_u">'Variable Management'!$B$322</definedName>
    <definedName name="RCinEsr" localSheetId="2">'[1]Variable Management'!$B$194</definedName>
    <definedName name="RCinEsr">'Variable Management'!$B$194</definedName>
    <definedName name="RCoutEsr" localSheetId="2">'[1]Variable Management'!$B$173</definedName>
    <definedName name="RCoutEsr">'Variable Management'!$B$173</definedName>
    <definedName name="Rdcr" localSheetId="2">'[1]Variable Management'!$B$67</definedName>
    <definedName name="Rdcr">'Variable Management'!$B$67</definedName>
    <definedName name="Rdson1" localSheetId="2">'[1]Variable Management'!$B$367</definedName>
    <definedName name="Rdson1">'Variable Management'!$B$366</definedName>
    <definedName name="Rdson2" localSheetId="2">'[1]Variable Management'!$D$367</definedName>
    <definedName name="Rdson2">'Variable Management'!$D$366</definedName>
    <definedName name="Rdson3" localSheetId="2">'[1]Variable Management'!$B$384</definedName>
    <definedName name="Rdson3">'Variable Management'!$B$383</definedName>
    <definedName name="Rdson4" localSheetId="2">'[1]Variable Management'!$D$384</definedName>
    <definedName name="Rdson4">'Variable Management'!$D$383</definedName>
    <definedName name="RdsonBotTc" localSheetId="2">'[1]Variable Management'!$B$385</definedName>
    <definedName name="RdsonBotTc">'Variable Management'!$B$384</definedName>
    <definedName name="RdsonDRB" localSheetId="2">'[1]Variable Management'!$B$359</definedName>
    <definedName name="RdsonDRB">'Variable Management'!$B$358</definedName>
    <definedName name="RdsonDRB2" localSheetId="2">'[1]Variable Management'!$B$360</definedName>
    <definedName name="RdsonDRB2">'Variable Management'!$B$359</definedName>
    <definedName name="RdsonDRT" localSheetId="2">'[1]Variable Management'!$B$356</definedName>
    <definedName name="RdsonDRT">'Variable Management'!$B$355</definedName>
    <definedName name="RdsonDRT2" localSheetId="2">'[1]Variable Management'!$B$357</definedName>
    <definedName name="RdsonDRT2">'Variable Management'!$B$356</definedName>
    <definedName name="RdsonTopTc" localSheetId="2">'[1]Variable Management'!$B$368</definedName>
    <definedName name="RdsonTopTc">'Variable Management'!$B$367</definedName>
    <definedName name="Rfadj" localSheetId="2">'[1]Variable Management'!$B$26</definedName>
    <definedName name="Rfadj">'Variable Management'!$B$25</definedName>
    <definedName name="Rfb1_" localSheetId="2">'[1]Variable Management'!$B$333</definedName>
    <definedName name="Rfb1_">'Variable Management'!$B$332</definedName>
    <definedName name="Rfb2_" localSheetId="2">'[1]Variable Management'!$B$334</definedName>
    <definedName name="Rfb2_">'Variable Management'!$B$333</definedName>
    <definedName name="Rfb2_u" localSheetId="2">'[1]Variable Management'!$B$335</definedName>
    <definedName name="Rfb2_u">'Variable Management'!$B$334</definedName>
    <definedName name="Rfets">'Variable Management'!$B$338</definedName>
    <definedName name="Rgate1" localSheetId="2">'[1]Variable Management'!$B$372</definedName>
    <definedName name="Rgate1">'Variable Management'!$B$371</definedName>
    <definedName name="Rgate2" localSheetId="2">'[1]Variable Management'!$D$372</definedName>
    <definedName name="Rgate2">'Variable Management'!$D$371</definedName>
    <definedName name="Rgate3">'Variable Management'!$B$388</definedName>
    <definedName name="Rgate4" localSheetId="2">'[1]Variable Management'!$D$389</definedName>
    <definedName name="Rgate4">'Variable Management'!$D$388</definedName>
    <definedName name="Ri" localSheetId="2">'[1]Variable Management'!$B$238</definedName>
    <definedName name="Ri">'Variable Management'!$B$238</definedName>
    <definedName name="Ro" localSheetId="2">'[1]Variable Management'!$B$303</definedName>
    <definedName name="Ro">'Variable Management'!$B$303</definedName>
    <definedName name="RoEA" localSheetId="2">'[1]Variable Management'!$B$289</definedName>
    <definedName name="RoEA">'Variable Management'!$B$289</definedName>
    <definedName name="Rout" localSheetId="2">'[1]Variable Management'!$B$14</definedName>
    <definedName name="Rout">'Variable Management'!$B$14</definedName>
    <definedName name="Rpg">'Variable Management'!$B$225</definedName>
    <definedName name="Rs" localSheetId="2">'[1]Variable Management'!$B$122</definedName>
    <definedName name="Rs">'Variable Management'!$B$122</definedName>
    <definedName name="Rs_ideal" localSheetId="2">'[1]Variable Management'!$B$121</definedName>
    <definedName name="Rs_ideal">'Variable Management'!$B$121</definedName>
    <definedName name="Rsb">'Variable Management'!$B$226</definedName>
    <definedName name="Rshunt" localSheetId="2">'[1]Variable Management'!$B$156</definedName>
    <definedName name="Rshunt">'Variable Management'!$B$156</definedName>
    <definedName name="Rshunt_std" localSheetId="2">'[1]Standard Value Calculator'!$O$21</definedName>
    <definedName name="Rshunt_std">'Standard Value Calculator'!$O$21</definedName>
    <definedName name="Rslope">'[1]Variable Management'!$B$141</definedName>
    <definedName name="Rslope_ideal">'[1]Variable Management'!$B$139</definedName>
    <definedName name="Ruvlo1" localSheetId="2">'[1]Variable Management'!$B$212</definedName>
    <definedName name="Ruvlo1">'Variable Management'!$B$212</definedName>
    <definedName name="Ruvlo2" localSheetId="2">'[1]Variable Management'!$B$213</definedName>
    <definedName name="Ruvlo2">'Variable Management'!$B$213</definedName>
    <definedName name="SCH_DITH">'Schematic Management'!$B$5</definedName>
    <definedName name="SCH_NO_DITH">'Schematic Management'!$B$8</definedName>
    <definedName name="SCH_WITH_DITH">'Schematic Management'!$B$5</definedName>
    <definedName name="Se" localSheetId="2">'[1]Variable Management'!$B$246</definedName>
    <definedName name="Se">'Variable Management'!$B$246</definedName>
    <definedName name="Se_ext" localSheetId="2">'[1]Variable Management'!$B$254</definedName>
    <definedName name="Se_ext">'Variable Management'!$B$254</definedName>
    <definedName name="Se_fixed" localSheetId="2">'[1]Variable Management'!$B$244</definedName>
    <definedName name="Se_fixed">'Variable Management'!$B$244</definedName>
    <definedName name="Se_proportional" localSheetId="2">'[1]Variable Management'!$B$245</definedName>
    <definedName name="Se_proportional">'Variable Management'!$B$245</definedName>
    <definedName name="Sf" localSheetId="2">'[1]Variable Management'!$B$256</definedName>
    <definedName name="Sf">'Variable Management'!$B$256</definedName>
    <definedName name="Sn" localSheetId="2">'[1]Variable Management'!$B$255</definedName>
    <definedName name="Sn">'Variable Management'!$B$255</definedName>
    <definedName name="T1_to_T2_Fsw">[1]Timings!$B$20</definedName>
    <definedName name="T12_min">[1]Timings!$B$10</definedName>
    <definedName name="T2_to_T3_Fsw">[1]Timings!$B$21</definedName>
    <definedName name="T23_min">[1]Timings!$B$11</definedName>
    <definedName name="T3_to_T4_Fsw">[1]Timings!$B$22</definedName>
    <definedName name="Ta" localSheetId="2">'[1]Variable Management'!$B$348</definedName>
    <definedName name="Ta">'Variable Management'!$B$347</definedName>
    <definedName name="TBubo">[1]Timings!$B$39</definedName>
    <definedName name="Tf_boost" localSheetId="2">'[1]Variable Management'!$D$409</definedName>
    <definedName name="Tf_boost">'Variable Management'!$D$408</definedName>
    <definedName name="Tf_buck" localSheetId="2">'[1]Variable Management'!$B$409</definedName>
    <definedName name="Tf_buck">'Variable Management'!$B$408</definedName>
    <definedName name="ThetaCa" localSheetId="2">'[1]Variable Management'!$B$351</definedName>
    <definedName name="ThetaCa">'Variable Management'!$B$350</definedName>
    <definedName name="ThetaJA_Q1" localSheetId="2">'[1]Variable Management'!$B$380</definedName>
    <definedName name="ThetaJA_Q1">'Variable Management'!$B$379</definedName>
    <definedName name="ThetaJA_Q2" localSheetId="2">'[1]Variable Management'!$D$380</definedName>
    <definedName name="ThetaJA_Q2">'Variable Management'!$D$379</definedName>
    <definedName name="ThetaJA_Q3" localSheetId="2">'[1]Variable Management'!$B$397</definedName>
    <definedName name="ThetaJA_Q3">'Variable Management'!$B$396</definedName>
    <definedName name="ThetaJA_Q4" localSheetId="2">'[1]Variable Management'!$D$397</definedName>
    <definedName name="ThetaJA_Q4">'Variable Management'!$D$396</definedName>
    <definedName name="ThetaJaCtrl" localSheetId="2">'[1]Variable Management'!$B$405</definedName>
    <definedName name="ThetaJaCtrl">'Variable Management'!$B$404</definedName>
    <definedName name="TL">'Variable Management'!$B$96</definedName>
    <definedName name="Toff_min_buck">'Variable Management'!$B$28</definedName>
    <definedName name="Toff_Vinmax" localSheetId="2">'[1]Variable Management'!$B$262</definedName>
    <definedName name="Toff_Vinmax">'Variable Management'!$B$262</definedName>
    <definedName name="Ton_min_boost">'Variable Management'!$B$29</definedName>
    <definedName name="Ton_Vinmin" localSheetId="2">'[1]Variable Management'!$B$264</definedName>
    <definedName name="Ton_Vinmin">'Variable Management'!$B$264</definedName>
    <definedName name="TonBubo">[1]Timings!$B$40</definedName>
    <definedName name="Tr_boost" localSheetId="2">'[1]Variable Management'!$D$408</definedName>
    <definedName name="Tr_boost">'Variable Management'!$D$407</definedName>
    <definedName name="Tr_buck" localSheetId="2">'[1]Variable Management'!$B$408</definedName>
    <definedName name="Tr_buck">'Variable Management'!$B$407</definedName>
    <definedName name="Trr_Q1">'Variable Management'!$B$378</definedName>
    <definedName name="Trr_Q2" localSheetId="2">'[1]Variable Management'!$D$379</definedName>
    <definedName name="Trr_Q2">'Variable Management'!$D$378</definedName>
    <definedName name="Trr_Q3">'Variable Management'!$B$395</definedName>
    <definedName name="Trr_Q4">'Variable Management'!$D$395</definedName>
    <definedName name="Ts">'Variable Management'!$B$23</definedName>
    <definedName name="Tss" localSheetId="2">'[1]Variable Management'!$B$203</definedName>
    <definedName name="Tss">'Variable Management'!$B$203</definedName>
    <definedName name="V_sc_fixed" localSheetId="2">'[1]Variable Management'!$B$248</definedName>
    <definedName name="V_sc_fixed">'Variable Management'!$B$248</definedName>
    <definedName name="V_sc_proportional">'Variable Management'!$B$249</definedName>
    <definedName name="V_sc_total">'Variable Management'!$B$250</definedName>
    <definedName name="Vdd" localSheetId="2">'[1]Variable Management'!$B$354</definedName>
    <definedName name="Vdd">'Variable Management'!$B$353</definedName>
    <definedName name="VfdSky_Q2" localSheetId="2">'[1]Variable Management'!$B$400</definedName>
    <definedName name="VfdSky_Q2">'Variable Management'!$B$399</definedName>
    <definedName name="VfdSky_Q3" localSheetId="2">'[1]Variable Management'!$D$400</definedName>
    <definedName name="VfdSky_Q3">'Variable Management'!$D$399</definedName>
    <definedName name="Vin" localSheetId="2">'[1]Variable Management'!$B$8</definedName>
    <definedName name="Vin">'Variable Management'!$B$8</definedName>
    <definedName name="VIN_BB_to_boost">'[1]Variable Management'!$B$40</definedName>
    <definedName name="VIN_BB_to_buck" localSheetId="2">'[1]Variable Management'!$B$43</definedName>
    <definedName name="VIN_BB_to_buck">'Variable Management'!$B$43</definedName>
    <definedName name="VIN_boost_to_BB" localSheetId="2">'[1]Variable Management'!$B$41</definedName>
    <definedName name="VIN_boost_to_BB">'Variable Management'!$B$41</definedName>
    <definedName name="VIN_edgebuckboost" localSheetId="2">'[1]Variable Management'!$B$10</definedName>
    <definedName name="VIN_edgebuckboost">'Variable Management'!$B$10</definedName>
    <definedName name="VIN_max" localSheetId="2">'[1]Variable Management'!$B$9</definedName>
    <definedName name="VIN_max">'Variable Management'!$B$9</definedName>
    <definedName name="VIN_min" localSheetId="2">'[1]Variable Management'!$B$7</definedName>
    <definedName name="VIN_min">'Variable Management'!$B$7</definedName>
    <definedName name="VIN_nom" localSheetId="2">'[1]Variable Management'!$B$8</definedName>
    <definedName name="VIN_nom">'Variable Management'!$B$8</definedName>
    <definedName name="Vinripple1" localSheetId="2">'[1]Variable Management'!$B$183</definedName>
    <definedName name="Vinripple1">'Variable Management'!$B$183</definedName>
    <definedName name="Vinripple2" localSheetId="2">'[1]Variable Management'!$B$198</definedName>
    <definedName name="Vinripple2">'Variable Management'!$B$198</definedName>
    <definedName name="VINuvlo_off">'Variable Management'!$B$211</definedName>
    <definedName name="VINuvlo_on" localSheetId="2">'[1]Variable Management'!$B$210</definedName>
    <definedName name="VINuvlo_on">'Variable Management'!$B$210</definedName>
    <definedName name="Vout" localSheetId="2">'[1]Variable Management'!$B$12</definedName>
    <definedName name="Vout">'Variable Management'!$B$12</definedName>
    <definedName name="Vref" localSheetId="2">'[1]Variable Management'!$B$24</definedName>
    <definedName name="Vref">'Variable Management'!$B$24</definedName>
    <definedName name="Vripple1" localSheetId="2">'[1]Variable Management'!$B$76</definedName>
    <definedName name="Vripple1">'Variable Management'!$B$76</definedName>
    <definedName name="Vripple2" localSheetId="2">'[1]Variable Management'!$B$174</definedName>
    <definedName name="Vripple2">'Variable Management'!$B$174</definedName>
    <definedName name="Vsd_Q1" localSheetId="2">'[1]Variable Management'!$B$377</definedName>
    <definedName name="Vsd_Q1">'Variable Management'!$B$376</definedName>
    <definedName name="Vsd_Q2" localSheetId="2">'[1]Variable Management'!$D$377</definedName>
    <definedName name="Vsd_Q2">'Variable Management'!$D$376</definedName>
    <definedName name="Vsd_Q3" localSheetId="2">'[1]Variable Management'!$B$394</definedName>
    <definedName name="Vsd_Q3">'Variable Management'!$B$393</definedName>
    <definedName name="Vsd_Q4" localSheetId="2">'[1]Variable Management'!$D$394</definedName>
    <definedName name="Vsd_Q4">'Variable Management'!$D$393</definedName>
    <definedName name="Vsp_Q1" localSheetId="2">'[1]Variable Management'!$B$375</definedName>
    <definedName name="Vsp_Q1">'Variable Management'!$B$374</definedName>
    <definedName name="Vsp_Q2">'Variable Management'!$D$374</definedName>
    <definedName name="Vsp_Q3">'Variable Management'!$B$391</definedName>
    <definedName name="Vsp_Q4" localSheetId="2">'[1]Variable Management'!$D$392</definedName>
    <definedName name="Vsp_Q4">'Variable Management'!$D$391</definedName>
    <definedName name="Vth_Q1" localSheetId="2">'[1]Variable Management'!$B$374</definedName>
    <definedName name="Vth_Q1">'Variable Management'!$B$373</definedName>
    <definedName name="Vth_Q2" localSheetId="2">'[1]Variable Management'!$D$374</definedName>
    <definedName name="Vth_Q2">'Variable Management'!$D$373</definedName>
    <definedName name="Vth_Q3" localSheetId="2">'[1]Variable Management'!$B$391</definedName>
    <definedName name="Vth_Q3">'Variable Management'!$B$390</definedName>
    <definedName name="Vth_Q4" localSheetId="2">'[1]Variable Management'!$D$391</definedName>
    <definedName name="Vth_Q4">'Variable Management'!$D$390</definedName>
    <definedName name="Vuvlo_hys">'Variable Management'!$B$220</definedName>
    <definedName name="Vuvlo_off" localSheetId="2">'[1]Variable Management'!$B$219</definedName>
    <definedName name="Vuvlo_off">'Variable Management'!$B$219</definedName>
    <definedName name="Vuvlo_on" localSheetId="2">'[1]Variable Management'!$B$218</definedName>
    <definedName name="Vuvlo_on">'Variable Management'!$B$218</definedName>
    <definedName name="With_RCS">'[1]Variable Management'!$B$157</definedName>
    <definedName name="z_RHP" localSheetId="2">'[1]Stability Calculations'!$K$5</definedName>
    <definedName name="z_RHP">'Stability Calculations'!$K$5</definedName>
    <definedName name="Zero1" localSheetId="2">'[1]Stability Calculations'!$K$3</definedName>
    <definedName name="Zero1">'Stability Calculations'!$K$3</definedName>
    <definedName name="Zero2" localSheetId="2">'[1]Stability Calculations'!$C$4</definedName>
    <definedName name="Zero2">'Stability Calculations'!$C$4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1" l="1"/>
  <c r="D79" i="1"/>
  <c r="D78" i="1"/>
  <c r="B290" i="2" l="1"/>
  <c r="B291" i="2" s="1"/>
  <c r="D61" i="1" l="1"/>
  <c r="C450" i="2"/>
  <c r="F60" i="1"/>
  <c r="F61" i="1"/>
  <c r="A2" i="22"/>
  <c r="B353" i="2" l="1"/>
  <c r="B68" i="21" l="1"/>
  <c r="B69" i="21" s="1"/>
  <c r="B60" i="21"/>
  <c r="B55" i="21"/>
  <c r="B35" i="21"/>
  <c r="B33" i="21"/>
  <c r="B30" i="21"/>
  <c r="B28" i="21"/>
  <c r="B27" i="21"/>
  <c r="B21" i="21"/>
  <c r="B15" i="21"/>
  <c r="B29" i="2"/>
  <c r="B60" i="20"/>
  <c r="B55" i="20"/>
  <c r="B35" i="20"/>
  <c r="B33" i="20"/>
  <c r="B30" i="20"/>
  <c r="B28" i="20"/>
  <c r="B27" i="20"/>
  <c r="B21" i="20"/>
  <c r="B15" i="20"/>
  <c r="A2" i="19"/>
  <c r="D400" i="2" l="1"/>
  <c r="D399" i="2"/>
  <c r="D396" i="2"/>
  <c r="D394" i="2"/>
  <c r="D393" i="2"/>
  <c r="D390" i="2"/>
  <c r="D389" i="2"/>
  <c r="D387" i="2"/>
  <c r="D386" i="2"/>
  <c r="D385" i="2"/>
  <c r="D383" i="2"/>
  <c r="D379" i="2"/>
  <c r="D377" i="2"/>
  <c r="B54" i="21" s="1"/>
  <c r="D376" i="2"/>
  <c r="B53" i="21" s="1"/>
  <c r="D373" i="2"/>
  <c r="D372" i="2"/>
  <c r="D371" i="2"/>
  <c r="B52" i="21" s="1"/>
  <c r="D370" i="2"/>
  <c r="D369" i="2"/>
  <c r="D368" i="2"/>
  <c r="B51" i="21" s="1"/>
  <c r="D366" i="2"/>
  <c r="B49" i="21" s="1"/>
  <c r="B56" i="20" l="1"/>
  <c r="B56" i="21"/>
  <c r="B52" i="20"/>
  <c r="B54" i="20"/>
  <c r="B51" i="20"/>
  <c r="B53" i="20"/>
  <c r="B49" i="20"/>
  <c r="K175" i="2"/>
  <c r="B389" i="2"/>
  <c r="B390" i="2"/>
  <c r="B386" i="2"/>
  <c r="B387" i="2"/>
  <c r="B377" i="2"/>
  <c r="B438" i="2"/>
  <c r="A55" i="16"/>
  <c r="C72" i="16" l="1"/>
  <c r="B424" i="2"/>
  <c r="A424" i="2"/>
  <c r="A426" i="2"/>
  <c r="B434" i="2"/>
  <c r="A56" i="16"/>
  <c r="A433" i="2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345" i="17"/>
  <c r="V346" i="17"/>
  <c r="V347" i="17"/>
  <c r="V348" i="17"/>
  <c r="V349" i="17"/>
  <c r="V350" i="17"/>
  <c r="V351" i="17"/>
  <c r="V352" i="17"/>
  <c r="V353" i="17"/>
  <c r="V354" i="17"/>
  <c r="V355" i="17"/>
  <c r="V356" i="17"/>
  <c r="V357" i="17"/>
  <c r="V358" i="17"/>
  <c r="V359" i="17"/>
  <c r="V360" i="17"/>
  <c r="V361" i="17"/>
  <c r="V362" i="17"/>
  <c r="V363" i="17"/>
  <c r="V364" i="17"/>
  <c r="V365" i="17"/>
  <c r="V366" i="17"/>
  <c r="V367" i="17"/>
  <c r="V368" i="17"/>
  <c r="V369" i="17"/>
  <c r="V370" i="17"/>
  <c r="V371" i="17"/>
  <c r="V372" i="17"/>
  <c r="V373" i="17"/>
  <c r="V374" i="17"/>
  <c r="V375" i="17"/>
  <c r="V376" i="17"/>
  <c r="V377" i="17"/>
  <c r="V378" i="17"/>
  <c r="V379" i="17"/>
  <c r="V380" i="17"/>
  <c r="V381" i="17"/>
  <c r="V382" i="17"/>
  <c r="V383" i="17"/>
  <c r="V384" i="17"/>
  <c r="V385" i="17"/>
  <c r="V386" i="17"/>
  <c r="V387" i="17"/>
  <c r="V388" i="17"/>
  <c r="V389" i="17"/>
  <c r="V390" i="17"/>
  <c r="V391" i="17"/>
  <c r="V392" i="17"/>
  <c r="V393" i="17"/>
  <c r="V394" i="17"/>
  <c r="V395" i="17"/>
  <c r="V396" i="17"/>
  <c r="V397" i="17"/>
  <c r="V398" i="17"/>
  <c r="V399" i="17"/>
  <c r="V400" i="17"/>
  <c r="V401" i="17"/>
  <c r="V402" i="17"/>
  <c r="V403" i="17"/>
  <c r="V404" i="17"/>
  <c r="V405" i="17"/>
  <c r="V406" i="17"/>
  <c r="V407" i="17"/>
  <c r="V408" i="17"/>
  <c r="V409" i="17"/>
  <c r="V410" i="17"/>
  <c r="V411" i="17"/>
  <c r="V412" i="17"/>
  <c r="V413" i="17"/>
  <c r="V414" i="17"/>
  <c r="V415" i="17"/>
  <c r="V416" i="17"/>
  <c r="V417" i="17"/>
  <c r="V418" i="17"/>
  <c r="V419" i="17"/>
  <c r="V420" i="17"/>
  <c r="V421" i="17"/>
  <c r="V422" i="17"/>
  <c r="V423" i="17"/>
  <c r="V424" i="17"/>
  <c r="V425" i="17"/>
  <c r="V426" i="17"/>
  <c r="V427" i="17"/>
  <c r="V428" i="17"/>
  <c r="V429" i="17"/>
  <c r="V430" i="17"/>
  <c r="V431" i="17"/>
  <c r="V432" i="17"/>
  <c r="V433" i="17"/>
  <c r="V434" i="17"/>
  <c r="V435" i="17"/>
  <c r="V436" i="17"/>
  <c r="V437" i="17"/>
  <c r="V438" i="17"/>
  <c r="V439" i="17"/>
  <c r="V440" i="17"/>
  <c r="V441" i="17"/>
  <c r="V442" i="17"/>
  <c r="V443" i="17"/>
  <c r="V444" i="17"/>
  <c r="V445" i="17"/>
  <c r="V446" i="17"/>
  <c r="V447" i="17"/>
  <c r="V448" i="17"/>
  <c r="V449" i="17"/>
  <c r="V450" i="17"/>
  <c r="V451" i="17"/>
  <c r="V452" i="17"/>
  <c r="V453" i="17"/>
  <c r="V454" i="17"/>
  <c r="V455" i="17"/>
  <c r="V456" i="17"/>
  <c r="V457" i="17"/>
  <c r="V458" i="17"/>
  <c r="V459" i="17"/>
  <c r="V460" i="17"/>
  <c r="V461" i="17"/>
  <c r="V462" i="17"/>
  <c r="V463" i="17"/>
  <c r="V464" i="17"/>
  <c r="V465" i="17"/>
  <c r="V466" i="17"/>
  <c r="V467" i="17"/>
  <c r="V468" i="17"/>
  <c r="V469" i="17"/>
  <c r="V470" i="17"/>
  <c r="V471" i="17"/>
  <c r="V472" i="17"/>
  <c r="V473" i="17"/>
  <c r="V474" i="17"/>
  <c r="V475" i="17"/>
  <c r="V476" i="17"/>
  <c r="V477" i="17"/>
  <c r="V478" i="17"/>
  <c r="V479" i="17"/>
  <c r="V480" i="17"/>
  <c r="V481" i="17"/>
  <c r="V482" i="17"/>
  <c r="V483" i="17"/>
  <c r="V484" i="17"/>
  <c r="V485" i="17"/>
  <c r="V486" i="17"/>
  <c r="V487" i="17"/>
  <c r="V488" i="17"/>
  <c r="V489" i="17"/>
  <c r="V490" i="17"/>
  <c r="V491" i="17"/>
  <c r="V492" i="17"/>
  <c r="V493" i="17"/>
  <c r="V494" i="17"/>
  <c r="V495" i="17"/>
  <c r="V496" i="17"/>
  <c r="V497" i="17"/>
  <c r="V498" i="17"/>
  <c r="V499" i="17"/>
  <c r="V500" i="17"/>
  <c r="V501" i="17"/>
  <c r="V502" i="17"/>
  <c r="V503" i="17"/>
  <c r="V504" i="17"/>
  <c r="V505" i="17"/>
  <c r="V506" i="17"/>
  <c r="V507" i="17"/>
  <c r="V508" i="17"/>
  <c r="V509" i="17"/>
  <c r="V510" i="17"/>
  <c r="V511" i="17"/>
  <c r="V512" i="17"/>
  <c r="V513" i="17"/>
  <c r="V514" i="17"/>
  <c r="V515" i="17"/>
  <c r="V516" i="17"/>
  <c r="V517" i="17"/>
  <c r="V518" i="17"/>
  <c r="V519" i="17"/>
  <c r="V520" i="17"/>
  <c r="V521" i="17"/>
  <c r="V522" i="17"/>
  <c r="V523" i="17"/>
  <c r="V524" i="17"/>
  <c r="V525" i="17"/>
  <c r="V526" i="17"/>
  <c r="V527" i="17"/>
  <c r="V528" i="17"/>
  <c r="V529" i="17"/>
  <c r="V530" i="17"/>
  <c r="V531" i="17"/>
  <c r="V532" i="17"/>
  <c r="V533" i="17"/>
  <c r="V534" i="17"/>
  <c r="V535" i="17"/>
  <c r="V536" i="17"/>
  <c r="V537" i="17"/>
  <c r="V538" i="17"/>
  <c r="V539" i="17"/>
  <c r="V540" i="17"/>
  <c r="V541" i="17"/>
  <c r="V542" i="17"/>
  <c r="V543" i="17"/>
  <c r="V544" i="17"/>
  <c r="V545" i="17"/>
  <c r="V546" i="17"/>
  <c r="V547" i="17"/>
  <c r="V548" i="17"/>
  <c r="V549" i="17"/>
  <c r="V550" i="17"/>
  <c r="V551" i="17"/>
  <c r="V552" i="17"/>
  <c r="V553" i="17"/>
  <c r="V554" i="17"/>
  <c r="V555" i="17"/>
  <c r="V556" i="17"/>
  <c r="V557" i="17"/>
  <c r="V558" i="17"/>
  <c r="V559" i="17"/>
  <c r="V560" i="17"/>
  <c r="V561" i="17"/>
  <c r="V562" i="17"/>
  <c r="V563" i="17"/>
  <c r="V564" i="17"/>
  <c r="V565" i="17"/>
  <c r="V566" i="17"/>
  <c r="V567" i="17"/>
  <c r="V568" i="17"/>
  <c r="V569" i="17"/>
  <c r="V570" i="17"/>
  <c r="V571" i="17"/>
  <c r="V572" i="17"/>
  <c r="V573" i="17"/>
  <c r="V574" i="17"/>
  <c r="V575" i="17"/>
  <c r="V576" i="17"/>
  <c r="V577" i="17"/>
  <c r="V578" i="17"/>
  <c r="V579" i="17"/>
  <c r="V580" i="17"/>
  <c r="V581" i="17"/>
  <c r="V582" i="17"/>
  <c r="V583" i="17"/>
  <c r="V584" i="17"/>
  <c r="V585" i="17"/>
  <c r="V586" i="17"/>
  <c r="V587" i="17"/>
  <c r="V588" i="17"/>
  <c r="V589" i="17"/>
  <c r="V590" i="17"/>
  <c r="V591" i="17"/>
  <c r="V592" i="17"/>
  <c r="V593" i="17"/>
  <c r="V594" i="17"/>
  <c r="V595" i="17"/>
  <c r="V596" i="17"/>
  <c r="V597" i="17"/>
  <c r="V598" i="17"/>
  <c r="V599" i="17"/>
  <c r="V600" i="17"/>
  <c r="V601" i="17"/>
  <c r="V602" i="17"/>
  <c r="V603" i="17"/>
  <c r="V604" i="17"/>
  <c r="V605" i="17"/>
  <c r="V606" i="17"/>
  <c r="V607" i="17"/>
  <c r="V608" i="17"/>
  <c r="V609" i="17"/>
  <c r="V610" i="17"/>
  <c r="V611" i="17"/>
  <c r="V612" i="17"/>
  <c r="V613" i="17"/>
  <c r="I3" i="17" l="1"/>
  <c r="B447" i="2"/>
  <c r="A447" i="2"/>
  <c r="B288" i="2"/>
  <c r="B122" i="2"/>
  <c r="B125" i="2" l="1"/>
  <c r="C65" i="16"/>
  <c r="B238" i="2"/>
  <c r="B124" i="2"/>
  <c r="B326" i="2"/>
  <c r="B446" i="2"/>
  <c r="A446" i="2"/>
  <c r="B445" i="2"/>
  <c r="A445" i="2"/>
  <c r="L294" i="2" l="1"/>
  <c r="B300" i="2"/>
  <c r="AE687" i="17" l="1"/>
  <c r="B14" i="17" l="1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13" i="17"/>
  <c r="B292" i="2"/>
  <c r="C6" i="17" s="1"/>
  <c r="Q6" i="17"/>
  <c r="B428" i="2" l="1"/>
  <c r="A428" i="2"/>
  <c r="B230" i="2"/>
  <c r="B231" i="2" s="1"/>
  <c r="B169" i="2"/>
  <c r="B154" i="2"/>
  <c r="B141" i="2"/>
  <c r="C52" i="16" s="1"/>
  <c r="B100" i="2"/>
  <c r="B212" i="2"/>
  <c r="B8" i="2"/>
  <c r="B9" i="2"/>
  <c r="N47" i="1" l="1"/>
  <c r="N84" i="1"/>
  <c r="H11" i="21"/>
  <c r="H13" i="21"/>
  <c r="H15" i="21"/>
  <c r="H17" i="21"/>
  <c r="H19" i="21"/>
  <c r="H21" i="21"/>
  <c r="H23" i="21"/>
  <c r="H25" i="21"/>
  <c r="H27" i="21"/>
  <c r="H29" i="21"/>
  <c r="H31" i="21"/>
  <c r="H33" i="21"/>
  <c r="H35" i="21"/>
  <c r="H37" i="21"/>
  <c r="H39" i="21"/>
  <c r="H41" i="21"/>
  <c r="H43" i="21"/>
  <c r="H45" i="21"/>
  <c r="H47" i="21"/>
  <c r="H49" i="21"/>
  <c r="H51" i="21"/>
  <c r="H53" i="21"/>
  <c r="H55" i="21"/>
  <c r="H57" i="21"/>
  <c r="H59" i="21"/>
  <c r="H61" i="21"/>
  <c r="H63" i="21"/>
  <c r="H65" i="21"/>
  <c r="H67" i="21"/>
  <c r="H69" i="21"/>
  <c r="H71" i="21"/>
  <c r="H73" i="21"/>
  <c r="H75" i="21"/>
  <c r="H77" i="21"/>
  <c r="H79" i="21"/>
  <c r="H81" i="21"/>
  <c r="H83" i="21"/>
  <c r="H85" i="21"/>
  <c r="H87" i="21"/>
  <c r="H89" i="21"/>
  <c r="H91" i="21"/>
  <c r="H93" i="21"/>
  <c r="H95" i="21"/>
  <c r="H97" i="21"/>
  <c r="H99" i="21"/>
  <c r="H101" i="21"/>
  <c r="H103" i="21"/>
  <c r="H105" i="21"/>
  <c r="H107" i="21"/>
  <c r="H109" i="21"/>
  <c r="H10" i="21"/>
  <c r="H12" i="21"/>
  <c r="H14" i="21"/>
  <c r="H16" i="21"/>
  <c r="H18" i="21"/>
  <c r="H20" i="21"/>
  <c r="H22" i="21"/>
  <c r="H24" i="21"/>
  <c r="H26" i="21"/>
  <c r="H28" i="21"/>
  <c r="H30" i="21"/>
  <c r="H32" i="21"/>
  <c r="H34" i="21"/>
  <c r="H36" i="21"/>
  <c r="H38" i="21"/>
  <c r="H40" i="21"/>
  <c r="H42" i="21"/>
  <c r="H44" i="21"/>
  <c r="H46" i="21"/>
  <c r="H48" i="21"/>
  <c r="H50" i="21"/>
  <c r="H52" i="21"/>
  <c r="H54" i="21"/>
  <c r="H56" i="21"/>
  <c r="H58" i="21"/>
  <c r="H60" i="21"/>
  <c r="H62" i="21"/>
  <c r="H64" i="21"/>
  <c r="H66" i="21"/>
  <c r="H68" i="21"/>
  <c r="H70" i="21"/>
  <c r="H72" i="21"/>
  <c r="H74" i="21"/>
  <c r="H76" i="21"/>
  <c r="H78" i="21"/>
  <c r="H80" i="21"/>
  <c r="H82" i="21"/>
  <c r="H84" i="21"/>
  <c r="H86" i="21"/>
  <c r="H88" i="21"/>
  <c r="H90" i="21"/>
  <c r="H92" i="21"/>
  <c r="H94" i="21"/>
  <c r="H96" i="21"/>
  <c r="H98" i="21"/>
  <c r="H100" i="21"/>
  <c r="H102" i="21"/>
  <c r="H104" i="21"/>
  <c r="H106" i="21"/>
  <c r="H108" i="21"/>
  <c r="H9" i="21"/>
  <c r="B11" i="21"/>
  <c r="B24" i="20"/>
  <c r="B24" i="21"/>
  <c r="B11" i="20"/>
  <c r="B156" i="2"/>
  <c r="B464" i="2" s="1"/>
  <c r="B435" i="2"/>
  <c r="B244" i="2"/>
  <c r="I255" i="2"/>
  <c r="A449" i="2"/>
  <c r="B299" i="2"/>
  <c r="B294" i="2"/>
  <c r="B474" i="2"/>
  <c r="B449" i="2"/>
  <c r="B471" i="2"/>
  <c r="G144" i="2"/>
  <c r="BU17" i="21" l="1"/>
  <c r="B16" i="21"/>
  <c r="BU16" i="21"/>
  <c r="BU15" i="21"/>
  <c r="BU14" i="21"/>
  <c r="BU13" i="21"/>
  <c r="BU12" i="21"/>
  <c r="BU11" i="21"/>
  <c r="BU9" i="21"/>
  <c r="BT17" i="20"/>
  <c r="BT16" i="20"/>
  <c r="B16" i="20"/>
  <c r="BT14" i="20"/>
  <c r="BT12" i="20"/>
  <c r="BT9" i="20"/>
  <c r="BT15" i="20"/>
  <c r="BT13" i="20"/>
  <c r="BT11" i="20"/>
  <c r="N21" i="8"/>
  <c r="A464" i="2"/>
  <c r="N6" i="8"/>
  <c r="E37" i="1"/>
  <c r="F3" i="17"/>
  <c r="CE17" i="21" l="1"/>
  <c r="CC17" i="21"/>
  <c r="CA17" i="21"/>
  <c r="BY17" i="21"/>
  <c r="BW17" i="21"/>
  <c r="CD17" i="21"/>
  <c r="CB17" i="21"/>
  <c r="BZ17" i="21"/>
  <c r="BX17" i="21"/>
  <c r="BV17" i="21"/>
  <c r="CD9" i="21"/>
  <c r="CB9" i="21"/>
  <c r="BZ9" i="21"/>
  <c r="BX9" i="21"/>
  <c r="BV9" i="21"/>
  <c r="CE9" i="21"/>
  <c r="CC9" i="21"/>
  <c r="CA9" i="21"/>
  <c r="BY9" i="21"/>
  <c r="BW9" i="21"/>
  <c r="CD11" i="21"/>
  <c r="CB11" i="21"/>
  <c r="BZ11" i="21"/>
  <c r="BX11" i="21"/>
  <c r="BV11" i="21"/>
  <c r="CE11" i="21"/>
  <c r="CC11" i="21"/>
  <c r="CA11" i="21"/>
  <c r="BY11" i="21"/>
  <c r="BW11" i="21"/>
  <c r="CD12" i="21"/>
  <c r="CB12" i="21"/>
  <c r="BZ12" i="21"/>
  <c r="BX12" i="21"/>
  <c r="BV12" i="21"/>
  <c r="CE12" i="21"/>
  <c r="CC12" i="21"/>
  <c r="CA12" i="21"/>
  <c r="BY12" i="21"/>
  <c r="BW12" i="21"/>
  <c r="CD13" i="21"/>
  <c r="CB13" i="21"/>
  <c r="BZ13" i="21"/>
  <c r="BX13" i="21"/>
  <c r="BV13" i="21"/>
  <c r="CE13" i="21"/>
  <c r="CC13" i="21"/>
  <c r="CA13" i="21"/>
  <c r="BY13" i="21"/>
  <c r="BW13" i="21"/>
  <c r="CD14" i="21"/>
  <c r="CB14" i="21"/>
  <c r="BZ14" i="21"/>
  <c r="BX14" i="21"/>
  <c r="BV14" i="21"/>
  <c r="CE14" i="21"/>
  <c r="CC14" i="21"/>
  <c r="CA14" i="21"/>
  <c r="BY14" i="21"/>
  <c r="BW14" i="21"/>
  <c r="CD15" i="21"/>
  <c r="CB15" i="21"/>
  <c r="BZ15" i="21"/>
  <c r="BX15" i="21"/>
  <c r="BV15" i="21"/>
  <c r="CE15" i="21"/>
  <c r="CC15" i="21"/>
  <c r="CA15" i="21"/>
  <c r="BY15" i="21"/>
  <c r="BW15" i="21"/>
  <c r="CD16" i="21"/>
  <c r="CB16" i="21"/>
  <c r="BZ16" i="21"/>
  <c r="BX16" i="21"/>
  <c r="BV16" i="21"/>
  <c r="CE16" i="21"/>
  <c r="CC16" i="21"/>
  <c r="CA16" i="21"/>
  <c r="BY16" i="21"/>
  <c r="BW16" i="21"/>
  <c r="CC9" i="20"/>
  <c r="CA9" i="20"/>
  <c r="BY9" i="20"/>
  <c r="BW9" i="20"/>
  <c r="BU9" i="20"/>
  <c r="CD9" i="20"/>
  <c r="CB9" i="20"/>
  <c r="BZ9" i="20"/>
  <c r="BX9" i="20"/>
  <c r="BV9" i="20"/>
  <c r="CD12" i="20"/>
  <c r="CB12" i="20"/>
  <c r="BZ12" i="20"/>
  <c r="BX12" i="20"/>
  <c r="BV12" i="20"/>
  <c r="CC12" i="20"/>
  <c r="CA12" i="20"/>
  <c r="BY12" i="20"/>
  <c r="BW12" i="20"/>
  <c r="BU12" i="20"/>
  <c r="CD14" i="20"/>
  <c r="CB14" i="20"/>
  <c r="BZ14" i="20"/>
  <c r="BX14" i="20"/>
  <c r="BV14" i="20"/>
  <c r="CC14" i="20"/>
  <c r="CA14" i="20"/>
  <c r="BY14" i="20"/>
  <c r="BW14" i="20"/>
  <c r="BU14" i="20"/>
  <c r="CC11" i="20"/>
  <c r="CA11" i="20"/>
  <c r="BY11" i="20"/>
  <c r="BW11" i="20"/>
  <c r="BU11" i="20"/>
  <c r="CD11" i="20"/>
  <c r="CB11" i="20"/>
  <c r="BZ11" i="20"/>
  <c r="BX11" i="20"/>
  <c r="BV11" i="20"/>
  <c r="CC13" i="20"/>
  <c r="CA13" i="20"/>
  <c r="BY13" i="20"/>
  <c r="BW13" i="20"/>
  <c r="BU13" i="20"/>
  <c r="CD13" i="20"/>
  <c r="CB13" i="20"/>
  <c r="BZ13" i="20"/>
  <c r="BX13" i="20"/>
  <c r="BV13" i="20"/>
  <c r="CC15" i="20"/>
  <c r="CA15" i="20"/>
  <c r="BY15" i="20"/>
  <c r="BW15" i="20"/>
  <c r="BU15" i="20"/>
  <c r="CD15" i="20"/>
  <c r="CB15" i="20"/>
  <c r="BZ15" i="20"/>
  <c r="BX15" i="20"/>
  <c r="BV15" i="20"/>
  <c r="CD16" i="20"/>
  <c r="CB16" i="20"/>
  <c r="BZ16" i="20"/>
  <c r="BX16" i="20"/>
  <c r="BV16" i="20"/>
  <c r="CC16" i="20"/>
  <c r="CA16" i="20"/>
  <c r="BY16" i="20"/>
  <c r="BW16" i="20"/>
  <c r="BU16" i="20"/>
  <c r="CD17" i="20"/>
  <c r="CB17" i="20"/>
  <c r="BZ17" i="20"/>
  <c r="BX17" i="20"/>
  <c r="BV17" i="20"/>
  <c r="CC17" i="20"/>
  <c r="BY17" i="20"/>
  <c r="BU17" i="20"/>
  <c r="CA17" i="20"/>
  <c r="BW17" i="20"/>
  <c r="B22" i="2"/>
  <c r="B25" i="2" s="1"/>
  <c r="B13" i="21" l="1"/>
  <c r="B78" i="21"/>
  <c r="B23" i="2"/>
  <c r="B36" i="2" s="1"/>
  <c r="B13" i="20"/>
  <c r="B78" i="20"/>
  <c r="B414" i="2"/>
  <c r="B251" i="2"/>
  <c r="B314" i="2"/>
  <c r="B248" i="2"/>
  <c r="N3" i="17"/>
  <c r="N5" i="17" s="1"/>
  <c r="N19" i="8"/>
  <c r="H3" i="8" s="1"/>
  <c r="D62" i="16"/>
  <c r="B32" i="2" l="1"/>
  <c r="B37" i="2"/>
  <c r="B33" i="2"/>
  <c r="B54" i="2" s="1"/>
  <c r="B34" i="2"/>
  <c r="B38" i="2"/>
  <c r="A626" i="17"/>
  <c r="C636" i="17"/>
  <c r="I63" i="16"/>
  <c r="I62" i="16"/>
  <c r="D63" i="16" l="1"/>
  <c r="C68" i="16"/>
  <c r="D68" i="16" s="1"/>
  <c r="D70" i="16"/>
  <c r="D74" i="16"/>
  <c r="C61" i="16"/>
  <c r="D59" i="16"/>
  <c r="D56" i="16"/>
  <c r="D55" i="16"/>
  <c r="D58" i="16"/>
  <c r="D53" i="16"/>
  <c r="D49" i="16"/>
  <c r="B451" i="2"/>
  <c r="B210" i="2"/>
  <c r="B213" i="2" s="1"/>
  <c r="B220" i="2"/>
  <c r="B223" i="2"/>
  <c r="F71" i="1" l="1"/>
  <c r="N16" i="8" l="1"/>
  <c r="O16" i="8" s="1"/>
  <c r="E212" i="2" s="1"/>
  <c r="H212" i="2" s="1"/>
  <c r="D77" i="1"/>
  <c r="G212" i="2" l="1"/>
  <c r="N17" i="8"/>
  <c r="O17" i="8" s="1"/>
  <c r="E213" i="2" s="1"/>
  <c r="B216" i="2" l="1"/>
  <c r="E63" i="1" s="1"/>
  <c r="E65" i="1"/>
  <c r="G213" i="2"/>
  <c r="D72" i="16"/>
  <c r="H213" i="2"/>
  <c r="B215" i="2"/>
  <c r="C73" i="16" l="1"/>
  <c r="D73" i="16" s="1"/>
  <c r="B425" i="2"/>
  <c r="A425" i="2"/>
  <c r="B173" i="2"/>
  <c r="B316" i="2"/>
  <c r="B320" i="2" s="1"/>
  <c r="B12" i="2"/>
  <c r="BK8" i="21" s="1"/>
  <c r="B13" i="2"/>
  <c r="B66" i="2"/>
  <c r="B139" i="2" s="1"/>
  <c r="B183" i="2"/>
  <c r="B400" i="2"/>
  <c r="B371" i="2"/>
  <c r="B42" i="21" s="1"/>
  <c r="B426" i="2"/>
  <c r="B433" i="2"/>
  <c r="B67" i="2"/>
  <c r="B19" i="21" s="1"/>
  <c r="B7" i="2"/>
  <c r="B189" i="2"/>
  <c r="B366" i="2"/>
  <c r="B37" i="21" s="1"/>
  <c r="B383" i="2"/>
  <c r="B332" i="2"/>
  <c r="N9" i="8" s="1"/>
  <c r="B396" i="2"/>
  <c r="B399" i="2"/>
  <c r="B58" i="21" s="1"/>
  <c r="B393" i="2"/>
  <c r="B203" i="2"/>
  <c r="B368" i="2"/>
  <c r="B385" i="2"/>
  <c r="B394" i="2"/>
  <c r="B376" i="2"/>
  <c r="B369" i="2"/>
  <c r="B370" i="2"/>
  <c r="B41" i="21" s="1"/>
  <c r="B373" i="2"/>
  <c r="B372" i="2"/>
  <c r="B43" i="21" s="1"/>
  <c r="B473" i="2"/>
  <c r="B379" i="2"/>
  <c r="B349" i="2"/>
  <c r="B194" i="2"/>
  <c r="B367" i="2"/>
  <c r="B384" i="2"/>
  <c r="D6" i="6"/>
  <c r="D7" i="6"/>
  <c r="D9" i="6"/>
  <c r="D10" i="6"/>
  <c r="D2" i="11"/>
  <c r="D3" i="11"/>
  <c r="B5" i="11"/>
  <c r="D5" i="11" s="1"/>
  <c r="A34" i="8"/>
  <c r="A46" i="8" s="1"/>
  <c r="A58" i="8" s="1"/>
  <c r="A70" i="8" s="1"/>
  <c r="A82" i="8" s="1"/>
  <c r="A94" i="8" s="1"/>
  <c r="A106" i="8" s="1"/>
  <c r="A118" i="8" s="1"/>
  <c r="A130" i="8" s="1"/>
  <c r="A142" i="8" s="1"/>
  <c r="A154" i="8" s="1"/>
  <c r="A35" i="8"/>
  <c r="A47" i="8" s="1"/>
  <c r="A59" i="8" s="1"/>
  <c r="A71" i="8" s="1"/>
  <c r="A83" i="8" s="1"/>
  <c r="A95" i="8" s="1"/>
  <c r="A107" i="8" s="1"/>
  <c r="A119" i="8" s="1"/>
  <c r="A131" i="8" s="1"/>
  <c r="A143" i="8" s="1"/>
  <c r="A155" i="8" s="1"/>
  <c r="A36" i="8"/>
  <c r="A48" i="8" s="1"/>
  <c r="A60" i="8" s="1"/>
  <c r="A72" i="8" s="1"/>
  <c r="A84" i="8" s="1"/>
  <c r="A96" i="8" s="1"/>
  <c r="A108" i="8" s="1"/>
  <c r="A120" i="8" s="1"/>
  <c r="A132" i="8" s="1"/>
  <c r="A144" i="8" s="1"/>
  <c r="A156" i="8" s="1"/>
  <c r="A37" i="8"/>
  <c r="A49" i="8" s="1"/>
  <c r="A61" i="8" s="1"/>
  <c r="A73" i="8" s="1"/>
  <c r="A85" i="8" s="1"/>
  <c r="A97" i="8" s="1"/>
  <c r="A109" i="8" s="1"/>
  <c r="A121" i="8" s="1"/>
  <c r="A133" i="8" s="1"/>
  <c r="A145" i="8" s="1"/>
  <c r="A157" i="8" s="1"/>
  <c r="A38" i="8"/>
  <c r="A39" i="8"/>
  <c r="A40" i="8"/>
  <c r="A41" i="8"/>
  <c r="A42" i="8"/>
  <c r="A54" i="8" s="1"/>
  <c r="A66" i="8" s="1"/>
  <c r="A78" i="8" s="1"/>
  <c r="A90" i="8" s="1"/>
  <c r="A102" i="8" s="1"/>
  <c r="A114" i="8" s="1"/>
  <c r="A126" i="8" s="1"/>
  <c r="A138" i="8" s="1"/>
  <c r="A150" i="8" s="1"/>
  <c r="A43" i="8"/>
  <c r="A55" i="8" s="1"/>
  <c r="A67" i="8" s="1"/>
  <c r="A79" i="8" s="1"/>
  <c r="A91" i="8" s="1"/>
  <c r="A103" i="8" s="1"/>
  <c r="A115" i="8" s="1"/>
  <c r="A127" i="8" s="1"/>
  <c r="A139" i="8" s="1"/>
  <c r="A151" i="8" s="1"/>
  <c r="A44" i="8"/>
  <c r="A56" i="8" s="1"/>
  <c r="A68" i="8" s="1"/>
  <c r="A80" i="8" s="1"/>
  <c r="A92" i="8" s="1"/>
  <c r="A104" i="8" s="1"/>
  <c r="A116" i="8" s="1"/>
  <c r="A128" i="8" s="1"/>
  <c r="A140" i="8" s="1"/>
  <c r="A152" i="8" s="1"/>
  <c r="A45" i="8"/>
  <c r="A57" i="8" s="1"/>
  <c r="A69" i="8" s="1"/>
  <c r="A81" i="8" s="1"/>
  <c r="A93" i="8" s="1"/>
  <c r="A105" i="8" s="1"/>
  <c r="A117" i="8" s="1"/>
  <c r="A129" i="8" s="1"/>
  <c r="A141" i="8" s="1"/>
  <c r="A153" i="8" s="1"/>
  <c r="A50" i="8"/>
  <c r="A62" i="8" s="1"/>
  <c r="A74" i="8" s="1"/>
  <c r="A86" i="8" s="1"/>
  <c r="A98" i="8" s="1"/>
  <c r="A110" i="8" s="1"/>
  <c r="A122" i="8" s="1"/>
  <c r="A134" i="8" s="1"/>
  <c r="A146" i="8" s="1"/>
  <c r="A158" i="8" s="1"/>
  <c r="A51" i="8"/>
  <c r="A63" i="8" s="1"/>
  <c r="A75" i="8" s="1"/>
  <c r="A87" i="8" s="1"/>
  <c r="A99" i="8" s="1"/>
  <c r="A111" i="8" s="1"/>
  <c r="A123" i="8" s="1"/>
  <c r="A135" i="8" s="1"/>
  <c r="A147" i="8" s="1"/>
  <c r="A159" i="8" s="1"/>
  <c r="A52" i="8"/>
  <c r="A64" i="8" s="1"/>
  <c r="A76" i="8" s="1"/>
  <c r="A88" i="8" s="1"/>
  <c r="A100" i="8" s="1"/>
  <c r="A112" i="8" s="1"/>
  <c r="A124" i="8" s="1"/>
  <c r="A136" i="8" s="1"/>
  <c r="A148" i="8" s="1"/>
  <c r="A53" i="8"/>
  <c r="A65" i="8" s="1"/>
  <c r="A77" i="8" s="1"/>
  <c r="A89" i="8" s="1"/>
  <c r="A101" i="8" s="1"/>
  <c r="A113" i="8" s="1"/>
  <c r="A125" i="8" s="1"/>
  <c r="A137" i="8" s="1"/>
  <c r="A149" i="8" s="1"/>
  <c r="I3" i="8"/>
  <c r="J3" i="8"/>
  <c r="B76" i="2"/>
  <c r="B165" i="2" s="1"/>
  <c r="A431" i="2"/>
  <c r="B431" i="2"/>
  <c r="A451" i="2"/>
  <c r="B472" i="2"/>
  <c r="L72" i="2" l="1"/>
  <c r="B475" i="2"/>
  <c r="A46" i="16"/>
  <c r="AX9" i="21"/>
  <c r="AX10" i="21"/>
  <c r="AX11" i="21"/>
  <c r="AX12" i="21"/>
  <c r="AX13" i="21"/>
  <c r="AX14" i="21"/>
  <c r="AX15" i="21"/>
  <c r="AX16" i="21"/>
  <c r="AX17" i="21"/>
  <c r="AX18" i="21"/>
  <c r="AX19" i="21"/>
  <c r="AX20" i="21"/>
  <c r="AX21" i="21"/>
  <c r="AX22" i="21"/>
  <c r="AX23" i="21"/>
  <c r="AX24" i="21"/>
  <c r="AX25" i="21"/>
  <c r="AX26" i="21"/>
  <c r="AX27" i="21"/>
  <c r="AX28" i="21"/>
  <c r="AX29" i="21"/>
  <c r="AX30" i="21"/>
  <c r="AX31" i="21"/>
  <c r="AX32" i="21"/>
  <c r="AX33" i="21"/>
  <c r="AX34" i="21"/>
  <c r="AX35" i="21"/>
  <c r="AX36" i="21"/>
  <c r="AX37" i="21"/>
  <c r="AX38" i="21"/>
  <c r="AX39" i="21"/>
  <c r="AX40" i="21"/>
  <c r="AX41" i="21"/>
  <c r="AX42" i="21"/>
  <c r="AX43" i="21"/>
  <c r="AX44" i="21"/>
  <c r="AX45" i="21"/>
  <c r="AX46" i="21"/>
  <c r="AX47" i="21"/>
  <c r="AX48" i="21"/>
  <c r="AX49" i="21"/>
  <c r="AX50" i="21"/>
  <c r="AX51" i="21"/>
  <c r="AX52" i="21"/>
  <c r="AX53" i="21"/>
  <c r="AX54" i="21"/>
  <c r="AX55" i="21"/>
  <c r="AX56" i="21"/>
  <c r="AX57" i="21"/>
  <c r="AX58" i="21"/>
  <c r="AX59" i="21"/>
  <c r="AX60" i="21"/>
  <c r="AX61" i="21"/>
  <c r="AX62" i="21"/>
  <c r="AX63" i="21"/>
  <c r="AX64" i="21"/>
  <c r="AX65" i="21"/>
  <c r="AX66" i="21"/>
  <c r="AX67" i="21"/>
  <c r="AX68" i="21"/>
  <c r="AX69" i="21"/>
  <c r="AX70" i="21"/>
  <c r="AX71" i="21"/>
  <c r="AX72" i="21"/>
  <c r="AX73" i="21"/>
  <c r="AX74" i="21"/>
  <c r="AX75" i="21"/>
  <c r="AX76" i="21"/>
  <c r="AX77" i="21"/>
  <c r="AX78" i="21"/>
  <c r="AX79" i="21"/>
  <c r="AX80" i="21"/>
  <c r="AX81" i="21"/>
  <c r="AX82" i="21"/>
  <c r="AX83" i="21"/>
  <c r="AX84" i="21"/>
  <c r="AX85" i="21"/>
  <c r="AX86" i="21"/>
  <c r="AX87" i="21"/>
  <c r="AX88" i="21"/>
  <c r="AX89" i="21"/>
  <c r="AX90" i="21"/>
  <c r="AX91" i="21"/>
  <c r="AX92" i="21"/>
  <c r="AX93" i="21"/>
  <c r="AX94" i="21"/>
  <c r="AX95" i="21"/>
  <c r="AX96" i="21"/>
  <c r="AX97" i="21"/>
  <c r="AX98" i="21"/>
  <c r="AX99" i="21"/>
  <c r="AX100" i="21"/>
  <c r="AX101" i="21"/>
  <c r="AX102" i="21"/>
  <c r="AX103" i="21"/>
  <c r="AX104" i="21"/>
  <c r="AX105" i="21"/>
  <c r="AX106" i="21"/>
  <c r="AX107" i="21"/>
  <c r="AX108" i="21"/>
  <c r="AX109" i="21"/>
  <c r="B4" i="11"/>
  <c r="D4" i="11" s="1"/>
  <c r="B6" i="11" s="1"/>
  <c r="D6" i="11" s="1"/>
  <c r="B38" i="21"/>
  <c r="B38" i="20"/>
  <c r="B20" i="21"/>
  <c r="B20" i="20"/>
  <c r="B44" i="20"/>
  <c r="B44" i="21"/>
  <c r="B40" i="20"/>
  <c r="B40" i="21"/>
  <c r="B39" i="21"/>
  <c r="B77" i="21"/>
  <c r="AZ108" i="21"/>
  <c r="AZ104" i="21"/>
  <c r="AZ100" i="21"/>
  <c r="AZ96" i="21"/>
  <c r="AZ92" i="21"/>
  <c r="AZ88" i="21"/>
  <c r="AZ84" i="21"/>
  <c r="AZ80" i="21"/>
  <c r="AZ79" i="21"/>
  <c r="AZ73" i="21"/>
  <c r="AZ59" i="21"/>
  <c r="AZ52" i="21"/>
  <c r="AZ45" i="21"/>
  <c r="AZ37" i="21"/>
  <c r="AZ28" i="21"/>
  <c r="AZ69" i="21"/>
  <c r="AZ64" i="21"/>
  <c r="AZ60" i="21"/>
  <c r="AZ51" i="21"/>
  <c r="AZ42" i="21"/>
  <c r="AZ35" i="21"/>
  <c r="AZ27" i="21"/>
  <c r="AZ20" i="21"/>
  <c r="AZ16" i="21"/>
  <c r="AZ14" i="21"/>
  <c r="AZ12" i="21"/>
  <c r="AZ9" i="21"/>
  <c r="AZ173" i="20"/>
  <c r="AZ156" i="20"/>
  <c r="AZ141" i="20"/>
  <c r="AZ124" i="20"/>
  <c r="AZ207" i="20"/>
  <c r="AZ197" i="20"/>
  <c r="AZ179" i="20"/>
  <c r="AZ163" i="20"/>
  <c r="AZ147" i="20"/>
  <c r="AZ131" i="20"/>
  <c r="AZ116" i="20"/>
  <c r="AZ194" i="20"/>
  <c r="AZ180" i="20"/>
  <c r="AZ161" i="20"/>
  <c r="AZ144" i="20"/>
  <c r="AZ128" i="20"/>
  <c r="AZ114" i="20"/>
  <c r="AZ202" i="20"/>
  <c r="AZ109" i="21"/>
  <c r="AZ105" i="21"/>
  <c r="AZ101" i="21"/>
  <c r="AZ97" i="21"/>
  <c r="AZ93" i="21"/>
  <c r="AZ89" i="21"/>
  <c r="AZ85" i="21"/>
  <c r="AZ81" i="21"/>
  <c r="AZ72" i="21"/>
  <c r="AZ74" i="21"/>
  <c r="AZ68" i="21"/>
  <c r="AZ54" i="21"/>
  <c r="AZ47" i="21"/>
  <c r="AZ39" i="21"/>
  <c r="AZ29" i="21"/>
  <c r="AZ23" i="21"/>
  <c r="AZ65" i="21"/>
  <c r="AZ61" i="21"/>
  <c r="AZ53" i="21"/>
  <c r="AZ44" i="21"/>
  <c r="AZ36" i="21"/>
  <c r="AZ30" i="21"/>
  <c r="AZ21" i="21"/>
  <c r="AZ17" i="21"/>
  <c r="AZ181" i="20"/>
  <c r="AZ168" i="20"/>
  <c r="AZ152" i="20"/>
  <c r="AZ135" i="20"/>
  <c r="AZ120" i="20"/>
  <c r="AZ205" i="20"/>
  <c r="AZ193" i="20"/>
  <c r="AZ175" i="20"/>
  <c r="AZ159" i="20"/>
  <c r="AZ145" i="20"/>
  <c r="AZ129" i="20"/>
  <c r="AZ112" i="20"/>
  <c r="AZ189" i="20"/>
  <c r="AZ176" i="20"/>
  <c r="AZ157" i="20"/>
  <c r="AZ142" i="20"/>
  <c r="AZ125" i="20"/>
  <c r="AZ209" i="20"/>
  <c r="AZ185" i="20"/>
  <c r="AZ106" i="21"/>
  <c r="AZ102" i="21"/>
  <c r="AZ98" i="21"/>
  <c r="AZ94" i="21"/>
  <c r="AZ90" i="21"/>
  <c r="AZ86" i="21"/>
  <c r="AZ82" i="21"/>
  <c r="AZ75" i="21"/>
  <c r="AZ76" i="21"/>
  <c r="AZ70" i="21"/>
  <c r="AZ56" i="21"/>
  <c r="AZ48" i="21"/>
  <c r="AZ41" i="21"/>
  <c r="AZ33" i="21"/>
  <c r="AZ25" i="21"/>
  <c r="AZ66" i="21"/>
  <c r="AZ62" i="21"/>
  <c r="AZ55" i="21"/>
  <c r="AZ46" i="21"/>
  <c r="AZ38" i="21"/>
  <c r="AZ31" i="21"/>
  <c r="AZ22" i="21"/>
  <c r="AZ19" i="21"/>
  <c r="AZ15" i="21"/>
  <c r="AZ13" i="21"/>
  <c r="AZ11" i="21"/>
  <c r="AZ184" i="20"/>
  <c r="AZ164" i="20"/>
  <c r="AZ148" i="20"/>
  <c r="AZ133" i="20"/>
  <c r="AZ115" i="20"/>
  <c r="AZ203" i="20"/>
  <c r="AZ190" i="20"/>
  <c r="AZ171" i="20"/>
  <c r="AZ155" i="20"/>
  <c r="AZ139" i="20"/>
  <c r="AZ123" i="20"/>
  <c r="AZ208" i="20"/>
  <c r="AZ187" i="20"/>
  <c r="AZ172" i="20"/>
  <c r="AZ153" i="20"/>
  <c r="AZ136" i="20"/>
  <c r="AZ122" i="20"/>
  <c r="AZ206" i="20"/>
  <c r="AZ196" i="20"/>
  <c r="AZ107" i="21"/>
  <c r="AZ103" i="21"/>
  <c r="AZ99" i="21"/>
  <c r="AZ95" i="21"/>
  <c r="AZ91" i="21"/>
  <c r="AZ87" i="21"/>
  <c r="AZ83" i="21"/>
  <c r="AZ77" i="21"/>
  <c r="AZ78" i="21"/>
  <c r="AZ71" i="21"/>
  <c r="AZ57" i="21"/>
  <c r="AZ50" i="21"/>
  <c r="AZ43" i="21"/>
  <c r="AZ34" i="21"/>
  <c r="AZ26" i="21"/>
  <c r="AZ67" i="21"/>
  <c r="AZ63" i="21"/>
  <c r="AZ58" i="21"/>
  <c r="AZ49" i="21"/>
  <c r="AZ40" i="21"/>
  <c r="AZ32" i="21"/>
  <c r="AZ24" i="21"/>
  <c r="AZ18" i="21"/>
  <c r="AZ10" i="21"/>
  <c r="AZ177" i="20"/>
  <c r="AZ160" i="20"/>
  <c r="AZ143" i="20"/>
  <c r="AZ127" i="20"/>
  <c r="AZ111" i="20"/>
  <c r="AZ201" i="20"/>
  <c r="AZ183" i="20"/>
  <c r="AZ167" i="20"/>
  <c r="AZ151" i="20"/>
  <c r="AZ137" i="20"/>
  <c r="AZ119" i="20"/>
  <c r="AZ198" i="20"/>
  <c r="AZ169" i="20"/>
  <c r="AZ165" i="20"/>
  <c r="AZ149" i="20"/>
  <c r="AZ134" i="20"/>
  <c r="AZ204" i="20"/>
  <c r="AZ186" i="20"/>
  <c r="AZ170" i="20"/>
  <c r="AZ154" i="20"/>
  <c r="AZ138" i="20"/>
  <c r="AZ121" i="20"/>
  <c r="AZ199" i="20"/>
  <c r="AZ191" i="20"/>
  <c r="AZ174" i="20"/>
  <c r="AZ158" i="20"/>
  <c r="AZ140" i="20"/>
  <c r="AZ126" i="20"/>
  <c r="AZ110" i="20"/>
  <c r="AZ188" i="20"/>
  <c r="AZ118" i="20"/>
  <c r="AZ200" i="20"/>
  <c r="AZ178" i="20"/>
  <c r="AZ162" i="20"/>
  <c r="AZ146" i="20"/>
  <c r="AZ130" i="20"/>
  <c r="AZ113" i="20"/>
  <c r="AZ192" i="20"/>
  <c r="AZ182" i="20"/>
  <c r="AZ166" i="20"/>
  <c r="AZ150" i="20"/>
  <c r="AZ132" i="20"/>
  <c r="AZ117" i="20"/>
  <c r="AZ195" i="20"/>
  <c r="B59" i="20"/>
  <c r="B59" i="21"/>
  <c r="B18" i="20"/>
  <c r="B18" i="21"/>
  <c r="B12" i="21"/>
  <c r="BC9" i="21"/>
  <c r="BF8" i="21"/>
  <c r="L9" i="21"/>
  <c r="BE8" i="21"/>
  <c r="BL8" i="21"/>
  <c r="B25" i="20"/>
  <c r="B25" i="21"/>
  <c r="B50" i="21"/>
  <c r="B50" i="20"/>
  <c r="B23" i="20"/>
  <c r="B23" i="21"/>
  <c r="B47" i="20"/>
  <c r="B47" i="21"/>
  <c r="B46" i="20"/>
  <c r="B46" i="21"/>
  <c r="K21" i="20"/>
  <c r="BC21" i="20" s="1"/>
  <c r="K23" i="20"/>
  <c r="BC23" i="20" s="1"/>
  <c r="K22" i="20"/>
  <c r="BC22" i="20" s="1"/>
  <c r="K13" i="21"/>
  <c r="K15" i="21"/>
  <c r="K17" i="21"/>
  <c r="K19" i="21"/>
  <c r="K21" i="21"/>
  <c r="K23" i="21"/>
  <c r="K25" i="21"/>
  <c r="K27" i="21"/>
  <c r="K29" i="21"/>
  <c r="K31" i="21"/>
  <c r="K33" i="21"/>
  <c r="K35" i="21"/>
  <c r="K37" i="21"/>
  <c r="K39" i="21"/>
  <c r="K41" i="21"/>
  <c r="K43" i="21"/>
  <c r="K45" i="21"/>
  <c r="K47" i="21"/>
  <c r="K49" i="21"/>
  <c r="K51" i="21"/>
  <c r="K53" i="21"/>
  <c r="K55" i="21"/>
  <c r="K57" i="21"/>
  <c r="K59" i="21"/>
  <c r="K61" i="21"/>
  <c r="K63" i="21"/>
  <c r="K65" i="21"/>
  <c r="K67" i="21"/>
  <c r="K69" i="21"/>
  <c r="K71" i="21"/>
  <c r="K73" i="21"/>
  <c r="K75" i="21"/>
  <c r="K77" i="21"/>
  <c r="K79" i="21"/>
  <c r="K81" i="21"/>
  <c r="K83" i="21"/>
  <c r="K85" i="21"/>
  <c r="K87" i="21"/>
  <c r="K89" i="21"/>
  <c r="K91" i="21"/>
  <c r="K93" i="21"/>
  <c r="K95" i="21"/>
  <c r="K97" i="21"/>
  <c r="K99" i="21"/>
  <c r="K101" i="21"/>
  <c r="K103" i="21"/>
  <c r="K105" i="21"/>
  <c r="K107" i="21"/>
  <c r="K109" i="21"/>
  <c r="K10" i="21"/>
  <c r="B14" i="21"/>
  <c r="K189" i="20"/>
  <c r="BC189" i="20" s="1"/>
  <c r="K190" i="20"/>
  <c r="BC190" i="20" s="1"/>
  <c r="K191" i="20"/>
  <c r="BC191" i="20" s="1"/>
  <c r="K192" i="20"/>
  <c r="BC192" i="20" s="1"/>
  <c r="K194" i="20"/>
  <c r="BC194" i="20" s="1"/>
  <c r="K117" i="20"/>
  <c r="BC117" i="20" s="1"/>
  <c r="K118" i="20"/>
  <c r="BC118" i="20" s="1"/>
  <c r="K119" i="20"/>
  <c r="BC119" i="20" s="1"/>
  <c r="K120" i="20"/>
  <c r="BC120" i="20" s="1"/>
  <c r="K121" i="20"/>
  <c r="BC121" i="20" s="1"/>
  <c r="K122" i="20"/>
  <c r="BC122" i="20" s="1"/>
  <c r="K123" i="20"/>
  <c r="BC123" i="20" s="1"/>
  <c r="K124" i="20"/>
  <c r="BC124" i="20" s="1"/>
  <c r="K125" i="20"/>
  <c r="BC125" i="20" s="1"/>
  <c r="K126" i="20"/>
  <c r="BC126" i="20" s="1"/>
  <c r="K127" i="20"/>
  <c r="BC127" i="20" s="1"/>
  <c r="K128" i="20"/>
  <c r="BC128" i="20" s="1"/>
  <c r="K129" i="20"/>
  <c r="BC129" i="20" s="1"/>
  <c r="K130" i="20"/>
  <c r="BC130" i="20" s="1"/>
  <c r="K131" i="20"/>
  <c r="BC131" i="20" s="1"/>
  <c r="K132" i="20"/>
  <c r="BC132" i="20" s="1"/>
  <c r="K133" i="20"/>
  <c r="BC133" i="20" s="1"/>
  <c r="K140" i="20"/>
  <c r="BC140" i="20" s="1"/>
  <c r="K141" i="20"/>
  <c r="BC141" i="20" s="1"/>
  <c r="K151" i="20"/>
  <c r="BC151" i="20" s="1"/>
  <c r="K152" i="20"/>
  <c r="BC152" i="20" s="1"/>
  <c r="K153" i="20"/>
  <c r="BC153" i="20" s="1"/>
  <c r="K154" i="20"/>
  <c r="BC154" i="20" s="1"/>
  <c r="K159" i="20"/>
  <c r="BC159" i="20" s="1"/>
  <c r="K160" i="20"/>
  <c r="BC160" i="20" s="1"/>
  <c r="K161" i="20"/>
  <c r="BC161" i="20" s="1"/>
  <c r="K162" i="20"/>
  <c r="BC162" i="20" s="1"/>
  <c r="K167" i="20"/>
  <c r="BC167" i="20" s="1"/>
  <c r="K168" i="20"/>
  <c r="BC168" i="20" s="1"/>
  <c r="K169" i="20"/>
  <c r="BC169" i="20" s="1"/>
  <c r="K170" i="20"/>
  <c r="BC170" i="20" s="1"/>
  <c r="K175" i="20"/>
  <c r="BC175" i="20" s="1"/>
  <c r="K176" i="20"/>
  <c r="BC176" i="20" s="1"/>
  <c r="K177" i="20"/>
  <c r="BC177" i="20" s="1"/>
  <c r="K178" i="20"/>
  <c r="BC178" i="20" s="1"/>
  <c r="K183" i="20"/>
  <c r="BC183" i="20" s="1"/>
  <c r="K184" i="20"/>
  <c r="BC184" i="20" s="1"/>
  <c r="K14" i="21"/>
  <c r="K16" i="21"/>
  <c r="K18" i="21"/>
  <c r="K20" i="21"/>
  <c r="K22" i="21"/>
  <c r="K24" i="21"/>
  <c r="K26" i="21"/>
  <c r="K28" i="21"/>
  <c r="K30" i="21"/>
  <c r="K32" i="21"/>
  <c r="K34" i="21"/>
  <c r="K36" i="21"/>
  <c r="K38" i="21"/>
  <c r="K40" i="21"/>
  <c r="K42" i="21"/>
  <c r="K44" i="21"/>
  <c r="K46" i="21"/>
  <c r="K48" i="21"/>
  <c r="K50" i="21"/>
  <c r="K52" i="21"/>
  <c r="K54" i="21"/>
  <c r="K56" i="21"/>
  <c r="K58" i="21"/>
  <c r="K60" i="21"/>
  <c r="K62" i="21"/>
  <c r="K64" i="21"/>
  <c r="K66" i="21"/>
  <c r="K68" i="21"/>
  <c r="K70" i="21"/>
  <c r="K72" i="21"/>
  <c r="K74" i="21"/>
  <c r="K76" i="21"/>
  <c r="K78" i="21"/>
  <c r="K80" i="21"/>
  <c r="K82" i="21"/>
  <c r="K84" i="21"/>
  <c r="K86" i="21"/>
  <c r="K88" i="21"/>
  <c r="K90" i="21"/>
  <c r="K92" i="21"/>
  <c r="K94" i="21"/>
  <c r="K96" i="21"/>
  <c r="K98" i="21"/>
  <c r="K100" i="21"/>
  <c r="K102" i="21"/>
  <c r="K104" i="21"/>
  <c r="K106" i="21"/>
  <c r="K108" i="21"/>
  <c r="K12" i="21"/>
  <c r="K11" i="21"/>
  <c r="K185" i="20"/>
  <c r="BC185" i="20" s="1"/>
  <c r="K186" i="20"/>
  <c r="BC186" i="20" s="1"/>
  <c r="K187" i="20"/>
  <c r="BC187" i="20" s="1"/>
  <c r="K188" i="20"/>
  <c r="BC188" i="20" s="1"/>
  <c r="K193" i="20"/>
  <c r="BC193" i="20" s="1"/>
  <c r="K195" i="20"/>
  <c r="BC195" i="20" s="1"/>
  <c r="K196" i="20"/>
  <c r="BC196" i="20" s="1"/>
  <c r="K197" i="20"/>
  <c r="BC197" i="20" s="1"/>
  <c r="K198" i="20"/>
  <c r="BC198" i="20" s="1"/>
  <c r="K199" i="20"/>
  <c r="BC199" i="20" s="1"/>
  <c r="K200" i="20"/>
  <c r="BC200" i="20" s="1"/>
  <c r="K201" i="20"/>
  <c r="BC201" i="20" s="1"/>
  <c r="K202" i="20"/>
  <c r="BC202" i="20" s="1"/>
  <c r="K203" i="20"/>
  <c r="BC203" i="20" s="1"/>
  <c r="K204" i="20"/>
  <c r="BC204" i="20" s="1"/>
  <c r="K205" i="20"/>
  <c r="BC205" i="20" s="1"/>
  <c r="K206" i="20"/>
  <c r="BC206" i="20" s="1"/>
  <c r="K207" i="20"/>
  <c r="BC207" i="20" s="1"/>
  <c r="K208" i="20"/>
  <c r="BC208" i="20" s="1"/>
  <c r="K209" i="20"/>
  <c r="BC209" i="20" s="1"/>
  <c r="K110" i="20"/>
  <c r="BC110" i="20" s="1"/>
  <c r="K111" i="20"/>
  <c r="BC111" i="20" s="1"/>
  <c r="K112" i="20"/>
  <c r="BC112" i="20" s="1"/>
  <c r="K113" i="20"/>
  <c r="BC113" i="20" s="1"/>
  <c r="K114" i="20"/>
  <c r="BC114" i="20" s="1"/>
  <c r="K115" i="20"/>
  <c r="BC115" i="20" s="1"/>
  <c r="K116" i="20"/>
  <c r="BC116" i="20" s="1"/>
  <c r="K134" i="20"/>
  <c r="BC134" i="20" s="1"/>
  <c r="K135" i="20"/>
  <c r="BC135" i="20" s="1"/>
  <c r="K136" i="20"/>
  <c r="BC136" i="20" s="1"/>
  <c r="K137" i="20"/>
  <c r="BC137" i="20" s="1"/>
  <c r="K138" i="20"/>
  <c r="BC138" i="20" s="1"/>
  <c r="K139" i="20"/>
  <c r="BC139" i="20" s="1"/>
  <c r="K142" i="20"/>
  <c r="BC142" i="20" s="1"/>
  <c r="K143" i="20"/>
  <c r="BC143" i="20" s="1"/>
  <c r="K144" i="20"/>
  <c r="BC144" i="20" s="1"/>
  <c r="K145" i="20"/>
  <c r="BC145" i="20" s="1"/>
  <c r="K146" i="20"/>
  <c r="BC146" i="20" s="1"/>
  <c r="K147" i="20"/>
  <c r="BC147" i="20" s="1"/>
  <c r="K148" i="20"/>
  <c r="BC148" i="20" s="1"/>
  <c r="K149" i="20"/>
  <c r="BC149" i="20" s="1"/>
  <c r="K150" i="20"/>
  <c r="BC150" i="20" s="1"/>
  <c r="K155" i="20"/>
  <c r="BC155" i="20" s="1"/>
  <c r="K156" i="20"/>
  <c r="BC156" i="20" s="1"/>
  <c r="K157" i="20"/>
  <c r="BC157" i="20" s="1"/>
  <c r="K158" i="20"/>
  <c r="BC158" i="20" s="1"/>
  <c r="K163" i="20"/>
  <c r="BC163" i="20" s="1"/>
  <c r="K164" i="20"/>
  <c r="BC164" i="20" s="1"/>
  <c r="K165" i="20"/>
  <c r="BC165" i="20" s="1"/>
  <c r="K166" i="20"/>
  <c r="BC166" i="20" s="1"/>
  <c r="K171" i="20"/>
  <c r="BC171" i="20" s="1"/>
  <c r="K172" i="20"/>
  <c r="BC172" i="20" s="1"/>
  <c r="K173" i="20"/>
  <c r="BC173" i="20" s="1"/>
  <c r="K174" i="20"/>
  <c r="BC174" i="20" s="1"/>
  <c r="K179" i="20"/>
  <c r="BC179" i="20" s="1"/>
  <c r="K180" i="20"/>
  <c r="BC180" i="20" s="1"/>
  <c r="K181" i="20"/>
  <c r="BC181" i="20" s="1"/>
  <c r="K182" i="20"/>
  <c r="BC182" i="20" s="1"/>
  <c r="B22" i="20"/>
  <c r="B22" i="21"/>
  <c r="H10" i="20"/>
  <c r="AX10" i="20" s="1"/>
  <c r="H14" i="20"/>
  <c r="AX14" i="20" s="1"/>
  <c r="H18" i="20"/>
  <c r="AX18" i="20" s="1"/>
  <c r="H22" i="20"/>
  <c r="AX22" i="20" s="1"/>
  <c r="H26" i="20"/>
  <c r="AX26" i="20" s="1"/>
  <c r="H30" i="20"/>
  <c r="AX30" i="20" s="1"/>
  <c r="H34" i="20"/>
  <c r="AX34" i="20" s="1"/>
  <c r="H38" i="20"/>
  <c r="AX38" i="20" s="1"/>
  <c r="H42" i="20"/>
  <c r="AX42" i="20" s="1"/>
  <c r="H46" i="20"/>
  <c r="AX46" i="20" s="1"/>
  <c r="H50" i="20"/>
  <c r="AX50" i="20" s="1"/>
  <c r="H54" i="20"/>
  <c r="AX54" i="20" s="1"/>
  <c r="H58" i="20"/>
  <c r="AX58" i="20" s="1"/>
  <c r="H62" i="20"/>
  <c r="AX62" i="20" s="1"/>
  <c r="H66" i="20"/>
  <c r="AX66" i="20" s="1"/>
  <c r="H70" i="20"/>
  <c r="AX70" i="20" s="1"/>
  <c r="H74" i="20"/>
  <c r="AX74" i="20" s="1"/>
  <c r="H78" i="20"/>
  <c r="AX78" i="20" s="1"/>
  <c r="H82" i="20"/>
  <c r="AX82" i="20" s="1"/>
  <c r="H86" i="20"/>
  <c r="AX86" i="20" s="1"/>
  <c r="H90" i="20"/>
  <c r="AX90" i="20" s="1"/>
  <c r="H94" i="20"/>
  <c r="AX94" i="20" s="1"/>
  <c r="H98" i="20"/>
  <c r="AX98" i="20" s="1"/>
  <c r="H102" i="20"/>
  <c r="AX102" i="20" s="1"/>
  <c r="H106" i="20"/>
  <c r="AX106" i="20" s="1"/>
  <c r="H110" i="20"/>
  <c r="AX110" i="20" s="1"/>
  <c r="H114" i="20"/>
  <c r="AX114" i="20" s="1"/>
  <c r="H118" i="20"/>
  <c r="AX118" i="20" s="1"/>
  <c r="H122" i="20"/>
  <c r="AX122" i="20" s="1"/>
  <c r="H126" i="20"/>
  <c r="AX126" i="20" s="1"/>
  <c r="H130" i="20"/>
  <c r="AX130" i="20" s="1"/>
  <c r="H134" i="20"/>
  <c r="AX134" i="20" s="1"/>
  <c r="H138" i="20"/>
  <c r="AX138" i="20" s="1"/>
  <c r="H142" i="20"/>
  <c r="AX142" i="20" s="1"/>
  <c r="H146" i="20"/>
  <c r="AX146" i="20" s="1"/>
  <c r="H150" i="20"/>
  <c r="AX150" i="20" s="1"/>
  <c r="H154" i="20"/>
  <c r="AX154" i="20" s="1"/>
  <c r="H158" i="20"/>
  <c r="AX158" i="20" s="1"/>
  <c r="H162" i="20"/>
  <c r="AX162" i="20" s="1"/>
  <c r="H166" i="20"/>
  <c r="AX166" i="20" s="1"/>
  <c r="H170" i="20"/>
  <c r="AX170" i="20" s="1"/>
  <c r="H174" i="20"/>
  <c r="AX174" i="20" s="1"/>
  <c r="H178" i="20"/>
  <c r="AX178" i="20" s="1"/>
  <c r="H13" i="20"/>
  <c r="AX13" i="20" s="1"/>
  <c r="H17" i="20"/>
  <c r="AX17" i="20" s="1"/>
  <c r="H21" i="20"/>
  <c r="AX21" i="20" s="1"/>
  <c r="H25" i="20"/>
  <c r="AX25" i="20" s="1"/>
  <c r="H29" i="20"/>
  <c r="AX29" i="20" s="1"/>
  <c r="H33" i="20"/>
  <c r="AX33" i="20" s="1"/>
  <c r="H37" i="20"/>
  <c r="AX37" i="20" s="1"/>
  <c r="H41" i="20"/>
  <c r="AX41" i="20" s="1"/>
  <c r="H45" i="20"/>
  <c r="AX45" i="20" s="1"/>
  <c r="H49" i="20"/>
  <c r="AX49" i="20" s="1"/>
  <c r="H53" i="20"/>
  <c r="AX53" i="20" s="1"/>
  <c r="H57" i="20"/>
  <c r="AX57" i="20" s="1"/>
  <c r="H61" i="20"/>
  <c r="AX61" i="20" s="1"/>
  <c r="H65" i="20"/>
  <c r="AX65" i="20" s="1"/>
  <c r="H69" i="20"/>
  <c r="AX69" i="20" s="1"/>
  <c r="H73" i="20"/>
  <c r="AX73" i="20" s="1"/>
  <c r="H77" i="20"/>
  <c r="AX77" i="20" s="1"/>
  <c r="H81" i="20"/>
  <c r="AX81" i="20" s="1"/>
  <c r="H85" i="20"/>
  <c r="AX85" i="20" s="1"/>
  <c r="H89" i="20"/>
  <c r="AX89" i="20" s="1"/>
  <c r="H93" i="20"/>
  <c r="AX93" i="20" s="1"/>
  <c r="H97" i="20"/>
  <c r="AX97" i="20" s="1"/>
  <c r="H101" i="20"/>
  <c r="AX101" i="20" s="1"/>
  <c r="H105" i="20"/>
  <c r="AX105" i="20" s="1"/>
  <c r="H109" i="20"/>
  <c r="AX109" i="20" s="1"/>
  <c r="H113" i="20"/>
  <c r="AX113" i="20" s="1"/>
  <c r="H117" i="20"/>
  <c r="AX117" i="20" s="1"/>
  <c r="H121" i="20"/>
  <c r="AX121" i="20" s="1"/>
  <c r="H125" i="20"/>
  <c r="AX125" i="20" s="1"/>
  <c r="H129" i="20"/>
  <c r="AX129" i="20" s="1"/>
  <c r="H133" i="20"/>
  <c r="AX133" i="20" s="1"/>
  <c r="H137" i="20"/>
  <c r="AX137" i="20" s="1"/>
  <c r="H141" i="20"/>
  <c r="AX141" i="20" s="1"/>
  <c r="H145" i="20"/>
  <c r="AX145" i="20" s="1"/>
  <c r="H149" i="20"/>
  <c r="AX149" i="20" s="1"/>
  <c r="H153" i="20"/>
  <c r="AX153" i="20" s="1"/>
  <c r="H157" i="20"/>
  <c r="AX157" i="20" s="1"/>
  <c r="H163" i="20"/>
  <c r="AX163" i="20" s="1"/>
  <c r="H171" i="20"/>
  <c r="AX171" i="20" s="1"/>
  <c r="H179" i="20"/>
  <c r="AX179" i="20" s="1"/>
  <c r="H183" i="20"/>
  <c r="AX183" i="20" s="1"/>
  <c r="H187" i="20"/>
  <c r="AX187" i="20" s="1"/>
  <c r="H12" i="20"/>
  <c r="AX12" i="20" s="1"/>
  <c r="H16" i="20"/>
  <c r="AX16" i="20" s="1"/>
  <c r="H20" i="20"/>
  <c r="AX20" i="20" s="1"/>
  <c r="H24" i="20"/>
  <c r="AX24" i="20" s="1"/>
  <c r="H28" i="20"/>
  <c r="AX28" i="20" s="1"/>
  <c r="H32" i="20"/>
  <c r="AX32" i="20" s="1"/>
  <c r="H36" i="20"/>
  <c r="AX36" i="20" s="1"/>
  <c r="H40" i="20"/>
  <c r="AX40" i="20" s="1"/>
  <c r="H44" i="20"/>
  <c r="AX44" i="20" s="1"/>
  <c r="H48" i="20"/>
  <c r="AX48" i="20" s="1"/>
  <c r="H52" i="20"/>
  <c r="AX52" i="20" s="1"/>
  <c r="H56" i="20"/>
  <c r="AX56" i="20" s="1"/>
  <c r="H60" i="20"/>
  <c r="AX60" i="20" s="1"/>
  <c r="H64" i="20"/>
  <c r="AX64" i="20" s="1"/>
  <c r="H68" i="20"/>
  <c r="AX68" i="20" s="1"/>
  <c r="H72" i="20"/>
  <c r="AX72" i="20" s="1"/>
  <c r="H76" i="20"/>
  <c r="AX76" i="20" s="1"/>
  <c r="H80" i="20"/>
  <c r="AX80" i="20" s="1"/>
  <c r="H84" i="20"/>
  <c r="AX84" i="20" s="1"/>
  <c r="H88" i="20"/>
  <c r="AX88" i="20" s="1"/>
  <c r="H92" i="20"/>
  <c r="AX92" i="20" s="1"/>
  <c r="H96" i="20"/>
  <c r="AX96" i="20" s="1"/>
  <c r="H100" i="20"/>
  <c r="AX100" i="20" s="1"/>
  <c r="H104" i="20"/>
  <c r="AX104" i="20" s="1"/>
  <c r="H108" i="20"/>
  <c r="AX108" i="20" s="1"/>
  <c r="H112" i="20"/>
  <c r="AX112" i="20" s="1"/>
  <c r="H116" i="20"/>
  <c r="AX116" i="20" s="1"/>
  <c r="H120" i="20"/>
  <c r="AX120" i="20" s="1"/>
  <c r="H124" i="20"/>
  <c r="AX124" i="20" s="1"/>
  <c r="H128" i="20"/>
  <c r="AX128" i="20" s="1"/>
  <c r="H132" i="20"/>
  <c r="AX132" i="20" s="1"/>
  <c r="H136" i="20"/>
  <c r="AX136" i="20" s="1"/>
  <c r="H140" i="20"/>
  <c r="AX140" i="20" s="1"/>
  <c r="H144" i="20"/>
  <c r="AX144" i="20" s="1"/>
  <c r="H148" i="20"/>
  <c r="AX148" i="20" s="1"/>
  <c r="H152" i="20"/>
  <c r="AX152" i="20" s="1"/>
  <c r="H156" i="20"/>
  <c r="AX156" i="20" s="1"/>
  <c r="H160" i="20"/>
  <c r="AX160" i="20" s="1"/>
  <c r="H164" i="20"/>
  <c r="AX164" i="20" s="1"/>
  <c r="H168" i="20"/>
  <c r="AX168" i="20" s="1"/>
  <c r="H172" i="20"/>
  <c r="AX172" i="20" s="1"/>
  <c r="H176" i="20"/>
  <c r="AX176" i="20" s="1"/>
  <c r="H11" i="20"/>
  <c r="AX11" i="20" s="1"/>
  <c r="H15" i="20"/>
  <c r="AX15" i="20" s="1"/>
  <c r="H19" i="20"/>
  <c r="AX19" i="20" s="1"/>
  <c r="H23" i="20"/>
  <c r="AX23" i="20" s="1"/>
  <c r="H27" i="20"/>
  <c r="AX27" i="20" s="1"/>
  <c r="H31" i="20"/>
  <c r="AX31" i="20" s="1"/>
  <c r="H35" i="20"/>
  <c r="AX35" i="20" s="1"/>
  <c r="H39" i="20"/>
  <c r="AX39" i="20" s="1"/>
  <c r="H43" i="20"/>
  <c r="AX43" i="20" s="1"/>
  <c r="H47" i="20"/>
  <c r="AX47" i="20" s="1"/>
  <c r="H51" i="20"/>
  <c r="AX51" i="20" s="1"/>
  <c r="H55" i="20"/>
  <c r="AX55" i="20" s="1"/>
  <c r="H59" i="20"/>
  <c r="AX59" i="20" s="1"/>
  <c r="H63" i="20"/>
  <c r="AX63" i="20" s="1"/>
  <c r="H67" i="20"/>
  <c r="AX67" i="20" s="1"/>
  <c r="H71" i="20"/>
  <c r="AX71" i="20" s="1"/>
  <c r="H75" i="20"/>
  <c r="AX75" i="20" s="1"/>
  <c r="H79" i="20"/>
  <c r="AX79" i="20" s="1"/>
  <c r="H83" i="20"/>
  <c r="AX83" i="20" s="1"/>
  <c r="H87" i="20"/>
  <c r="AX87" i="20" s="1"/>
  <c r="H91" i="20"/>
  <c r="AX91" i="20" s="1"/>
  <c r="H95" i="20"/>
  <c r="AX95" i="20" s="1"/>
  <c r="H99" i="20"/>
  <c r="AX99" i="20" s="1"/>
  <c r="H103" i="20"/>
  <c r="AX103" i="20" s="1"/>
  <c r="H107" i="20"/>
  <c r="AX107" i="20" s="1"/>
  <c r="H111" i="20"/>
  <c r="AX111" i="20" s="1"/>
  <c r="H115" i="20"/>
  <c r="AX115" i="20" s="1"/>
  <c r="H119" i="20"/>
  <c r="AX119" i="20" s="1"/>
  <c r="H123" i="20"/>
  <c r="AX123" i="20" s="1"/>
  <c r="H127" i="20"/>
  <c r="AX127" i="20" s="1"/>
  <c r="H131" i="20"/>
  <c r="AX131" i="20" s="1"/>
  <c r="H135" i="20"/>
  <c r="AX135" i="20" s="1"/>
  <c r="H139" i="20"/>
  <c r="AX139" i="20" s="1"/>
  <c r="H143" i="20"/>
  <c r="AX143" i="20" s="1"/>
  <c r="H147" i="20"/>
  <c r="AX147" i="20" s="1"/>
  <c r="H151" i="20"/>
  <c r="AX151" i="20" s="1"/>
  <c r="H155" i="20"/>
  <c r="AX155" i="20" s="1"/>
  <c r="H159" i="20"/>
  <c r="AX159" i="20" s="1"/>
  <c r="H167" i="20"/>
  <c r="AX167" i="20" s="1"/>
  <c r="H175" i="20"/>
  <c r="AX175" i="20" s="1"/>
  <c r="H181" i="20"/>
  <c r="AX181" i="20" s="1"/>
  <c r="H185" i="20"/>
  <c r="AX185" i="20" s="1"/>
  <c r="H189" i="20"/>
  <c r="AX189" i="20" s="1"/>
  <c r="H193" i="20"/>
  <c r="AX193" i="20" s="1"/>
  <c r="H197" i="20"/>
  <c r="AX197" i="20" s="1"/>
  <c r="H201" i="20"/>
  <c r="AX201" i="20" s="1"/>
  <c r="H205" i="20"/>
  <c r="AX205" i="20" s="1"/>
  <c r="H209" i="20"/>
  <c r="AX209" i="20" s="1"/>
  <c r="H165" i="20"/>
  <c r="AX165" i="20" s="1"/>
  <c r="H173" i="20"/>
  <c r="AX173" i="20" s="1"/>
  <c r="H180" i="20"/>
  <c r="AX180" i="20" s="1"/>
  <c r="H184" i="20"/>
  <c r="AX184" i="20" s="1"/>
  <c r="H188" i="20"/>
  <c r="AX188" i="20" s="1"/>
  <c r="H192" i="20"/>
  <c r="AX192" i="20" s="1"/>
  <c r="H196" i="20"/>
  <c r="AX196" i="20" s="1"/>
  <c r="H200" i="20"/>
  <c r="AX200" i="20" s="1"/>
  <c r="H204" i="20"/>
  <c r="AX204" i="20" s="1"/>
  <c r="H208" i="20"/>
  <c r="AX208" i="20" s="1"/>
  <c r="H191" i="20"/>
  <c r="AX191" i="20" s="1"/>
  <c r="H195" i="20"/>
  <c r="AX195" i="20" s="1"/>
  <c r="H199" i="20"/>
  <c r="AX199" i="20" s="1"/>
  <c r="H203" i="20"/>
  <c r="AX203" i="20" s="1"/>
  <c r="H207" i="20"/>
  <c r="AX207" i="20" s="1"/>
  <c r="H161" i="20"/>
  <c r="AX161" i="20" s="1"/>
  <c r="H169" i="20"/>
  <c r="AX169" i="20" s="1"/>
  <c r="H177" i="20"/>
  <c r="AX177" i="20" s="1"/>
  <c r="H182" i="20"/>
  <c r="AX182" i="20" s="1"/>
  <c r="H186" i="20"/>
  <c r="AX186" i="20" s="1"/>
  <c r="H190" i="20"/>
  <c r="AX190" i="20" s="1"/>
  <c r="H194" i="20"/>
  <c r="AX194" i="20" s="1"/>
  <c r="H198" i="20"/>
  <c r="AX198" i="20" s="1"/>
  <c r="H202" i="20"/>
  <c r="AX202" i="20" s="1"/>
  <c r="H206" i="20"/>
  <c r="AX206" i="20" s="1"/>
  <c r="H9" i="20"/>
  <c r="AX9" i="20" s="1"/>
  <c r="B43" i="20"/>
  <c r="B41" i="20"/>
  <c r="B77" i="20"/>
  <c r="B39" i="20"/>
  <c r="AZ106" i="20"/>
  <c r="AZ104" i="20"/>
  <c r="AZ101" i="20"/>
  <c r="AZ92" i="20"/>
  <c r="AZ93" i="20"/>
  <c r="AZ85" i="20"/>
  <c r="AZ86" i="20"/>
  <c r="AZ77" i="20"/>
  <c r="AZ70" i="20"/>
  <c r="AZ65" i="20"/>
  <c r="AZ73" i="20"/>
  <c r="AZ62" i="20"/>
  <c r="AZ57" i="20"/>
  <c r="AZ56" i="20"/>
  <c r="AZ52" i="20"/>
  <c r="AZ48" i="20"/>
  <c r="AZ28" i="20"/>
  <c r="AZ17" i="20"/>
  <c r="AZ44" i="20"/>
  <c r="AZ40" i="20"/>
  <c r="AZ36" i="20"/>
  <c r="AZ29" i="20"/>
  <c r="AZ22" i="20"/>
  <c r="AZ16" i="20"/>
  <c r="AZ15" i="20"/>
  <c r="AZ11" i="20"/>
  <c r="AZ108" i="20"/>
  <c r="AZ105" i="20"/>
  <c r="AZ103" i="20"/>
  <c r="AZ99" i="20"/>
  <c r="AZ87" i="20"/>
  <c r="AZ84" i="20"/>
  <c r="AZ69" i="20"/>
  <c r="AZ72" i="20"/>
  <c r="AZ58" i="20"/>
  <c r="AZ53" i="20"/>
  <c r="AZ31" i="20"/>
  <c r="AZ41" i="20"/>
  <c r="AZ30" i="20"/>
  <c r="AZ12" i="20"/>
  <c r="AZ91" i="20"/>
  <c r="AZ78" i="20"/>
  <c r="AZ67" i="20"/>
  <c r="AZ60" i="20"/>
  <c r="AZ55" i="20"/>
  <c r="AZ35" i="20"/>
  <c r="AZ47" i="20"/>
  <c r="AZ39" i="20"/>
  <c r="AZ25" i="20"/>
  <c r="AZ14" i="20"/>
  <c r="AZ10" i="20"/>
  <c r="AZ107" i="20"/>
  <c r="AZ100" i="20"/>
  <c r="AZ96" i="20"/>
  <c r="AZ97" i="20"/>
  <c r="AZ89" i="20"/>
  <c r="AZ90" i="20"/>
  <c r="AZ81" i="20"/>
  <c r="AZ75" i="20"/>
  <c r="AZ68" i="20"/>
  <c r="AZ80" i="20"/>
  <c r="AZ71" i="20"/>
  <c r="AZ59" i="20"/>
  <c r="AZ63" i="20"/>
  <c r="AZ54" i="20"/>
  <c r="AZ50" i="20"/>
  <c r="AZ34" i="20"/>
  <c r="AZ26" i="20"/>
  <c r="AZ46" i="20"/>
  <c r="AZ42" i="20"/>
  <c r="AZ38" i="20"/>
  <c r="AZ32" i="20"/>
  <c r="AZ24" i="20"/>
  <c r="AZ18" i="20"/>
  <c r="AZ19" i="20"/>
  <c r="AZ13" i="20"/>
  <c r="AZ9" i="20"/>
  <c r="AZ109" i="20"/>
  <c r="AZ102" i="20"/>
  <c r="AZ94" i="20"/>
  <c r="AZ95" i="20"/>
  <c r="AZ83" i="20"/>
  <c r="AZ76" i="20"/>
  <c r="AZ82" i="20"/>
  <c r="AZ64" i="20"/>
  <c r="AZ61" i="20"/>
  <c r="AZ49" i="20"/>
  <c r="AZ43" i="20"/>
  <c r="AZ37" i="20"/>
  <c r="AZ23" i="20"/>
  <c r="AZ98" i="20"/>
  <c r="AZ88" i="20"/>
  <c r="AZ74" i="20"/>
  <c r="AZ79" i="20"/>
  <c r="AZ66" i="20"/>
  <c r="AZ51" i="20"/>
  <c r="AZ27" i="20"/>
  <c r="AZ45" i="20"/>
  <c r="AZ33" i="20"/>
  <c r="AZ20" i="20"/>
  <c r="AZ21" i="20"/>
  <c r="B19" i="20"/>
  <c r="B12" i="20"/>
  <c r="B43" i="2"/>
  <c r="B37" i="20"/>
  <c r="B42" i="20"/>
  <c r="K26" i="20"/>
  <c r="BC26" i="20" s="1"/>
  <c r="K10" i="20"/>
  <c r="BC10" i="20" s="1"/>
  <c r="K12" i="20"/>
  <c r="BC12" i="20" s="1"/>
  <c r="K14" i="20"/>
  <c r="BC14" i="20" s="1"/>
  <c r="K16" i="20"/>
  <c r="BC16" i="20" s="1"/>
  <c r="K18" i="20"/>
  <c r="BC18" i="20" s="1"/>
  <c r="K20" i="20"/>
  <c r="BC20" i="20" s="1"/>
  <c r="K25" i="20"/>
  <c r="BC25" i="20" s="1"/>
  <c r="K28" i="20"/>
  <c r="BC28" i="20" s="1"/>
  <c r="K30" i="20"/>
  <c r="BC30" i="20" s="1"/>
  <c r="K32" i="20"/>
  <c r="BC32" i="20" s="1"/>
  <c r="K34" i="20"/>
  <c r="BC34" i="20" s="1"/>
  <c r="K36" i="20"/>
  <c r="BC36" i="20" s="1"/>
  <c r="K38" i="20"/>
  <c r="BC38" i="20" s="1"/>
  <c r="K40" i="20"/>
  <c r="BC40" i="20" s="1"/>
  <c r="K42" i="20"/>
  <c r="BC42" i="20" s="1"/>
  <c r="K44" i="20"/>
  <c r="BC44" i="20" s="1"/>
  <c r="K46" i="20"/>
  <c r="BC46" i="20" s="1"/>
  <c r="K48" i="20"/>
  <c r="BC48" i="20" s="1"/>
  <c r="K50" i="20"/>
  <c r="BC50" i="20" s="1"/>
  <c r="K52" i="20"/>
  <c r="BC52" i="20" s="1"/>
  <c r="K54" i="20"/>
  <c r="BC54" i="20" s="1"/>
  <c r="K56" i="20"/>
  <c r="BC56" i="20" s="1"/>
  <c r="K58" i="20"/>
  <c r="BC58" i="20" s="1"/>
  <c r="K60" i="20"/>
  <c r="BC60" i="20" s="1"/>
  <c r="K62" i="20"/>
  <c r="BC62" i="20" s="1"/>
  <c r="K64" i="20"/>
  <c r="BC64" i="20" s="1"/>
  <c r="K66" i="20"/>
  <c r="BC66" i="20" s="1"/>
  <c r="K68" i="20"/>
  <c r="BC68" i="20" s="1"/>
  <c r="K70" i="20"/>
  <c r="BC70" i="20" s="1"/>
  <c r="K72" i="20"/>
  <c r="BC72" i="20" s="1"/>
  <c r="K74" i="20"/>
  <c r="BC74" i="20" s="1"/>
  <c r="K76" i="20"/>
  <c r="BC76" i="20" s="1"/>
  <c r="K78" i="20"/>
  <c r="BC78" i="20" s="1"/>
  <c r="K80" i="20"/>
  <c r="BC80" i="20" s="1"/>
  <c r="K82" i="20"/>
  <c r="BC82" i="20" s="1"/>
  <c r="K84" i="20"/>
  <c r="BC84" i="20" s="1"/>
  <c r="K86" i="20"/>
  <c r="BC86" i="20" s="1"/>
  <c r="K88" i="20"/>
  <c r="BC88" i="20" s="1"/>
  <c r="K90" i="20"/>
  <c r="BC90" i="20" s="1"/>
  <c r="K92" i="20"/>
  <c r="BC92" i="20" s="1"/>
  <c r="K94" i="20"/>
  <c r="BC94" i="20" s="1"/>
  <c r="K96" i="20"/>
  <c r="BC96" i="20" s="1"/>
  <c r="K98" i="20"/>
  <c r="BC98" i="20" s="1"/>
  <c r="K100" i="20"/>
  <c r="BC100" i="20" s="1"/>
  <c r="K102" i="20"/>
  <c r="BC102" i="20" s="1"/>
  <c r="K104" i="20"/>
  <c r="BC104" i="20" s="1"/>
  <c r="K106" i="20"/>
  <c r="BC106" i="20" s="1"/>
  <c r="K108" i="20"/>
  <c r="BC108" i="20" s="1"/>
  <c r="K9" i="20"/>
  <c r="BC9" i="20" s="1"/>
  <c r="B14" i="20"/>
  <c r="K11" i="20"/>
  <c r="BC11" i="20" s="1"/>
  <c r="K13" i="20"/>
  <c r="BC13" i="20" s="1"/>
  <c r="K15" i="20"/>
  <c r="BC15" i="20" s="1"/>
  <c r="K17" i="20"/>
  <c r="BC17" i="20" s="1"/>
  <c r="K19" i="20"/>
  <c r="BC19" i="20" s="1"/>
  <c r="K24" i="20"/>
  <c r="BC24" i="20" s="1"/>
  <c r="K27" i="20"/>
  <c r="BC27" i="20" s="1"/>
  <c r="K29" i="20"/>
  <c r="BC29" i="20" s="1"/>
  <c r="K31" i="20"/>
  <c r="BC31" i="20" s="1"/>
  <c r="K33" i="20"/>
  <c r="BC33" i="20" s="1"/>
  <c r="K35" i="20"/>
  <c r="BC35" i="20" s="1"/>
  <c r="K37" i="20"/>
  <c r="BC37" i="20" s="1"/>
  <c r="K39" i="20"/>
  <c r="BC39" i="20" s="1"/>
  <c r="K41" i="20"/>
  <c r="BC41" i="20" s="1"/>
  <c r="K43" i="20"/>
  <c r="BC43" i="20" s="1"/>
  <c r="K45" i="20"/>
  <c r="BC45" i="20" s="1"/>
  <c r="K47" i="20"/>
  <c r="BC47" i="20" s="1"/>
  <c r="K49" i="20"/>
  <c r="BC49" i="20" s="1"/>
  <c r="K51" i="20"/>
  <c r="BC51" i="20" s="1"/>
  <c r="K53" i="20"/>
  <c r="BC53" i="20" s="1"/>
  <c r="K55" i="20"/>
  <c r="BC55" i="20" s="1"/>
  <c r="K57" i="20"/>
  <c r="BC57" i="20" s="1"/>
  <c r="K59" i="20"/>
  <c r="BC59" i="20" s="1"/>
  <c r="K61" i="20"/>
  <c r="BC61" i="20" s="1"/>
  <c r="K63" i="20"/>
  <c r="BC63" i="20" s="1"/>
  <c r="K65" i="20"/>
  <c r="BC65" i="20" s="1"/>
  <c r="K67" i="20"/>
  <c r="BC67" i="20" s="1"/>
  <c r="K69" i="20"/>
  <c r="BC69" i="20" s="1"/>
  <c r="K71" i="20"/>
  <c r="BC71" i="20" s="1"/>
  <c r="K73" i="20"/>
  <c r="BC73" i="20" s="1"/>
  <c r="K75" i="20"/>
  <c r="BC75" i="20" s="1"/>
  <c r="K77" i="20"/>
  <c r="BC77" i="20" s="1"/>
  <c r="K79" i="20"/>
  <c r="BC79" i="20" s="1"/>
  <c r="K81" i="20"/>
  <c r="BC81" i="20" s="1"/>
  <c r="K83" i="20"/>
  <c r="BC83" i="20" s="1"/>
  <c r="K85" i="20"/>
  <c r="BC85" i="20" s="1"/>
  <c r="K87" i="20"/>
  <c r="BC87" i="20" s="1"/>
  <c r="K89" i="20"/>
  <c r="BC89" i="20" s="1"/>
  <c r="K91" i="20"/>
  <c r="BC91" i="20" s="1"/>
  <c r="K93" i="20"/>
  <c r="BC93" i="20" s="1"/>
  <c r="K95" i="20"/>
  <c r="BC95" i="20" s="1"/>
  <c r="K97" i="20"/>
  <c r="BC97" i="20" s="1"/>
  <c r="K99" i="20"/>
  <c r="BC99" i="20" s="1"/>
  <c r="K101" i="20"/>
  <c r="BC101" i="20" s="1"/>
  <c r="K103" i="20"/>
  <c r="BC103" i="20" s="1"/>
  <c r="K105" i="20"/>
  <c r="BC105" i="20" s="1"/>
  <c r="K107" i="20"/>
  <c r="BC107" i="20" s="1"/>
  <c r="K109" i="20"/>
  <c r="BC109" i="20" s="1"/>
  <c r="B58" i="20"/>
  <c r="B42" i="2"/>
  <c r="B40" i="2"/>
  <c r="B10" i="2" s="1"/>
  <c r="D179" i="2" s="1"/>
  <c r="D180" i="2"/>
  <c r="B41" i="2"/>
  <c r="D178" i="2"/>
  <c r="H178" i="2"/>
  <c r="D118" i="2"/>
  <c r="D117" i="2"/>
  <c r="D116" i="2"/>
  <c r="D374" i="2"/>
  <c r="B413" i="2"/>
  <c r="B374" i="2"/>
  <c r="C415" i="2"/>
  <c r="B439" i="2"/>
  <c r="K311" i="2"/>
  <c r="A427" i="2"/>
  <c r="B427" i="2"/>
  <c r="D127" i="2"/>
  <c r="B245" i="2"/>
  <c r="B254" i="2"/>
  <c r="B256" i="2"/>
  <c r="B255" i="2"/>
  <c r="B259" i="2" s="1"/>
  <c r="E328" i="2"/>
  <c r="D129" i="2"/>
  <c r="D132" i="2"/>
  <c r="D134" i="2"/>
  <c r="B69" i="2"/>
  <c r="B333" i="2"/>
  <c r="N10" i="8" s="1"/>
  <c r="F3" i="8"/>
  <c r="F159" i="8" s="1"/>
  <c r="F158" i="8" s="1"/>
  <c r="F157" i="8" s="1"/>
  <c r="F156" i="8" s="1"/>
  <c r="F155" i="8" s="1"/>
  <c r="F154" i="8" s="1"/>
  <c r="F153" i="8" s="1"/>
  <c r="F152" i="8" s="1"/>
  <c r="F151" i="8" s="1"/>
  <c r="F150" i="8" s="1"/>
  <c r="F149" i="8" s="1"/>
  <c r="F148" i="8" s="1"/>
  <c r="F147" i="8" s="1"/>
  <c r="F146" i="8" s="1"/>
  <c r="F145" i="8" s="1"/>
  <c r="F144" i="8" s="1"/>
  <c r="F143" i="8" s="1"/>
  <c r="F142" i="8" s="1"/>
  <c r="F141" i="8" s="1"/>
  <c r="F140" i="8" s="1"/>
  <c r="F139" i="8" s="1"/>
  <c r="F138" i="8" s="1"/>
  <c r="F137" i="8" s="1"/>
  <c r="F136" i="8" s="1"/>
  <c r="F135" i="8" s="1"/>
  <c r="F134" i="8" s="1"/>
  <c r="F133" i="8" s="1"/>
  <c r="F132" i="8" s="1"/>
  <c r="F131" i="8" s="1"/>
  <c r="F130" i="8" s="1"/>
  <c r="F129" i="8" s="1"/>
  <c r="F128" i="8" s="1"/>
  <c r="F127" i="8" s="1"/>
  <c r="F126" i="8" s="1"/>
  <c r="F125" i="8" s="1"/>
  <c r="F124" i="8" s="1"/>
  <c r="F123" i="8" s="1"/>
  <c r="F122" i="8" s="1"/>
  <c r="F121" i="8" s="1"/>
  <c r="F120" i="8" s="1"/>
  <c r="F119" i="8" s="1"/>
  <c r="F118" i="8" s="1"/>
  <c r="F117" i="8" s="1"/>
  <c r="F116" i="8" s="1"/>
  <c r="F115" i="8" s="1"/>
  <c r="F114" i="8" s="1"/>
  <c r="F113" i="8" s="1"/>
  <c r="F112" i="8" s="1"/>
  <c r="F111" i="8" s="1"/>
  <c r="F110" i="8" s="1"/>
  <c r="F109" i="8" s="1"/>
  <c r="F108" i="8" s="1"/>
  <c r="F107" i="8" s="1"/>
  <c r="F106" i="8" s="1"/>
  <c r="F105" i="8" s="1"/>
  <c r="F104" i="8" s="1"/>
  <c r="F103" i="8" s="1"/>
  <c r="F102" i="8" s="1"/>
  <c r="F101" i="8" s="1"/>
  <c r="F100" i="8" s="1"/>
  <c r="F99" i="8" s="1"/>
  <c r="F98" i="8" s="1"/>
  <c r="F97" i="8" s="1"/>
  <c r="F96" i="8" s="1"/>
  <c r="F95" i="8" s="1"/>
  <c r="F94" i="8" s="1"/>
  <c r="F93" i="8" s="1"/>
  <c r="F92" i="8" s="1"/>
  <c r="F91" i="8" s="1"/>
  <c r="F90" i="8" s="1"/>
  <c r="F89" i="8" s="1"/>
  <c r="F88" i="8" s="1"/>
  <c r="F87" i="8" s="1"/>
  <c r="F86" i="8" s="1"/>
  <c r="F85" i="8" s="1"/>
  <c r="F84" i="8" s="1"/>
  <c r="F83" i="8" s="1"/>
  <c r="F82" i="8" s="1"/>
  <c r="F81" i="8" s="1"/>
  <c r="F80" i="8" s="1"/>
  <c r="F79" i="8" s="1"/>
  <c r="F78" i="8" s="1"/>
  <c r="F77" i="8" s="1"/>
  <c r="F76" i="8" s="1"/>
  <c r="F75" i="8" s="1"/>
  <c r="F74" i="8" s="1"/>
  <c r="F73" i="8" s="1"/>
  <c r="F72" i="8" s="1"/>
  <c r="F71" i="8" s="1"/>
  <c r="F70" i="8" s="1"/>
  <c r="F69" i="8" s="1"/>
  <c r="F68" i="8" s="1"/>
  <c r="F67" i="8" s="1"/>
  <c r="F66" i="8" s="1"/>
  <c r="F65" i="8" s="1"/>
  <c r="F64" i="8" s="1"/>
  <c r="F63" i="8" s="1"/>
  <c r="F62" i="8" s="1"/>
  <c r="F61" i="8" s="1"/>
  <c r="F60" i="8" s="1"/>
  <c r="F59" i="8" s="1"/>
  <c r="F58" i="8" s="1"/>
  <c r="F57" i="8" s="1"/>
  <c r="F56" i="8" s="1"/>
  <c r="F55" i="8" s="1"/>
  <c r="F54" i="8" s="1"/>
  <c r="F53" i="8" s="1"/>
  <c r="F52" i="8" s="1"/>
  <c r="F51" i="8" s="1"/>
  <c r="F50" i="8" s="1"/>
  <c r="F49" i="8" s="1"/>
  <c r="F48" i="8" s="1"/>
  <c r="F47" i="8" s="1"/>
  <c r="F46" i="8" s="1"/>
  <c r="F45" i="8" s="1"/>
  <c r="F44" i="8" s="1"/>
  <c r="F43" i="8" s="1"/>
  <c r="F42" i="8" s="1"/>
  <c r="F41" i="8" s="1"/>
  <c r="F40" i="8" s="1"/>
  <c r="F39" i="8" s="1"/>
  <c r="F38" i="8" s="1"/>
  <c r="F37" i="8" s="1"/>
  <c r="F36" i="8" s="1"/>
  <c r="F35" i="8" s="1"/>
  <c r="F34" i="8" s="1"/>
  <c r="F33" i="8" s="1"/>
  <c r="F32" i="8" s="1"/>
  <c r="F31" i="8" s="1"/>
  <c r="F30" i="8" s="1"/>
  <c r="F29" i="8" s="1"/>
  <c r="F28" i="8" s="1"/>
  <c r="F27" i="8" s="1"/>
  <c r="F26" i="8" s="1"/>
  <c r="F25" i="8" s="1"/>
  <c r="F24" i="8" s="1"/>
  <c r="F23" i="8" s="1"/>
  <c r="F22" i="8" s="1"/>
  <c r="F21" i="8" s="1"/>
  <c r="F20" i="8" s="1"/>
  <c r="F19" i="8" s="1"/>
  <c r="F18" i="8" s="1"/>
  <c r="F17" i="8" s="1"/>
  <c r="F16" i="8" s="1"/>
  <c r="F15" i="8" s="1"/>
  <c r="F14" i="8" s="1"/>
  <c r="F13" i="8" s="1"/>
  <c r="F12" i="8" s="1"/>
  <c r="F11" i="8" s="1"/>
  <c r="F10" i="8" s="1"/>
  <c r="F9" i="8" s="1"/>
  <c r="F8" i="8" s="1"/>
  <c r="F7" i="8" s="1"/>
  <c r="F6" i="8" s="1"/>
  <c r="F4" i="8" s="1"/>
  <c r="B15" i="2"/>
  <c r="B17" i="2" s="1"/>
  <c r="B293" i="2"/>
  <c r="B14" i="2"/>
  <c r="D160" i="2"/>
  <c r="E78" i="2"/>
  <c r="E79" i="2"/>
  <c r="D162" i="2"/>
  <c r="E80" i="2"/>
  <c r="B145" i="2"/>
  <c r="N149" i="2"/>
  <c r="D102" i="2"/>
  <c r="D149" i="2"/>
  <c r="C51" i="2"/>
  <c r="C72" i="2"/>
  <c r="C90" i="2"/>
  <c r="D60" i="2"/>
  <c r="M102" i="2"/>
  <c r="M104" i="2"/>
  <c r="C92" i="2"/>
  <c r="D62" i="2"/>
  <c r="M103" i="2"/>
  <c r="C52" i="2"/>
  <c r="D103" i="2"/>
  <c r="C74" i="2"/>
  <c r="C53" i="2"/>
  <c r="D151" i="2"/>
  <c r="N151" i="2"/>
  <c r="C73" i="2"/>
  <c r="N150" i="2"/>
  <c r="D61" i="2"/>
  <c r="C91" i="2"/>
  <c r="D104" i="2"/>
  <c r="B147" i="2"/>
  <c r="B146" i="2"/>
  <c r="B53" i="2"/>
  <c r="B58" i="2" s="1"/>
  <c r="B51" i="2"/>
  <c r="B56" i="2" s="1"/>
  <c r="B52" i="2"/>
  <c r="B57" i="2" s="1"/>
  <c r="C48" i="2"/>
  <c r="B48" i="2"/>
  <c r="B205" i="2"/>
  <c r="B3" i="8" s="1"/>
  <c r="B159" i="8" s="1"/>
  <c r="B158" i="8" s="1"/>
  <c r="B157" i="8" s="1"/>
  <c r="B156" i="8" s="1"/>
  <c r="B155" i="8" s="1"/>
  <c r="B154" i="8" s="1"/>
  <c r="B153" i="8" s="1"/>
  <c r="B152" i="8" s="1"/>
  <c r="B151" i="8" s="1"/>
  <c r="B150" i="8" s="1"/>
  <c r="B149" i="8" s="1"/>
  <c r="B148" i="8" s="1"/>
  <c r="B147" i="8" s="1"/>
  <c r="B146" i="8" s="1"/>
  <c r="B145" i="8" s="1"/>
  <c r="B144" i="8" s="1"/>
  <c r="B143" i="8" s="1"/>
  <c r="B142" i="8" s="1"/>
  <c r="B141" i="8" s="1"/>
  <c r="B140" i="8" s="1"/>
  <c r="B139" i="8" s="1"/>
  <c r="B138" i="8" s="1"/>
  <c r="B137" i="8" s="1"/>
  <c r="B136" i="8" s="1"/>
  <c r="B135" i="8" s="1"/>
  <c r="B134" i="8" s="1"/>
  <c r="B133" i="8" s="1"/>
  <c r="B132" i="8" s="1"/>
  <c r="B131" i="8" s="1"/>
  <c r="B130" i="8" s="1"/>
  <c r="B129" i="8" s="1"/>
  <c r="B128" i="8" s="1"/>
  <c r="B127" i="8" s="1"/>
  <c r="B126" i="8" s="1"/>
  <c r="B125" i="8" s="1"/>
  <c r="B124" i="8" s="1"/>
  <c r="B123" i="8" s="1"/>
  <c r="B122" i="8" s="1"/>
  <c r="B121" i="8" s="1"/>
  <c r="B120" i="8" s="1"/>
  <c r="B119" i="8" s="1"/>
  <c r="B118" i="8" s="1"/>
  <c r="B117" i="8" s="1"/>
  <c r="B116" i="8" s="1"/>
  <c r="B115" i="8" s="1"/>
  <c r="B114" i="8" s="1"/>
  <c r="B113" i="8" s="1"/>
  <c r="B112" i="8" s="1"/>
  <c r="B111" i="8" s="1"/>
  <c r="B110" i="8" s="1"/>
  <c r="B109" i="8" s="1"/>
  <c r="B108" i="8" s="1"/>
  <c r="B107" i="8" s="1"/>
  <c r="B106" i="8" s="1"/>
  <c r="B105" i="8" s="1"/>
  <c r="B104" i="8" s="1"/>
  <c r="B103" i="8" s="1"/>
  <c r="B102" i="8" s="1"/>
  <c r="B101" i="8" s="1"/>
  <c r="B100" i="8" s="1"/>
  <c r="B99" i="8" s="1"/>
  <c r="B98" i="8" s="1"/>
  <c r="B97" i="8" s="1"/>
  <c r="B96" i="8" s="1"/>
  <c r="B95" i="8" s="1"/>
  <c r="B94" i="8" s="1"/>
  <c r="B93" i="8" s="1"/>
  <c r="B92" i="8" s="1"/>
  <c r="B91" i="8" s="1"/>
  <c r="B90" i="8" s="1"/>
  <c r="B89" i="8" s="1"/>
  <c r="B88" i="8" s="1"/>
  <c r="B87" i="8" s="1"/>
  <c r="B86" i="8" s="1"/>
  <c r="B85" i="8" s="1"/>
  <c r="B84" i="8" s="1"/>
  <c r="B83" i="8" s="1"/>
  <c r="B82" i="8" s="1"/>
  <c r="B81" i="8" s="1"/>
  <c r="B80" i="8" s="1"/>
  <c r="B79" i="8" s="1"/>
  <c r="B78" i="8" s="1"/>
  <c r="B77" i="8" s="1"/>
  <c r="B76" i="8" s="1"/>
  <c r="B75" i="8" s="1"/>
  <c r="B74" i="8" s="1"/>
  <c r="B73" i="8" s="1"/>
  <c r="B72" i="8" s="1"/>
  <c r="B71" i="8" s="1"/>
  <c r="B70" i="8" s="1"/>
  <c r="B69" i="8" s="1"/>
  <c r="B68" i="8" s="1"/>
  <c r="B67" i="8" s="1"/>
  <c r="B66" i="8" s="1"/>
  <c r="B65" i="8" s="1"/>
  <c r="B64" i="8" s="1"/>
  <c r="B63" i="8" s="1"/>
  <c r="B62" i="8" s="1"/>
  <c r="B61" i="8" s="1"/>
  <c r="B60" i="8" s="1"/>
  <c r="B59" i="8" s="1"/>
  <c r="B58" i="8" s="1"/>
  <c r="B57" i="8" s="1"/>
  <c r="B56" i="8" s="1"/>
  <c r="B55" i="8" s="1"/>
  <c r="B54" i="8" s="1"/>
  <c r="B53" i="8" s="1"/>
  <c r="B52" i="8" s="1"/>
  <c r="B51" i="8" s="1"/>
  <c r="B50" i="8" s="1"/>
  <c r="B49" i="8" s="1"/>
  <c r="B48" i="8" s="1"/>
  <c r="B47" i="8" s="1"/>
  <c r="B46" i="8" s="1"/>
  <c r="B45" i="8" s="1"/>
  <c r="B44" i="8" s="1"/>
  <c r="B43" i="8" s="1"/>
  <c r="B42" i="8" s="1"/>
  <c r="B41" i="8" s="1"/>
  <c r="B40" i="8" s="1"/>
  <c r="B39" i="8" s="1"/>
  <c r="B38" i="8" s="1"/>
  <c r="B37" i="8" s="1"/>
  <c r="B36" i="8" s="1"/>
  <c r="B35" i="8" s="1"/>
  <c r="B34" i="8" s="1"/>
  <c r="B33" i="8" s="1"/>
  <c r="B32" i="8" s="1"/>
  <c r="B31" i="8" s="1"/>
  <c r="B30" i="8" s="1"/>
  <c r="B29" i="8" s="1"/>
  <c r="B28" i="8" s="1"/>
  <c r="B27" i="8" s="1"/>
  <c r="B26" i="8" s="1"/>
  <c r="B25" i="8" s="1"/>
  <c r="B24" i="8" s="1"/>
  <c r="B23" i="8" s="1"/>
  <c r="B22" i="8" s="1"/>
  <c r="B21" i="8" s="1"/>
  <c r="B20" i="8" s="1"/>
  <c r="B19" i="8" s="1"/>
  <c r="B18" i="8" s="1"/>
  <c r="B17" i="8" s="1"/>
  <c r="B16" i="8" s="1"/>
  <c r="B15" i="8" s="1"/>
  <c r="B14" i="8" s="1"/>
  <c r="B13" i="8" s="1"/>
  <c r="B12" i="8" s="1"/>
  <c r="B11" i="8" s="1"/>
  <c r="B10" i="8" s="1"/>
  <c r="B9" i="8" s="1"/>
  <c r="B8" i="8" s="1"/>
  <c r="B7" i="8" s="1"/>
  <c r="B6" i="8" s="1"/>
  <c r="B4" i="8" s="1"/>
  <c r="B437" i="2"/>
  <c r="O21" i="8"/>
  <c r="N4" i="8"/>
  <c r="O4" i="8" s="1"/>
  <c r="E12" i="1" s="1"/>
  <c r="O9" i="8"/>
  <c r="F74" i="1"/>
  <c r="B351" i="2"/>
  <c r="D328" i="2"/>
  <c r="I159" i="8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I9" i="8" s="1"/>
  <c r="I8" i="8" s="1"/>
  <c r="I7" i="8" s="1"/>
  <c r="I6" i="8" s="1"/>
  <c r="I4" i="8" s="1"/>
  <c r="H159" i="8"/>
  <c r="H158" i="8" s="1"/>
  <c r="H157" i="8" s="1"/>
  <c r="H156" i="8" s="1"/>
  <c r="H155" i="8" s="1"/>
  <c r="H154" i="8" s="1"/>
  <c r="H153" i="8" s="1"/>
  <c r="H152" i="8" s="1"/>
  <c r="H151" i="8" s="1"/>
  <c r="H150" i="8" s="1"/>
  <c r="H149" i="8" s="1"/>
  <c r="H148" i="8" s="1"/>
  <c r="H147" i="8" s="1"/>
  <c r="H146" i="8" s="1"/>
  <c r="H145" i="8" s="1"/>
  <c r="H144" i="8" s="1"/>
  <c r="H143" i="8" s="1"/>
  <c r="H142" i="8" s="1"/>
  <c r="H141" i="8" s="1"/>
  <c r="H140" i="8" s="1"/>
  <c r="H139" i="8" s="1"/>
  <c r="H138" i="8" s="1"/>
  <c r="H137" i="8" s="1"/>
  <c r="H136" i="8" s="1"/>
  <c r="H135" i="8" s="1"/>
  <c r="H134" i="8" s="1"/>
  <c r="H133" i="8" s="1"/>
  <c r="H132" i="8" s="1"/>
  <c r="H131" i="8" s="1"/>
  <c r="H130" i="8" s="1"/>
  <c r="H129" i="8" s="1"/>
  <c r="H128" i="8" s="1"/>
  <c r="H127" i="8" s="1"/>
  <c r="H126" i="8" s="1"/>
  <c r="H125" i="8" s="1"/>
  <c r="H124" i="8" s="1"/>
  <c r="H123" i="8" s="1"/>
  <c r="H122" i="8" s="1"/>
  <c r="H121" i="8" s="1"/>
  <c r="H120" i="8" s="1"/>
  <c r="H119" i="8" s="1"/>
  <c r="H118" i="8" s="1"/>
  <c r="H117" i="8" s="1"/>
  <c r="H116" i="8" s="1"/>
  <c r="H115" i="8" s="1"/>
  <c r="H114" i="8" s="1"/>
  <c r="H113" i="8" s="1"/>
  <c r="H112" i="8" s="1"/>
  <c r="H111" i="8" s="1"/>
  <c r="H110" i="8" s="1"/>
  <c r="H109" i="8" s="1"/>
  <c r="H108" i="8" s="1"/>
  <c r="H107" i="8" s="1"/>
  <c r="H106" i="8" s="1"/>
  <c r="H105" i="8" s="1"/>
  <c r="H104" i="8" s="1"/>
  <c r="H103" i="8" s="1"/>
  <c r="H102" i="8" s="1"/>
  <c r="H101" i="8" s="1"/>
  <c r="H100" i="8" s="1"/>
  <c r="H99" i="8" s="1"/>
  <c r="H98" i="8" s="1"/>
  <c r="H97" i="8" s="1"/>
  <c r="H96" i="8" s="1"/>
  <c r="H95" i="8" s="1"/>
  <c r="H94" i="8" s="1"/>
  <c r="H93" i="8" s="1"/>
  <c r="H92" i="8" s="1"/>
  <c r="H91" i="8" s="1"/>
  <c r="H90" i="8" s="1"/>
  <c r="H89" i="8" s="1"/>
  <c r="H88" i="8" s="1"/>
  <c r="H87" i="8" s="1"/>
  <c r="H86" i="8" s="1"/>
  <c r="H85" i="8" s="1"/>
  <c r="H84" i="8" s="1"/>
  <c r="H83" i="8" s="1"/>
  <c r="H82" i="8" s="1"/>
  <c r="H81" i="8" s="1"/>
  <c r="H80" i="8" s="1"/>
  <c r="H79" i="8" s="1"/>
  <c r="H78" i="8" s="1"/>
  <c r="H77" i="8" s="1"/>
  <c r="H76" i="8" s="1"/>
  <c r="H75" i="8" s="1"/>
  <c r="H74" i="8" s="1"/>
  <c r="H73" i="8" s="1"/>
  <c r="H72" i="8" s="1"/>
  <c r="H71" i="8" s="1"/>
  <c r="H70" i="8" s="1"/>
  <c r="H69" i="8" s="1"/>
  <c r="H68" i="8" s="1"/>
  <c r="H67" i="8" s="1"/>
  <c r="H66" i="8" s="1"/>
  <c r="H65" i="8" s="1"/>
  <c r="H64" i="8" s="1"/>
  <c r="H63" i="8" s="1"/>
  <c r="H62" i="8" s="1"/>
  <c r="H61" i="8" s="1"/>
  <c r="H60" i="8" s="1"/>
  <c r="H59" i="8" s="1"/>
  <c r="H58" i="8" s="1"/>
  <c r="H57" i="8" s="1"/>
  <c r="H56" i="8" s="1"/>
  <c r="H55" i="8" s="1"/>
  <c r="H54" i="8" s="1"/>
  <c r="H53" i="8" s="1"/>
  <c r="H52" i="8" s="1"/>
  <c r="H51" i="8" s="1"/>
  <c r="H50" i="8" s="1"/>
  <c r="H49" i="8" s="1"/>
  <c r="H48" i="8" s="1"/>
  <c r="H47" i="8" s="1"/>
  <c r="H46" i="8" s="1"/>
  <c r="H45" i="8" s="1"/>
  <c r="H44" i="8" s="1"/>
  <c r="H43" i="8" s="1"/>
  <c r="H42" i="8" s="1"/>
  <c r="H41" i="8" s="1"/>
  <c r="H40" i="8" s="1"/>
  <c r="H39" i="8" s="1"/>
  <c r="H38" i="8" s="1"/>
  <c r="H37" i="8" s="1"/>
  <c r="H36" i="8" s="1"/>
  <c r="H35" i="8" s="1"/>
  <c r="H34" i="8" s="1"/>
  <c r="H33" i="8" s="1"/>
  <c r="H32" i="8" s="1"/>
  <c r="H31" i="8" s="1"/>
  <c r="H30" i="8" s="1"/>
  <c r="H29" i="8" s="1"/>
  <c r="H28" i="8" s="1"/>
  <c r="H27" i="8" s="1"/>
  <c r="H26" i="8" s="1"/>
  <c r="H25" i="8" s="1"/>
  <c r="H24" i="8" s="1"/>
  <c r="H23" i="8" s="1"/>
  <c r="H22" i="8" s="1"/>
  <c r="H21" i="8" s="1"/>
  <c r="H20" i="8" s="1"/>
  <c r="H19" i="8" s="1"/>
  <c r="H18" i="8" s="1"/>
  <c r="H17" i="8" s="1"/>
  <c r="H16" i="8" s="1"/>
  <c r="H15" i="8" s="1"/>
  <c r="H14" i="8" s="1"/>
  <c r="H13" i="8" s="1"/>
  <c r="H12" i="8" s="1"/>
  <c r="H11" i="8" s="1"/>
  <c r="H10" i="8" s="1"/>
  <c r="H9" i="8" s="1"/>
  <c r="H8" i="8" s="1"/>
  <c r="H7" i="8" s="1"/>
  <c r="H6" i="8" s="1"/>
  <c r="H4" i="8" s="1"/>
  <c r="O19" i="8" s="1"/>
  <c r="E61" i="1" s="1"/>
  <c r="J159" i="8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J9" i="8" s="1"/>
  <c r="J8" i="8" s="1"/>
  <c r="J7" i="8" s="1"/>
  <c r="J6" i="8" s="1"/>
  <c r="J4" i="8" s="1"/>
  <c r="B4" i="6"/>
  <c r="B12" i="6" s="1"/>
  <c r="B13" i="6" s="1"/>
  <c r="B95" i="2"/>
  <c r="B312" i="2"/>
  <c r="K3" i="17" s="1"/>
  <c r="B204" i="2"/>
  <c r="E3" i="8"/>
  <c r="E159" i="8" s="1"/>
  <c r="E158" i="8" s="1"/>
  <c r="E157" i="8" s="1"/>
  <c r="E156" i="8" s="1"/>
  <c r="E155" i="8" s="1"/>
  <c r="E154" i="8" s="1"/>
  <c r="E153" i="8" s="1"/>
  <c r="E152" i="8" s="1"/>
  <c r="E151" i="8" s="1"/>
  <c r="E150" i="8" s="1"/>
  <c r="E149" i="8" s="1"/>
  <c r="E148" i="8" s="1"/>
  <c r="E147" i="8" s="1"/>
  <c r="E146" i="8" s="1"/>
  <c r="E145" i="8" s="1"/>
  <c r="E144" i="8" s="1"/>
  <c r="E143" i="8" s="1"/>
  <c r="E142" i="8" s="1"/>
  <c r="E141" i="8" s="1"/>
  <c r="E140" i="8" s="1"/>
  <c r="E139" i="8" s="1"/>
  <c r="E138" i="8" s="1"/>
  <c r="E137" i="8" s="1"/>
  <c r="E136" i="8" s="1"/>
  <c r="E135" i="8" s="1"/>
  <c r="E134" i="8" s="1"/>
  <c r="E133" i="8" s="1"/>
  <c r="E132" i="8" s="1"/>
  <c r="E131" i="8" s="1"/>
  <c r="E130" i="8" s="1"/>
  <c r="E129" i="8" s="1"/>
  <c r="E128" i="8" s="1"/>
  <c r="E127" i="8" s="1"/>
  <c r="E126" i="8" s="1"/>
  <c r="E125" i="8" s="1"/>
  <c r="E124" i="8" s="1"/>
  <c r="E123" i="8" s="1"/>
  <c r="E122" i="8" s="1"/>
  <c r="E121" i="8" s="1"/>
  <c r="E120" i="8" s="1"/>
  <c r="E119" i="8" s="1"/>
  <c r="E118" i="8" s="1"/>
  <c r="E117" i="8" s="1"/>
  <c r="E116" i="8" s="1"/>
  <c r="E115" i="8" s="1"/>
  <c r="E114" i="8" s="1"/>
  <c r="E113" i="8" s="1"/>
  <c r="E112" i="8" s="1"/>
  <c r="E111" i="8" s="1"/>
  <c r="E110" i="8" s="1"/>
  <c r="E109" i="8" s="1"/>
  <c r="E108" i="8" s="1"/>
  <c r="E107" i="8" s="1"/>
  <c r="E106" i="8" s="1"/>
  <c r="E105" i="8" s="1"/>
  <c r="E104" i="8" s="1"/>
  <c r="E103" i="8" s="1"/>
  <c r="E102" i="8" s="1"/>
  <c r="E101" i="8" s="1"/>
  <c r="E100" i="8" s="1"/>
  <c r="E99" i="8" s="1"/>
  <c r="E98" i="8" s="1"/>
  <c r="E97" i="8" s="1"/>
  <c r="E96" i="8" s="1"/>
  <c r="E95" i="8" s="1"/>
  <c r="E94" i="8" s="1"/>
  <c r="E93" i="8" s="1"/>
  <c r="E92" i="8" s="1"/>
  <c r="E91" i="8" s="1"/>
  <c r="E90" i="8" s="1"/>
  <c r="E89" i="8" s="1"/>
  <c r="E88" i="8" s="1"/>
  <c r="E87" i="8" s="1"/>
  <c r="E86" i="8" s="1"/>
  <c r="E85" i="8" s="1"/>
  <c r="E84" i="8" s="1"/>
  <c r="E83" i="8" s="1"/>
  <c r="E82" i="8" s="1"/>
  <c r="E81" i="8" s="1"/>
  <c r="E80" i="8" s="1"/>
  <c r="E79" i="8" s="1"/>
  <c r="E78" i="8" s="1"/>
  <c r="E77" i="8" s="1"/>
  <c r="E76" i="8" s="1"/>
  <c r="E75" i="8" s="1"/>
  <c r="E74" i="8" s="1"/>
  <c r="E73" i="8" s="1"/>
  <c r="E72" i="8" s="1"/>
  <c r="E71" i="8" s="1"/>
  <c r="E70" i="8" s="1"/>
  <c r="E69" i="8" s="1"/>
  <c r="E68" i="8" s="1"/>
  <c r="E67" i="8" s="1"/>
  <c r="E66" i="8" s="1"/>
  <c r="E65" i="8" s="1"/>
  <c r="E64" i="8" s="1"/>
  <c r="E63" i="8" s="1"/>
  <c r="E62" i="8" s="1"/>
  <c r="E61" i="8" s="1"/>
  <c r="E60" i="8" s="1"/>
  <c r="E59" i="8" s="1"/>
  <c r="E58" i="8" s="1"/>
  <c r="E57" i="8" s="1"/>
  <c r="E56" i="8" s="1"/>
  <c r="E55" i="8" s="1"/>
  <c r="E54" i="8" s="1"/>
  <c r="E53" i="8" s="1"/>
  <c r="E52" i="8" s="1"/>
  <c r="E51" i="8" s="1"/>
  <c r="E50" i="8" s="1"/>
  <c r="E49" i="8" s="1"/>
  <c r="E48" i="8" s="1"/>
  <c r="E47" i="8" s="1"/>
  <c r="E46" i="8" s="1"/>
  <c r="E45" i="8" s="1"/>
  <c r="E44" i="8" s="1"/>
  <c r="E43" i="8" s="1"/>
  <c r="E42" i="8" s="1"/>
  <c r="E41" i="8" s="1"/>
  <c r="E40" i="8" s="1"/>
  <c r="E39" i="8" s="1"/>
  <c r="E38" i="8" s="1"/>
  <c r="E37" i="8" s="1"/>
  <c r="E36" i="8" s="1"/>
  <c r="E35" i="8" s="1"/>
  <c r="E34" i="8" s="1"/>
  <c r="E33" i="8" s="1"/>
  <c r="E32" i="8" s="1"/>
  <c r="E31" i="8" s="1"/>
  <c r="E30" i="8" s="1"/>
  <c r="E29" i="8" s="1"/>
  <c r="E28" i="8" s="1"/>
  <c r="E27" i="8" s="1"/>
  <c r="E26" i="8" s="1"/>
  <c r="E25" i="8" s="1"/>
  <c r="E24" i="8" s="1"/>
  <c r="E23" i="8" s="1"/>
  <c r="E22" i="8" s="1"/>
  <c r="E21" i="8" s="1"/>
  <c r="E20" i="8" s="1"/>
  <c r="E19" i="8" s="1"/>
  <c r="E18" i="8" s="1"/>
  <c r="E17" i="8" s="1"/>
  <c r="E16" i="8" s="1"/>
  <c r="E15" i="8" s="1"/>
  <c r="E14" i="8" s="1"/>
  <c r="E13" i="8" s="1"/>
  <c r="E12" i="8" s="1"/>
  <c r="E11" i="8" s="1"/>
  <c r="E10" i="8" s="1"/>
  <c r="E9" i="8" s="1"/>
  <c r="E8" i="8" s="1"/>
  <c r="E7" i="8" s="1"/>
  <c r="E6" i="8" s="1"/>
  <c r="E4" i="8" s="1"/>
  <c r="B81" i="2" l="1"/>
  <c r="BC12" i="21"/>
  <c r="L12" i="21"/>
  <c r="BC106" i="21"/>
  <c r="L106" i="21"/>
  <c r="BC102" i="21"/>
  <c r="L102" i="21"/>
  <c r="BC98" i="21"/>
  <c r="L98" i="21"/>
  <c r="BC94" i="21"/>
  <c r="L94" i="21"/>
  <c r="BC90" i="21"/>
  <c r="L90" i="21"/>
  <c r="BC86" i="21"/>
  <c r="L86" i="21"/>
  <c r="BC82" i="21"/>
  <c r="L82" i="21"/>
  <c r="BC78" i="21"/>
  <c r="L78" i="21"/>
  <c r="BC74" i="21"/>
  <c r="L74" i="21"/>
  <c r="BC70" i="21"/>
  <c r="L70" i="21"/>
  <c r="BC66" i="21"/>
  <c r="L66" i="21"/>
  <c r="BC62" i="21"/>
  <c r="L62" i="21"/>
  <c r="BC58" i="21"/>
  <c r="L58" i="21"/>
  <c r="BC54" i="21"/>
  <c r="L54" i="21"/>
  <c r="BC50" i="21"/>
  <c r="L50" i="21"/>
  <c r="BC46" i="21"/>
  <c r="L46" i="21"/>
  <c r="BC42" i="21"/>
  <c r="L42" i="21"/>
  <c r="BC38" i="21"/>
  <c r="L38" i="21"/>
  <c r="BC34" i="21"/>
  <c r="L34" i="21"/>
  <c r="BC30" i="21"/>
  <c r="L30" i="21"/>
  <c r="BC26" i="21"/>
  <c r="L26" i="21"/>
  <c r="BC22" i="21"/>
  <c r="L22" i="21"/>
  <c r="BC18" i="21"/>
  <c r="L18" i="21"/>
  <c r="BC14" i="21"/>
  <c r="L14" i="21"/>
  <c r="BC10" i="21"/>
  <c r="L10" i="21"/>
  <c r="BC107" i="21"/>
  <c r="L107" i="21"/>
  <c r="BC103" i="21"/>
  <c r="L103" i="21"/>
  <c r="BC99" i="21"/>
  <c r="L99" i="21"/>
  <c r="BC95" i="21"/>
  <c r="L95" i="21"/>
  <c r="BC91" i="21"/>
  <c r="L91" i="21"/>
  <c r="BC87" i="21"/>
  <c r="L87" i="21"/>
  <c r="BC83" i="21"/>
  <c r="L83" i="21"/>
  <c r="BC79" i="21"/>
  <c r="L79" i="21"/>
  <c r="BC75" i="21"/>
  <c r="L75" i="21"/>
  <c r="BC71" i="21"/>
  <c r="L71" i="21"/>
  <c r="BC67" i="21"/>
  <c r="L67" i="21"/>
  <c r="BC63" i="21"/>
  <c r="L63" i="21"/>
  <c r="BC59" i="21"/>
  <c r="L59" i="21"/>
  <c r="BC55" i="21"/>
  <c r="L55" i="21"/>
  <c r="BC51" i="21"/>
  <c r="L51" i="21"/>
  <c r="BC47" i="21"/>
  <c r="L47" i="21"/>
  <c r="BC43" i="21"/>
  <c r="L43" i="21"/>
  <c r="BC39" i="21"/>
  <c r="L39" i="21"/>
  <c r="BC35" i="21"/>
  <c r="L35" i="21"/>
  <c r="BC31" i="21"/>
  <c r="L31" i="21"/>
  <c r="BC27" i="21"/>
  <c r="L27" i="21"/>
  <c r="BC23" i="21"/>
  <c r="L23" i="21"/>
  <c r="BC19" i="21"/>
  <c r="L19" i="21"/>
  <c r="BC15" i="21"/>
  <c r="L15" i="21"/>
  <c r="BC11" i="21"/>
  <c r="L11" i="21"/>
  <c r="BC108" i="21"/>
  <c r="L108" i="21"/>
  <c r="BC104" i="21"/>
  <c r="L104" i="21"/>
  <c r="BC100" i="21"/>
  <c r="L100" i="21"/>
  <c r="BC96" i="21"/>
  <c r="L96" i="21"/>
  <c r="BC92" i="21"/>
  <c r="L92" i="21"/>
  <c r="BC88" i="21"/>
  <c r="L88" i="21"/>
  <c r="BC84" i="21"/>
  <c r="L84" i="21"/>
  <c r="BC80" i="21"/>
  <c r="L80" i="21"/>
  <c r="BC76" i="21"/>
  <c r="L76" i="21"/>
  <c r="BC72" i="21"/>
  <c r="L72" i="21"/>
  <c r="BC68" i="21"/>
  <c r="L68" i="21"/>
  <c r="BC64" i="21"/>
  <c r="L64" i="21"/>
  <c r="BC60" i="21"/>
  <c r="L60" i="21"/>
  <c r="BC56" i="21"/>
  <c r="L56" i="21"/>
  <c r="BC52" i="21"/>
  <c r="L52" i="21"/>
  <c r="BC48" i="21"/>
  <c r="L48" i="21"/>
  <c r="BC44" i="21"/>
  <c r="L44" i="21"/>
  <c r="BC40" i="21"/>
  <c r="L40" i="21"/>
  <c r="BC36" i="21"/>
  <c r="L36" i="21"/>
  <c r="BC32" i="21"/>
  <c r="L32" i="21"/>
  <c r="BC28" i="21"/>
  <c r="L28" i="21"/>
  <c r="BC24" i="21"/>
  <c r="L24" i="21"/>
  <c r="BC20" i="21"/>
  <c r="L20" i="21"/>
  <c r="BC16" i="21"/>
  <c r="L16" i="21"/>
  <c r="BC109" i="21"/>
  <c r="L109" i="21"/>
  <c r="BC105" i="21"/>
  <c r="L105" i="21"/>
  <c r="BC101" i="21"/>
  <c r="L101" i="21"/>
  <c r="BC97" i="21"/>
  <c r="L97" i="21"/>
  <c r="BC93" i="21"/>
  <c r="L93" i="21"/>
  <c r="BC89" i="21"/>
  <c r="L89" i="21"/>
  <c r="BC85" i="21"/>
  <c r="L85" i="21"/>
  <c r="BC81" i="21"/>
  <c r="L81" i="21"/>
  <c r="BC77" i="21"/>
  <c r="L77" i="21"/>
  <c r="BC73" i="21"/>
  <c r="L73" i="21"/>
  <c r="BC69" i="21"/>
  <c r="L69" i="21"/>
  <c r="BC65" i="21"/>
  <c r="L65" i="21"/>
  <c r="BC61" i="21"/>
  <c r="L61" i="21"/>
  <c r="BC57" i="21"/>
  <c r="L57" i="21"/>
  <c r="BC53" i="21"/>
  <c r="L53" i="21"/>
  <c r="BC49" i="21"/>
  <c r="L49" i="21"/>
  <c r="BC45" i="21"/>
  <c r="L45" i="21"/>
  <c r="BC41" i="21"/>
  <c r="L41" i="21"/>
  <c r="BC37" i="21"/>
  <c r="L37" i="21"/>
  <c r="BC33" i="21"/>
  <c r="L33" i="21"/>
  <c r="BC29" i="21"/>
  <c r="L29" i="21"/>
  <c r="BC25" i="21"/>
  <c r="L25" i="21"/>
  <c r="BC21" i="21"/>
  <c r="L21" i="21"/>
  <c r="BC17" i="21"/>
  <c r="L17" i="21"/>
  <c r="BC13" i="21"/>
  <c r="L13" i="21"/>
  <c r="B73" i="21"/>
  <c r="B45" i="21"/>
  <c r="B72" i="21"/>
  <c r="I79" i="21"/>
  <c r="J79" i="21" s="1"/>
  <c r="AY79" i="21" s="1"/>
  <c r="I78" i="21"/>
  <c r="J78" i="21" s="1"/>
  <c r="AY78" i="21" s="1"/>
  <c r="I76" i="21"/>
  <c r="J76" i="21" s="1"/>
  <c r="AY76" i="21" s="1"/>
  <c r="I74" i="21"/>
  <c r="J74" i="21" s="1"/>
  <c r="AY74" i="21" s="1"/>
  <c r="I73" i="21"/>
  <c r="J73" i="21" s="1"/>
  <c r="AY73" i="21" s="1"/>
  <c r="I71" i="21"/>
  <c r="J71" i="21" s="1"/>
  <c r="AY71" i="21" s="1"/>
  <c r="I70" i="21"/>
  <c r="J70" i="21" s="1"/>
  <c r="AY70" i="21" s="1"/>
  <c r="I109" i="21"/>
  <c r="J109" i="21" s="1"/>
  <c r="AY109" i="21" s="1"/>
  <c r="I108" i="21"/>
  <c r="J108" i="21" s="1"/>
  <c r="AY108" i="21" s="1"/>
  <c r="I107" i="21"/>
  <c r="J107" i="21" s="1"/>
  <c r="AY107" i="21" s="1"/>
  <c r="I106" i="21"/>
  <c r="J106" i="21" s="1"/>
  <c r="AY106" i="21" s="1"/>
  <c r="I105" i="21"/>
  <c r="J105" i="21" s="1"/>
  <c r="AY105" i="21" s="1"/>
  <c r="I104" i="21"/>
  <c r="J104" i="21" s="1"/>
  <c r="AY104" i="21" s="1"/>
  <c r="I103" i="21"/>
  <c r="J103" i="21" s="1"/>
  <c r="AY103" i="21" s="1"/>
  <c r="I102" i="21"/>
  <c r="J102" i="21" s="1"/>
  <c r="AY102" i="21" s="1"/>
  <c r="I101" i="21"/>
  <c r="J101" i="21" s="1"/>
  <c r="AY101" i="21" s="1"/>
  <c r="I100" i="21"/>
  <c r="J100" i="21" s="1"/>
  <c r="AY100" i="21" s="1"/>
  <c r="I99" i="21"/>
  <c r="J99" i="21" s="1"/>
  <c r="AY99" i="21" s="1"/>
  <c r="I98" i="21"/>
  <c r="J98" i="21" s="1"/>
  <c r="AY98" i="21" s="1"/>
  <c r="I97" i="21"/>
  <c r="J97" i="21" s="1"/>
  <c r="AY97" i="21" s="1"/>
  <c r="I96" i="21"/>
  <c r="J96" i="21" s="1"/>
  <c r="AY96" i="21" s="1"/>
  <c r="I95" i="21"/>
  <c r="J95" i="21" s="1"/>
  <c r="AY95" i="21" s="1"/>
  <c r="I94" i="21"/>
  <c r="J94" i="21" s="1"/>
  <c r="AY94" i="21" s="1"/>
  <c r="I93" i="21"/>
  <c r="J93" i="21" s="1"/>
  <c r="AY93" i="21" s="1"/>
  <c r="I92" i="21"/>
  <c r="J92" i="21" s="1"/>
  <c r="AY92" i="21" s="1"/>
  <c r="I91" i="21"/>
  <c r="J91" i="21" s="1"/>
  <c r="AY91" i="21" s="1"/>
  <c r="I51" i="21"/>
  <c r="J51" i="21" s="1"/>
  <c r="AY51" i="21" s="1"/>
  <c r="I46" i="21"/>
  <c r="J46" i="21" s="1"/>
  <c r="AY46" i="21" s="1"/>
  <c r="I44" i="21"/>
  <c r="J44" i="21" s="1"/>
  <c r="AY44" i="21" s="1"/>
  <c r="I42" i="21"/>
  <c r="J42" i="21" s="1"/>
  <c r="AY42" i="21" s="1"/>
  <c r="I32" i="21"/>
  <c r="J32" i="21" s="1"/>
  <c r="AY32" i="21" s="1"/>
  <c r="I59" i="21"/>
  <c r="J59" i="21" s="1"/>
  <c r="AY59" i="21" s="1"/>
  <c r="I10" i="21"/>
  <c r="J10" i="21" s="1"/>
  <c r="AY10" i="21" s="1"/>
  <c r="I17" i="21"/>
  <c r="J17" i="21" s="1"/>
  <c r="AY17" i="21" s="1"/>
  <c r="I18" i="21"/>
  <c r="J18" i="21" s="1"/>
  <c r="AY18" i="21" s="1"/>
  <c r="I20" i="21"/>
  <c r="J20" i="21" s="1"/>
  <c r="AY20" i="21" s="1"/>
  <c r="I9" i="21"/>
  <c r="J9" i="21" s="1"/>
  <c r="AY9" i="21" s="1"/>
  <c r="I11" i="21"/>
  <c r="J11" i="21" s="1"/>
  <c r="AY11" i="21" s="1"/>
  <c r="I12" i="21"/>
  <c r="J12" i="21" s="1"/>
  <c r="AY12" i="21" s="1"/>
  <c r="I13" i="21"/>
  <c r="J13" i="21" s="1"/>
  <c r="AY13" i="21" s="1"/>
  <c r="I14" i="21"/>
  <c r="J14" i="21" s="1"/>
  <c r="AY14" i="21" s="1"/>
  <c r="I15" i="21"/>
  <c r="J15" i="21" s="1"/>
  <c r="AY15" i="21" s="1"/>
  <c r="I16" i="21"/>
  <c r="J16" i="21" s="1"/>
  <c r="AY16" i="21" s="1"/>
  <c r="I19" i="21"/>
  <c r="J19" i="21" s="1"/>
  <c r="AY19" i="21" s="1"/>
  <c r="I21" i="21"/>
  <c r="J21" i="21" s="1"/>
  <c r="AY21" i="21" s="1"/>
  <c r="I23" i="21"/>
  <c r="J23" i="21" s="1"/>
  <c r="AY23" i="21" s="1"/>
  <c r="I25" i="21"/>
  <c r="J25" i="21" s="1"/>
  <c r="AY25" i="21" s="1"/>
  <c r="I29" i="21"/>
  <c r="J29" i="21" s="1"/>
  <c r="AY29" i="21" s="1"/>
  <c r="I33" i="21"/>
  <c r="J33" i="21" s="1"/>
  <c r="AY33" i="21" s="1"/>
  <c r="I37" i="21"/>
  <c r="J37" i="21" s="1"/>
  <c r="AY37" i="21" s="1"/>
  <c r="I41" i="21"/>
  <c r="J41" i="21" s="1"/>
  <c r="AY41" i="21" s="1"/>
  <c r="I45" i="21"/>
  <c r="J45" i="21" s="1"/>
  <c r="AY45" i="21" s="1"/>
  <c r="I48" i="21"/>
  <c r="J48" i="21" s="1"/>
  <c r="AY48" i="21" s="1"/>
  <c r="I52" i="21"/>
  <c r="J52" i="21" s="1"/>
  <c r="AY52" i="21" s="1"/>
  <c r="I56" i="21"/>
  <c r="J56" i="21" s="1"/>
  <c r="AY56" i="21" s="1"/>
  <c r="I68" i="21"/>
  <c r="J68" i="21" s="1"/>
  <c r="AY68" i="21" s="1"/>
  <c r="I24" i="21"/>
  <c r="J24" i="21" s="1"/>
  <c r="AY24" i="21" s="1"/>
  <c r="I30" i="21"/>
  <c r="J30" i="21" s="1"/>
  <c r="AY30" i="21" s="1"/>
  <c r="I31" i="21"/>
  <c r="J31" i="21" s="1"/>
  <c r="AY31" i="21" s="1"/>
  <c r="I38" i="21"/>
  <c r="J38" i="21" s="1"/>
  <c r="AY38" i="21" s="1"/>
  <c r="I53" i="21"/>
  <c r="J53" i="21" s="1"/>
  <c r="AY53" i="21" s="1"/>
  <c r="I58" i="21"/>
  <c r="J58" i="21" s="1"/>
  <c r="AY58" i="21" s="1"/>
  <c r="I60" i="21"/>
  <c r="J60" i="21" s="1"/>
  <c r="AY60" i="21" s="1"/>
  <c r="I61" i="21"/>
  <c r="J61" i="21" s="1"/>
  <c r="AY61" i="21" s="1"/>
  <c r="I62" i="21"/>
  <c r="J62" i="21" s="1"/>
  <c r="AY62" i="21" s="1"/>
  <c r="I63" i="21"/>
  <c r="J63" i="21" s="1"/>
  <c r="AY63" i="21" s="1"/>
  <c r="I64" i="21"/>
  <c r="J64" i="21" s="1"/>
  <c r="AY64" i="21" s="1"/>
  <c r="I65" i="21"/>
  <c r="J65" i="21" s="1"/>
  <c r="AY65" i="21" s="1"/>
  <c r="I66" i="21"/>
  <c r="J66" i="21" s="1"/>
  <c r="AY66" i="21" s="1"/>
  <c r="I67" i="21"/>
  <c r="J67" i="21" s="1"/>
  <c r="AY67" i="21" s="1"/>
  <c r="I69" i="21"/>
  <c r="J69" i="21" s="1"/>
  <c r="AY69" i="21" s="1"/>
  <c r="I72" i="21"/>
  <c r="J72" i="21" s="1"/>
  <c r="AY72" i="21" s="1"/>
  <c r="I75" i="21"/>
  <c r="J75" i="21" s="1"/>
  <c r="AY75" i="21" s="1"/>
  <c r="I77" i="21"/>
  <c r="J77" i="21" s="1"/>
  <c r="AY77" i="21" s="1"/>
  <c r="I81" i="21"/>
  <c r="J81" i="21" s="1"/>
  <c r="AY81" i="21" s="1"/>
  <c r="I83" i="21"/>
  <c r="J83" i="21" s="1"/>
  <c r="AY83" i="21" s="1"/>
  <c r="I85" i="21"/>
  <c r="J85" i="21" s="1"/>
  <c r="AY85" i="21" s="1"/>
  <c r="I87" i="21"/>
  <c r="J87" i="21" s="1"/>
  <c r="AY87" i="21" s="1"/>
  <c r="I89" i="21"/>
  <c r="J89" i="21" s="1"/>
  <c r="AY89" i="21" s="1"/>
  <c r="I22" i="21"/>
  <c r="J22" i="21" s="1"/>
  <c r="AY22" i="21" s="1"/>
  <c r="I26" i="21"/>
  <c r="J26" i="21" s="1"/>
  <c r="AY26" i="21" s="1"/>
  <c r="I28" i="21"/>
  <c r="J28" i="21" s="1"/>
  <c r="AY28" i="21" s="1"/>
  <c r="I34" i="21"/>
  <c r="J34" i="21" s="1"/>
  <c r="AY34" i="21" s="1"/>
  <c r="I39" i="21"/>
  <c r="J39" i="21" s="1"/>
  <c r="AY39" i="21" s="1"/>
  <c r="I43" i="21"/>
  <c r="J43" i="21" s="1"/>
  <c r="AY43" i="21" s="1"/>
  <c r="I47" i="21"/>
  <c r="J47" i="21" s="1"/>
  <c r="AY47" i="21" s="1"/>
  <c r="I50" i="21"/>
  <c r="J50" i="21" s="1"/>
  <c r="AY50" i="21" s="1"/>
  <c r="I54" i="21"/>
  <c r="J54" i="21" s="1"/>
  <c r="AY54" i="21" s="1"/>
  <c r="I57" i="21"/>
  <c r="J57" i="21" s="1"/>
  <c r="AY57" i="21" s="1"/>
  <c r="I27" i="21"/>
  <c r="J27" i="21" s="1"/>
  <c r="AY27" i="21" s="1"/>
  <c r="I35" i="21"/>
  <c r="J35" i="21" s="1"/>
  <c r="AY35" i="21" s="1"/>
  <c r="I36" i="21"/>
  <c r="J36" i="21" s="1"/>
  <c r="AY36" i="21" s="1"/>
  <c r="I40" i="21"/>
  <c r="J40" i="21" s="1"/>
  <c r="AY40" i="21" s="1"/>
  <c r="I49" i="21"/>
  <c r="J49" i="21" s="1"/>
  <c r="AY49" i="21" s="1"/>
  <c r="I55" i="21"/>
  <c r="J55" i="21" s="1"/>
  <c r="AY55" i="21" s="1"/>
  <c r="I80" i="21"/>
  <c r="J80" i="21" s="1"/>
  <c r="AY80" i="21" s="1"/>
  <c r="I82" i="21"/>
  <c r="J82" i="21" s="1"/>
  <c r="AY82" i="21" s="1"/>
  <c r="I84" i="21"/>
  <c r="J84" i="21" s="1"/>
  <c r="AY84" i="21" s="1"/>
  <c r="I86" i="21"/>
  <c r="J86" i="21" s="1"/>
  <c r="AY86" i="21" s="1"/>
  <c r="I88" i="21"/>
  <c r="J88" i="21" s="1"/>
  <c r="AY88" i="21" s="1"/>
  <c r="I90" i="21"/>
  <c r="J90" i="21" s="1"/>
  <c r="AY90" i="21" s="1"/>
  <c r="AW79" i="21"/>
  <c r="AW78" i="21"/>
  <c r="AW76" i="21"/>
  <c r="AW74" i="21"/>
  <c r="AW73" i="21"/>
  <c r="AW71" i="21"/>
  <c r="AW70" i="21"/>
  <c r="AW109" i="21"/>
  <c r="AW108" i="21"/>
  <c r="AW107" i="21"/>
  <c r="AW106" i="21"/>
  <c r="AW105" i="21"/>
  <c r="AW104" i="21"/>
  <c r="AW103" i="21"/>
  <c r="AW102" i="21"/>
  <c r="AW101" i="21"/>
  <c r="AW100" i="21"/>
  <c r="AW99" i="21"/>
  <c r="AW98" i="21"/>
  <c r="AW97" i="21"/>
  <c r="AW96" i="21"/>
  <c r="AW95" i="21"/>
  <c r="AW94" i="21"/>
  <c r="AW93" i="21"/>
  <c r="AW92" i="21"/>
  <c r="AW91" i="21"/>
  <c r="AW90" i="21"/>
  <c r="AW89" i="21"/>
  <c r="AW88" i="21"/>
  <c r="AW87" i="21"/>
  <c r="AW86" i="21"/>
  <c r="AW85" i="21"/>
  <c r="AW84" i="21"/>
  <c r="AW83" i="21"/>
  <c r="AW82" i="21"/>
  <c r="AW81" i="21"/>
  <c r="AW80" i="21"/>
  <c r="AW77" i="21"/>
  <c r="AW75" i="21"/>
  <c r="AW72" i="21"/>
  <c r="AW69" i="21"/>
  <c r="AW67" i="21"/>
  <c r="AW66" i="21"/>
  <c r="AW65" i="21"/>
  <c r="AW64" i="21"/>
  <c r="AW63" i="21"/>
  <c r="AW62" i="21"/>
  <c r="AW61" i="21"/>
  <c r="AW60" i="21"/>
  <c r="AW58" i="21"/>
  <c r="AW55" i="21"/>
  <c r="AW53" i="21"/>
  <c r="AW51" i="21"/>
  <c r="AW49" i="21"/>
  <c r="AW46" i="21"/>
  <c r="AW44" i="21"/>
  <c r="AW42" i="21"/>
  <c r="AW40" i="21"/>
  <c r="AW38" i="21"/>
  <c r="AW36" i="21"/>
  <c r="AW35" i="21"/>
  <c r="AW32" i="21"/>
  <c r="AW31" i="21"/>
  <c r="AW30" i="21"/>
  <c r="AW27" i="21"/>
  <c r="AW24" i="21"/>
  <c r="AW22" i="21"/>
  <c r="AW21" i="21"/>
  <c r="AW68" i="21"/>
  <c r="AW59" i="21"/>
  <c r="AW57" i="21"/>
  <c r="AW56" i="21"/>
  <c r="AW54" i="21"/>
  <c r="AW52" i="21"/>
  <c r="AW50" i="21"/>
  <c r="AW48" i="21"/>
  <c r="AW47" i="21"/>
  <c r="AW45" i="21"/>
  <c r="AW43" i="21"/>
  <c r="AW41" i="21"/>
  <c r="AW39" i="21"/>
  <c r="AW37" i="21"/>
  <c r="AW34" i="21"/>
  <c r="AW33" i="21"/>
  <c r="AW29" i="21"/>
  <c r="AW28" i="21"/>
  <c r="AW26" i="21"/>
  <c r="AW25" i="21"/>
  <c r="AW23" i="21"/>
  <c r="AW19" i="21"/>
  <c r="AW16" i="21"/>
  <c r="AW15" i="21"/>
  <c r="AW14" i="21"/>
  <c r="AW13" i="21"/>
  <c r="AW12" i="21"/>
  <c r="AW11" i="21"/>
  <c r="AW9" i="21"/>
  <c r="AW186" i="20"/>
  <c r="AW188" i="20"/>
  <c r="AW189" i="20"/>
  <c r="AW191" i="20"/>
  <c r="AW196" i="20"/>
  <c r="AW198" i="20"/>
  <c r="AW200" i="20"/>
  <c r="AW202" i="20"/>
  <c r="AW204" i="20"/>
  <c r="AW206" i="20"/>
  <c r="AW208" i="20"/>
  <c r="AW110" i="20"/>
  <c r="AW112" i="20"/>
  <c r="AW114" i="20"/>
  <c r="AW116" i="20"/>
  <c r="AW117" i="20"/>
  <c r="AW119" i="20"/>
  <c r="AW121" i="20"/>
  <c r="AW123" i="20"/>
  <c r="AW125" i="20"/>
  <c r="AW127" i="20"/>
  <c r="AW129" i="20"/>
  <c r="AW131" i="20"/>
  <c r="AW133" i="20"/>
  <c r="AW134" i="20"/>
  <c r="AW136" i="20"/>
  <c r="AW138" i="20"/>
  <c r="AW141" i="20"/>
  <c r="AW142" i="20"/>
  <c r="AW144" i="20"/>
  <c r="AW146" i="20"/>
  <c r="AW148" i="20"/>
  <c r="AW150" i="20"/>
  <c r="AW151" i="20"/>
  <c r="AW153" i="20"/>
  <c r="AW156" i="20"/>
  <c r="AW158" i="20"/>
  <c r="AW159" i="20"/>
  <c r="AW161" i="20"/>
  <c r="AW164" i="20"/>
  <c r="AW166" i="20"/>
  <c r="AW167" i="20"/>
  <c r="AW169" i="20"/>
  <c r="AW172" i="20"/>
  <c r="AW174" i="20"/>
  <c r="AW175" i="20"/>
  <c r="AW177" i="20"/>
  <c r="AW180" i="20"/>
  <c r="AW182" i="20"/>
  <c r="AW183" i="20"/>
  <c r="AW20" i="21"/>
  <c r="AW18" i="21"/>
  <c r="AW17" i="21"/>
  <c r="AW10" i="21"/>
  <c r="AW185" i="20"/>
  <c r="AW187" i="20"/>
  <c r="AW190" i="20"/>
  <c r="AW192" i="20"/>
  <c r="AW193" i="20"/>
  <c r="AW194" i="20"/>
  <c r="AW195" i="20"/>
  <c r="AW197" i="20"/>
  <c r="AW199" i="20"/>
  <c r="AW201" i="20"/>
  <c r="AW203" i="20"/>
  <c r="AW205" i="20"/>
  <c r="AW207" i="20"/>
  <c r="AW209" i="20"/>
  <c r="AW111" i="20"/>
  <c r="AW113" i="20"/>
  <c r="AW115" i="20"/>
  <c r="AW118" i="20"/>
  <c r="AW120" i="20"/>
  <c r="AW122" i="20"/>
  <c r="AW124" i="20"/>
  <c r="AW126" i="20"/>
  <c r="AW128" i="20"/>
  <c r="AW130" i="20"/>
  <c r="AW132" i="20"/>
  <c r="AW135" i="20"/>
  <c r="AW137" i="20"/>
  <c r="AW139" i="20"/>
  <c r="AW140" i="20"/>
  <c r="AW143" i="20"/>
  <c r="AW145" i="20"/>
  <c r="AW147" i="20"/>
  <c r="AW149" i="20"/>
  <c r="AW152" i="20"/>
  <c r="AW154" i="20"/>
  <c r="AW155" i="20"/>
  <c r="AW157" i="20"/>
  <c r="AW160" i="20"/>
  <c r="AW162" i="20"/>
  <c r="AW163" i="20"/>
  <c r="AW165" i="20"/>
  <c r="AW168" i="20"/>
  <c r="AW170" i="20"/>
  <c r="AW171" i="20"/>
  <c r="AW173" i="20"/>
  <c r="AW176" i="20"/>
  <c r="AW178" i="20"/>
  <c r="AW179" i="20"/>
  <c r="AW181" i="20"/>
  <c r="AW184" i="20"/>
  <c r="L206" i="20"/>
  <c r="I206" i="20"/>
  <c r="J206" i="20" s="1"/>
  <c r="AY206" i="20" s="1"/>
  <c r="L198" i="20"/>
  <c r="I198" i="20"/>
  <c r="J198" i="20" s="1"/>
  <c r="AY198" i="20" s="1"/>
  <c r="L190" i="20"/>
  <c r="I190" i="20"/>
  <c r="J190" i="20" s="1"/>
  <c r="AY190" i="20" s="1"/>
  <c r="I182" i="20"/>
  <c r="J182" i="20" s="1"/>
  <c r="AY182" i="20" s="1"/>
  <c r="L182" i="20"/>
  <c r="L169" i="20"/>
  <c r="I169" i="20"/>
  <c r="J169" i="20" s="1"/>
  <c r="AY169" i="20" s="1"/>
  <c r="I207" i="20"/>
  <c r="J207" i="20" s="1"/>
  <c r="AY207" i="20" s="1"/>
  <c r="L207" i="20"/>
  <c r="L199" i="20"/>
  <c r="I199" i="20"/>
  <c r="J199" i="20" s="1"/>
  <c r="AY199" i="20" s="1"/>
  <c r="I191" i="20"/>
  <c r="J191" i="20" s="1"/>
  <c r="AY191" i="20" s="1"/>
  <c r="L191" i="20"/>
  <c r="I204" i="20"/>
  <c r="J204" i="20" s="1"/>
  <c r="AY204" i="20" s="1"/>
  <c r="L204" i="20"/>
  <c r="L196" i="20"/>
  <c r="I196" i="20"/>
  <c r="J196" i="20" s="1"/>
  <c r="AY196" i="20" s="1"/>
  <c r="I188" i="20"/>
  <c r="J188" i="20" s="1"/>
  <c r="AY188" i="20" s="1"/>
  <c r="L188" i="20"/>
  <c r="L180" i="20"/>
  <c r="I180" i="20"/>
  <c r="J180" i="20" s="1"/>
  <c r="AY180" i="20" s="1"/>
  <c r="I165" i="20"/>
  <c r="J165" i="20" s="1"/>
  <c r="AY165" i="20" s="1"/>
  <c r="L165" i="20"/>
  <c r="L205" i="20"/>
  <c r="I205" i="20"/>
  <c r="J205" i="20" s="1"/>
  <c r="AY205" i="20" s="1"/>
  <c r="I197" i="20"/>
  <c r="J197" i="20" s="1"/>
  <c r="AY197" i="20" s="1"/>
  <c r="L197" i="20"/>
  <c r="I189" i="20"/>
  <c r="J189" i="20" s="1"/>
  <c r="AY189" i="20" s="1"/>
  <c r="L189" i="20"/>
  <c r="I181" i="20"/>
  <c r="J181" i="20" s="1"/>
  <c r="AY181" i="20" s="1"/>
  <c r="L181" i="20"/>
  <c r="I167" i="20"/>
  <c r="J167" i="20" s="1"/>
  <c r="AY167" i="20" s="1"/>
  <c r="L167" i="20"/>
  <c r="I155" i="20"/>
  <c r="J155" i="20" s="1"/>
  <c r="AY155" i="20" s="1"/>
  <c r="L155" i="20"/>
  <c r="I147" i="20"/>
  <c r="J147" i="20" s="1"/>
  <c r="AY147" i="20" s="1"/>
  <c r="L147" i="20"/>
  <c r="I139" i="20"/>
  <c r="J139" i="20" s="1"/>
  <c r="AY139" i="20" s="1"/>
  <c r="L139" i="20"/>
  <c r="I131" i="20"/>
  <c r="J131" i="20" s="1"/>
  <c r="AY131" i="20" s="1"/>
  <c r="L131" i="20"/>
  <c r="I123" i="20"/>
  <c r="J123" i="20" s="1"/>
  <c r="AY123" i="20" s="1"/>
  <c r="L123" i="20"/>
  <c r="I115" i="20"/>
  <c r="J115" i="20" s="1"/>
  <c r="AY115" i="20" s="1"/>
  <c r="L115" i="20"/>
  <c r="L172" i="20"/>
  <c r="I172" i="20"/>
  <c r="J172" i="20" s="1"/>
  <c r="AY172" i="20" s="1"/>
  <c r="L164" i="20"/>
  <c r="I164" i="20"/>
  <c r="J164" i="20" s="1"/>
  <c r="AY164" i="20" s="1"/>
  <c r="L156" i="20"/>
  <c r="I156" i="20"/>
  <c r="J156" i="20" s="1"/>
  <c r="AY156" i="20" s="1"/>
  <c r="L148" i="20"/>
  <c r="I148" i="20"/>
  <c r="J148" i="20" s="1"/>
  <c r="AY148" i="20" s="1"/>
  <c r="L140" i="20"/>
  <c r="I140" i="20"/>
  <c r="J140" i="20" s="1"/>
  <c r="AY140" i="20" s="1"/>
  <c r="L132" i="20"/>
  <c r="I132" i="20"/>
  <c r="J132" i="20" s="1"/>
  <c r="AY132" i="20" s="1"/>
  <c r="L124" i="20"/>
  <c r="I124" i="20"/>
  <c r="J124" i="20" s="1"/>
  <c r="AY124" i="20" s="1"/>
  <c r="L116" i="20"/>
  <c r="I116" i="20"/>
  <c r="J116" i="20" s="1"/>
  <c r="AY116" i="20" s="1"/>
  <c r="L183" i="20"/>
  <c r="I183" i="20"/>
  <c r="J183" i="20" s="1"/>
  <c r="AY183" i="20" s="1"/>
  <c r="L171" i="20"/>
  <c r="I171" i="20"/>
  <c r="J171" i="20" s="1"/>
  <c r="AY171" i="20" s="1"/>
  <c r="L157" i="20"/>
  <c r="I157" i="20"/>
  <c r="J157" i="20" s="1"/>
  <c r="AY157" i="20" s="1"/>
  <c r="L149" i="20"/>
  <c r="I149" i="20"/>
  <c r="J149" i="20" s="1"/>
  <c r="AY149" i="20" s="1"/>
  <c r="L141" i="20"/>
  <c r="I141" i="20"/>
  <c r="J141" i="20" s="1"/>
  <c r="AY141" i="20" s="1"/>
  <c r="L133" i="20"/>
  <c r="I133" i="20"/>
  <c r="J133" i="20" s="1"/>
  <c r="AY133" i="20" s="1"/>
  <c r="L125" i="20"/>
  <c r="I125" i="20"/>
  <c r="J125" i="20" s="1"/>
  <c r="AY125" i="20" s="1"/>
  <c r="L117" i="20"/>
  <c r="I117" i="20"/>
  <c r="J117" i="20" s="1"/>
  <c r="AY117" i="20" s="1"/>
  <c r="I174" i="20"/>
  <c r="J174" i="20" s="1"/>
  <c r="AY174" i="20" s="1"/>
  <c r="L174" i="20"/>
  <c r="I166" i="20"/>
  <c r="J166" i="20" s="1"/>
  <c r="AY166" i="20" s="1"/>
  <c r="L166" i="20"/>
  <c r="I158" i="20"/>
  <c r="J158" i="20" s="1"/>
  <c r="AY158" i="20" s="1"/>
  <c r="L158" i="20"/>
  <c r="I150" i="20"/>
  <c r="J150" i="20" s="1"/>
  <c r="AY150" i="20" s="1"/>
  <c r="L150" i="20"/>
  <c r="L142" i="20"/>
  <c r="I142" i="20"/>
  <c r="J142" i="20" s="1"/>
  <c r="AY142" i="20" s="1"/>
  <c r="L134" i="20"/>
  <c r="I134" i="20"/>
  <c r="J134" i="20" s="1"/>
  <c r="AY134" i="20" s="1"/>
  <c r="L126" i="20"/>
  <c r="I126" i="20"/>
  <c r="J126" i="20" s="1"/>
  <c r="AY126" i="20" s="1"/>
  <c r="I118" i="20"/>
  <c r="J118" i="20" s="1"/>
  <c r="AY118" i="20" s="1"/>
  <c r="L118" i="20"/>
  <c r="L110" i="20"/>
  <c r="I110" i="20"/>
  <c r="J110" i="20" s="1"/>
  <c r="AY110" i="20" s="1"/>
  <c r="I202" i="20"/>
  <c r="J202" i="20" s="1"/>
  <c r="AY202" i="20" s="1"/>
  <c r="L202" i="20"/>
  <c r="L194" i="20"/>
  <c r="I194" i="20"/>
  <c r="J194" i="20" s="1"/>
  <c r="AY194" i="20" s="1"/>
  <c r="I186" i="20"/>
  <c r="J186" i="20" s="1"/>
  <c r="AY186" i="20" s="1"/>
  <c r="L186" i="20"/>
  <c r="L177" i="20"/>
  <c r="I177" i="20"/>
  <c r="J177" i="20" s="1"/>
  <c r="AY177" i="20" s="1"/>
  <c r="L161" i="20"/>
  <c r="I161" i="20"/>
  <c r="J161" i="20" s="1"/>
  <c r="AY161" i="20" s="1"/>
  <c r="L203" i="20"/>
  <c r="I203" i="20"/>
  <c r="J203" i="20" s="1"/>
  <c r="AY203" i="20" s="1"/>
  <c r="L195" i="20"/>
  <c r="I195" i="20"/>
  <c r="J195" i="20" s="1"/>
  <c r="AY195" i="20" s="1"/>
  <c r="I208" i="20"/>
  <c r="J208" i="20" s="1"/>
  <c r="AY208" i="20" s="1"/>
  <c r="L208" i="20"/>
  <c r="I200" i="20"/>
  <c r="J200" i="20" s="1"/>
  <c r="AY200" i="20" s="1"/>
  <c r="L200" i="20"/>
  <c r="I192" i="20"/>
  <c r="J192" i="20" s="1"/>
  <c r="AY192" i="20" s="1"/>
  <c r="L192" i="20"/>
  <c r="L184" i="20"/>
  <c r="I184" i="20"/>
  <c r="J184" i="20" s="1"/>
  <c r="AY184" i="20" s="1"/>
  <c r="I173" i="20"/>
  <c r="J173" i="20" s="1"/>
  <c r="AY173" i="20" s="1"/>
  <c r="L173" i="20"/>
  <c r="I209" i="20"/>
  <c r="J209" i="20" s="1"/>
  <c r="AY209" i="20" s="1"/>
  <c r="L209" i="20"/>
  <c r="I201" i="20"/>
  <c r="J201" i="20" s="1"/>
  <c r="AY201" i="20" s="1"/>
  <c r="L201" i="20"/>
  <c r="L193" i="20"/>
  <c r="I193" i="20"/>
  <c r="J193" i="20" s="1"/>
  <c r="AY193" i="20" s="1"/>
  <c r="I185" i="20"/>
  <c r="J185" i="20" s="1"/>
  <c r="AY185" i="20" s="1"/>
  <c r="L185" i="20"/>
  <c r="I175" i="20"/>
  <c r="J175" i="20" s="1"/>
  <c r="AY175" i="20" s="1"/>
  <c r="L175" i="20"/>
  <c r="I159" i="20"/>
  <c r="J159" i="20" s="1"/>
  <c r="AY159" i="20" s="1"/>
  <c r="L159" i="20"/>
  <c r="I151" i="20"/>
  <c r="J151" i="20" s="1"/>
  <c r="AY151" i="20" s="1"/>
  <c r="L151" i="20"/>
  <c r="I143" i="20"/>
  <c r="J143" i="20" s="1"/>
  <c r="AY143" i="20" s="1"/>
  <c r="L143" i="20"/>
  <c r="I135" i="20"/>
  <c r="J135" i="20" s="1"/>
  <c r="AY135" i="20" s="1"/>
  <c r="L135" i="20"/>
  <c r="I127" i="20"/>
  <c r="J127" i="20" s="1"/>
  <c r="AY127" i="20" s="1"/>
  <c r="L127" i="20"/>
  <c r="I119" i="20"/>
  <c r="J119" i="20" s="1"/>
  <c r="AY119" i="20" s="1"/>
  <c r="L119" i="20"/>
  <c r="I111" i="20"/>
  <c r="J111" i="20" s="1"/>
  <c r="AY111" i="20" s="1"/>
  <c r="L111" i="20"/>
  <c r="L176" i="20"/>
  <c r="I176" i="20"/>
  <c r="J176" i="20" s="1"/>
  <c r="AY176" i="20" s="1"/>
  <c r="L168" i="20"/>
  <c r="I168" i="20"/>
  <c r="J168" i="20" s="1"/>
  <c r="AY168" i="20" s="1"/>
  <c r="L160" i="20"/>
  <c r="I160" i="20"/>
  <c r="J160" i="20" s="1"/>
  <c r="AY160" i="20" s="1"/>
  <c r="L152" i="20"/>
  <c r="I152" i="20"/>
  <c r="J152" i="20" s="1"/>
  <c r="AY152" i="20" s="1"/>
  <c r="L144" i="20"/>
  <c r="I144" i="20"/>
  <c r="J144" i="20" s="1"/>
  <c r="AY144" i="20" s="1"/>
  <c r="L136" i="20"/>
  <c r="I136" i="20"/>
  <c r="J136" i="20" s="1"/>
  <c r="AY136" i="20" s="1"/>
  <c r="L128" i="20"/>
  <c r="I128" i="20"/>
  <c r="J128" i="20" s="1"/>
  <c r="AY128" i="20" s="1"/>
  <c r="L120" i="20"/>
  <c r="I120" i="20"/>
  <c r="J120" i="20" s="1"/>
  <c r="AY120" i="20" s="1"/>
  <c r="L112" i="20"/>
  <c r="I112" i="20"/>
  <c r="J112" i="20" s="1"/>
  <c r="AY112" i="20" s="1"/>
  <c r="I187" i="20"/>
  <c r="J187" i="20" s="1"/>
  <c r="AY187" i="20" s="1"/>
  <c r="L187" i="20"/>
  <c r="L179" i="20"/>
  <c r="I179" i="20"/>
  <c r="J179" i="20" s="1"/>
  <c r="AY179" i="20" s="1"/>
  <c r="L163" i="20"/>
  <c r="I163" i="20"/>
  <c r="J163" i="20" s="1"/>
  <c r="AY163" i="20" s="1"/>
  <c r="L153" i="20"/>
  <c r="I153" i="20"/>
  <c r="J153" i="20" s="1"/>
  <c r="AY153" i="20" s="1"/>
  <c r="L145" i="20"/>
  <c r="I145" i="20"/>
  <c r="J145" i="20" s="1"/>
  <c r="AY145" i="20" s="1"/>
  <c r="L137" i="20"/>
  <c r="I137" i="20"/>
  <c r="J137" i="20" s="1"/>
  <c r="AY137" i="20" s="1"/>
  <c r="L129" i="20"/>
  <c r="I129" i="20"/>
  <c r="J129" i="20" s="1"/>
  <c r="AY129" i="20" s="1"/>
  <c r="I121" i="20"/>
  <c r="J121" i="20" s="1"/>
  <c r="AY121" i="20" s="1"/>
  <c r="L121" i="20"/>
  <c r="L113" i="20"/>
  <c r="I113" i="20"/>
  <c r="J113" i="20" s="1"/>
  <c r="AY113" i="20" s="1"/>
  <c r="I178" i="20"/>
  <c r="J178" i="20" s="1"/>
  <c r="AY178" i="20" s="1"/>
  <c r="L178" i="20"/>
  <c r="I170" i="20"/>
  <c r="J170" i="20" s="1"/>
  <c r="AY170" i="20" s="1"/>
  <c r="L170" i="20"/>
  <c r="I162" i="20"/>
  <c r="J162" i="20" s="1"/>
  <c r="AY162" i="20" s="1"/>
  <c r="L162" i="20"/>
  <c r="I154" i="20"/>
  <c r="J154" i="20" s="1"/>
  <c r="AY154" i="20" s="1"/>
  <c r="L154" i="20"/>
  <c r="L146" i="20"/>
  <c r="I146" i="20"/>
  <c r="J146" i="20" s="1"/>
  <c r="AY146" i="20" s="1"/>
  <c r="L138" i="20"/>
  <c r="I138" i="20"/>
  <c r="J138" i="20" s="1"/>
  <c r="AY138" i="20" s="1"/>
  <c r="L130" i="20"/>
  <c r="I130" i="20"/>
  <c r="J130" i="20" s="1"/>
  <c r="AY130" i="20" s="1"/>
  <c r="L122" i="20"/>
  <c r="I122" i="20"/>
  <c r="J122" i="20" s="1"/>
  <c r="AY122" i="20" s="1"/>
  <c r="I114" i="20"/>
  <c r="J114" i="20" s="1"/>
  <c r="AY114" i="20" s="1"/>
  <c r="L114" i="20"/>
  <c r="L9" i="20"/>
  <c r="I44" i="20"/>
  <c r="I46" i="20"/>
  <c r="I48" i="20"/>
  <c r="I50" i="20"/>
  <c r="I52" i="20"/>
  <c r="I54" i="20"/>
  <c r="I56" i="20"/>
  <c r="I58" i="20"/>
  <c r="I60" i="20"/>
  <c r="I62" i="20"/>
  <c r="I64" i="20"/>
  <c r="I66" i="20"/>
  <c r="I68" i="20"/>
  <c r="I70" i="20"/>
  <c r="I72" i="20"/>
  <c r="I74" i="20"/>
  <c r="I76" i="20"/>
  <c r="I78" i="20"/>
  <c r="I80" i="20"/>
  <c r="I82" i="20"/>
  <c r="I84" i="20"/>
  <c r="I86" i="20"/>
  <c r="I88" i="20"/>
  <c r="I90" i="20"/>
  <c r="I92" i="20"/>
  <c r="I94" i="20"/>
  <c r="I96" i="20"/>
  <c r="I98" i="20"/>
  <c r="I100" i="20"/>
  <c r="I102" i="20"/>
  <c r="I104" i="20"/>
  <c r="I106" i="20"/>
  <c r="I108" i="20"/>
  <c r="I10" i="20"/>
  <c r="I12" i="20"/>
  <c r="I14" i="20"/>
  <c r="I16" i="20"/>
  <c r="I18" i="20"/>
  <c r="I20" i="20"/>
  <c r="I22" i="20"/>
  <c r="J22" i="20" s="1"/>
  <c r="AY22" i="20" s="1"/>
  <c r="I24" i="20"/>
  <c r="I26" i="20"/>
  <c r="I28" i="20"/>
  <c r="I30" i="20"/>
  <c r="I32" i="20"/>
  <c r="I34" i="20"/>
  <c r="I36" i="20"/>
  <c r="I38" i="20"/>
  <c r="I40" i="20"/>
  <c r="I42" i="20"/>
  <c r="I43" i="20"/>
  <c r="I45" i="20"/>
  <c r="I47" i="20"/>
  <c r="I49" i="20"/>
  <c r="I51" i="20"/>
  <c r="I53" i="20"/>
  <c r="I55" i="20"/>
  <c r="I57" i="20"/>
  <c r="I59" i="20"/>
  <c r="I61" i="20"/>
  <c r="I63" i="20"/>
  <c r="I65" i="20"/>
  <c r="I67" i="20"/>
  <c r="I69" i="20"/>
  <c r="I71" i="20"/>
  <c r="I73" i="20"/>
  <c r="I75" i="20"/>
  <c r="I77" i="20"/>
  <c r="I79" i="20"/>
  <c r="I81" i="20"/>
  <c r="I83" i="20"/>
  <c r="I85" i="20"/>
  <c r="I87" i="20"/>
  <c r="I89" i="20"/>
  <c r="I91" i="20"/>
  <c r="I93" i="20"/>
  <c r="I95" i="20"/>
  <c r="I97" i="20"/>
  <c r="I99" i="20"/>
  <c r="I101" i="20"/>
  <c r="I103" i="20"/>
  <c r="I105" i="20"/>
  <c r="I107" i="20"/>
  <c r="I109" i="20"/>
  <c r="I11" i="20"/>
  <c r="I13" i="20"/>
  <c r="I15" i="20"/>
  <c r="I17" i="20"/>
  <c r="I19" i="20"/>
  <c r="I21" i="20"/>
  <c r="I23" i="20"/>
  <c r="I25" i="20"/>
  <c r="I27" i="20"/>
  <c r="I29" i="20"/>
  <c r="I31" i="20"/>
  <c r="I33" i="20"/>
  <c r="I35" i="20"/>
  <c r="I37" i="20"/>
  <c r="I39" i="20"/>
  <c r="I41" i="20"/>
  <c r="I9" i="20"/>
  <c r="J9" i="20" s="1"/>
  <c r="L19" i="20"/>
  <c r="L15" i="20"/>
  <c r="L11" i="20"/>
  <c r="L107" i="20"/>
  <c r="L103" i="20"/>
  <c r="L99" i="20"/>
  <c r="L95" i="20"/>
  <c r="L91" i="20"/>
  <c r="L87" i="20"/>
  <c r="L83" i="20"/>
  <c r="L79" i="20"/>
  <c r="L75" i="20"/>
  <c r="L71" i="20"/>
  <c r="L67" i="20"/>
  <c r="L63" i="20"/>
  <c r="L59" i="20"/>
  <c r="L55" i="20"/>
  <c r="L51" i="20"/>
  <c r="L47" i="20"/>
  <c r="L20" i="20"/>
  <c r="L16" i="20"/>
  <c r="L12" i="20"/>
  <c r="L108" i="20"/>
  <c r="L104" i="20"/>
  <c r="L100" i="20"/>
  <c r="L96" i="20"/>
  <c r="L92" i="20"/>
  <c r="L88" i="20"/>
  <c r="L84" i="20"/>
  <c r="L80" i="20"/>
  <c r="L76" i="20"/>
  <c r="L72" i="20"/>
  <c r="L68" i="20"/>
  <c r="L64" i="20"/>
  <c r="L60" i="20"/>
  <c r="L56" i="20"/>
  <c r="L52" i="20"/>
  <c r="L48" i="20"/>
  <c r="L41" i="20"/>
  <c r="L44" i="20"/>
  <c r="L40" i="20"/>
  <c r="L36" i="20"/>
  <c r="L32" i="20"/>
  <c r="L28" i="20"/>
  <c r="L24" i="20"/>
  <c r="L39" i="20"/>
  <c r="L35" i="20"/>
  <c r="L31" i="20"/>
  <c r="L27" i="20"/>
  <c r="L23" i="20"/>
  <c r="L17" i="20"/>
  <c r="L13" i="20"/>
  <c r="L109" i="20"/>
  <c r="L105" i="20"/>
  <c r="L101" i="20"/>
  <c r="L97" i="20"/>
  <c r="L93" i="20"/>
  <c r="L89" i="20"/>
  <c r="L85" i="20"/>
  <c r="L81" i="20"/>
  <c r="L77" i="20"/>
  <c r="L73" i="20"/>
  <c r="L69" i="20"/>
  <c r="L65" i="20"/>
  <c r="L61" i="20"/>
  <c r="L57" i="20"/>
  <c r="L53" i="20"/>
  <c r="L49" i="20"/>
  <c r="L43" i="20"/>
  <c r="L18" i="20"/>
  <c r="L14" i="20"/>
  <c r="L10" i="20"/>
  <c r="L106" i="20"/>
  <c r="L102" i="20"/>
  <c r="L98" i="20"/>
  <c r="L94" i="20"/>
  <c r="L90" i="20"/>
  <c r="L86" i="20"/>
  <c r="L82" i="20"/>
  <c r="L78" i="20"/>
  <c r="L74" i="20"/>
  <c r="L70" i="20"/>
  <c r="L66" i="20"/>
  <c r="L62" i="20"/>
  <c r="L58" i="20"/>
  <c r="L54" i="20"/>
  <c r="L50" i="20"/>
  <c r="L45" i="20"/>
  <c r="L46" i="20"/>
  <c r="L42" i="20"/>
  <c r="L38" i="20"/>
  <c r="L34" i="20"/>
  <c r="L30" i="20"/>
  <c r="L26" i="20"/>
  <c r="L22" i="20"/>
  <c r="L37" i="20"/>
  <c r="L33" i="20"/>
  <c r="L29" i="20"/>
  <c r="L25" i="20"/>
  <c r="L21" i="20"/>
  <c r="C66" i="16"/>
  <c r="D66" i="16" s="1"/>
  <c r="AW109" i="20"/>
  <c r="AW107" i="20"/>
  <c r="AW105" i="20"/>
  <c r="AW108" i="20"/>
  <c r="AW106" i="20"/>
  <c r="AW103" i="20"/>
  <c r="AW101" i="20"/>
  <c r="AW104" i="20"/>
  <c r="AW102" i="20"/>
  <c r="AW100" i="20"/>
  <c r="AW99" i="20"/>
  <c r="AW97" i="20"/>
  <c r="AW95" i="20"/>
  <c r="AW93" i="20"/>
  <c r="AW91" i="20"/>
  <c r="AW98" i="20"/>
  <c r="AW96" i="20"/>
  <c r="AW94" i="20"/>
  <c r="AW90" i="20"/>
  <c r="AW88" i="20"/>
  <c r="AW86" i="20"/>
  <c r="AW84" i="20"/>
  <c r="AW82" i="20"/>
  <c r="AW92" i="20"/>
  <c r="AW89" i="20"/>
  <c r="AW87" i="20"/>
  <c r="AW85" i="20"/>
  <c r="AW83" i="20"/>
  <c r="AW80" i="20"/>
  <c r="AW79" i="20"/>
  <c r="AW73" i="20"/>
  <c r="AW72" i="20"/>
  <c r="AW71" i="20"/>
  <c r="AW66" i="20"/>
  <c r="AW81" i="20"/>
  <c r="AW78" i="20"/>
  <c r="AW77" i="20"/>
  <c r="AW76" i="20"/>
  <c r="AW75" i="20"/>
  <c r="AW74" i="20"/>
  <c r="AW70" i="20"/>
  <c r="AW69" i="20"/>
  <c r="AW68" i="20"/>
  <c r="AW67" i="20"/>
  <c r="AW65" i="20"/>
  <c r="AW63" i="20"/>
  <c r="AW61" i="20"/>
  <c r="AW56" i="20"/>
  <c r="AW64" i="20"/>
  <c r="AW62" i="20"/>
  <c r="AW60" i="20"/>
  <c r="AW59" i="20"/>
  <c r="AW58" i="20"/>
  <c r="AW57" i="20"/>
  <c r="AW54" i="20"/>
  <c r="AW52" i="20"/>
  <c r="AW50" i="20"/>
  <c r="AW47" i="20"/>
  <c r="AW46" i="20"/>
  <c r="AW45" i="20"/>
  <c r="AW44" i="20"/>
  <c r="AW43" i="20"/>
  <c r="AW42" i="20"/>
  <c r="AW41" i="20"/>
  <c r="AW40" i="20"/>
  <c r="AW39" i="20"/>
  <c r="AW38" i="20"/>
  <c r="AW37" i="20"/>
  <c r="AW36" i="20"/>
  <c r="AW33" i="20"/>
  <c r="AW32" i="20"/>
  <c r="AW30" i="20"/>
  <c r="AW29" i="20"/>
  <c r="AW25" i="20"/>
  <c r="AW24" i="20"/>
  <c r="AW23" i="20"/>
  <c r="AW22" i="20"/>
  <c r="AW21" i="20"/>
  <c r="AW20" i="20"/>
  <c r="AW19" i="20"/>
  <c r="AW18" i="20"/>
  <c r="AW55" i="20"/>
  <c r="AW53" i="20"/>
  <c r="AW51" i="20"/>
  <c r="AW49" i="20"/>
  <c r="AW48" i="20"/>
  <c r="AW35" i="20"/>
  <c r="AW34" i="20"/>
  <c r="AW31" i="20"/>
  <c r="AW28" i="20"/>
  <c r="AW27" i="20"/>
  <c r="AW26" i="20"/>
  <c r="AW15" i="20"/>
  <c r="AW13" i="20"/>
  <c r="AW11" i="20"/>
  <c r="AW10" i="20"/>
  <c r="AW9" i="20"/>
  <c r="AW17" i="20"/>
  <c r="AW16" i="20"/>
  <c r="AW14" i="20"/>
  <c r="AW12" i="20"/>
  <c r="B73" i="20"/>
  <c r="B45" i="20"/>
  <c r="B72" i="20"/>
  <c r="D161" i="2"/>
  <c r="D128" i="2"/>
  <c r="D150" i="2"/>
  <c r="D133" i="2"/>
  <c r="B130" i="2"/>
  <c r="B407" i="2"/>
  <c r="B232" i="2"/>
  <c r="B408" i="2"/>
  <c r="A429" i="2"/>
  <c r="B303" i="2"/>
  <c r="B304" i="2"/>
  <c r="B246" i="2"/>
  <c r="B250" i="2" s="1"/>
  <c r="B249" i="2"/>
  <c r="B275" i="2"/>
  <c r="B273" i="2"/>
  <c r="B429" i="2"/>
  <c r="B260" i="2"/>
  <c r="E110" i="17"/>
  <c r="F13" i="17"/>
  <c r="F17" i="17"/>
  <c r="F21" i="17"/>
  <c r="F25" i="17"/>
  <c r="F29" i="17"/>
  <c r="F33" i="17"/>
  <c r="F37" i="17"/>
  <c r="F41" i="17"/>
  <c r="F45" i="17"/>
  <c r="F49" i="17"/>
  <c r="F53" i="17"/>
  <c r="F57" i="17"/>
  <c r="F61" i="17"/>
  <c r="F65" i="17"/>
  <c r="F69" i="17"/>
  <c r="F73" i="17"/>
  <c r="F77" i="17"/>
  <c r="F81" i="17"/>
  <c r="F85" i="17"/>
  <c r="F89" i="17"/>
  <c r="F93" i="17"/>
  <c r="F97" i="17"/>
  <c r="F101" i="17"/>
  <c r="F105" i="17"/>
  <c r="F109" i="17"/>
  <c r="E16" i="17"/>
  <c r="E20" i="17"/>
  <c r="E24" i="17"/>
  <c r="E28" i="17"/>
  <c r="E32" i="17"/>
  <c r="E36" i="17"/>
  <c r="E40" i="17"/>
  <c r="E44" i="17"/>
  <c r="E48" i="17"/>
  <c r="E52" i="17"/>
  <c r="E56" i="17"/>
  <c r="E60" i="17"/>
  <c r="E64" i="17"/>
  <c r="E68" i="17"/>
  <c r="E72" i="17"/>
  <c r="E76" i="17"/>
  <c r="E80" i="17"/>
  <c r="E84" i="17"/>
  <c r="E88" i="17"/>
  <c r="E92" i="17"/>
  <c r="E96" i="17"/>
  <c r="E100" i="17"/>
  <c r="E104" i="17"/>
  <c r="E108" i="17"/>
  <c r="C633" i="17"/>
  <c r="F612" i="17"/>
  <c r="F610" i="17"/>
  <c r="F608" i="17"/>
  <c r="F606" i="17"/>
  <c r="F604" i="17"/>
  <c r="F602" i="17"/>
  <c r="F600" i="17"/>
  <c r="F598" i="17"/>
  <c r="F596" i="17"/>
  <c r="F613" i="17"/>
  <c r="F611" i="17"/>
  <c r="F609" i="17"/>
  <c r="F607" i="17"/>
  <c r="F605" i="17"/>
  <c r="F603" i="17"/>
  <c r="F601" i="17"/>
  <c r="F599" i="17"/>
  <c r="F597" i="17"/>
  <c r="E595" i="17"/>
  <c r="E593" i="17"/>
  <c r="E591" i="17"/>
  <c r="E589" i="17"/>
  <c r="E587" i="17"/>
  <c r="E585" i="17"/>
  <c r="E583" i="17"/>
  <c r="E581" i="17"/>
  <c r="E579" i="17"/>
  <c r="E577" i="17"/>
  <c r="E575" i="17"/>
  <c r="E573" i="17"/>
  <c r="E571" i="17"/>
  <c r="E569" i="17"/>
  <c r="E567" i="17"/>
  <c r="E565" i="17"/>
  <c r="E563" i="17"/>
  <c r="E561" i="17"/>
  <c r="E559" i="17"/>
  <c r="E557" i="17"/>
  <c r="E555" i="17"/>
  <c r="E553" i="17"/>
  <c r="E551" i="17"/>
  <c r="E549" i="17"/>
  <c r="E547" i="17"/>
  <c r="E545" i="17"/>
  <c r="F595" i="17"/>
  <c r="E592" i="17"/>
  <c r="E588" i="17"/>
  <c r="E584" i="17"/>
  <c r="E580" i="17"/>
  <c r="E576" i="17"/>
  <c r="E572" i="17"/>
  <c r="E568" i="17"/>
  <c r="E564" i="17"/>
  <c r="E560" i="17"/>
  <c r="E556" i="17"/>
  <c r="E552" i="17"/>
  <c r="E548" i="17"/>
  <c r="E544" i="17"/>
  <c r="E542" i="17"/>
  <c r="E540" i="17"/>
  <c r="E538" i="17"/>
  <c r="E536" i="17"/>
  <c r="E534" i="17"/>
  <c r="E532" i="17"/>
  <c r="E530" i="17"/>
  <c r="E528" i="17"/>
  <c r="E526" i="17"/>
  <c r="E524" i="17"/>
  <c r="E522" i="17"/>
  <c r="F593" i="17"/>
  <c r="F589" i="17"/>
  <c r="F585" i="17"/>
  <c r="F581" i="17"/>
  <c r="F577" i="17"/>
  <c r="F573" i="17"/>
  <c r="F569" i="17"/>
  <c r="F565" i="17"/>
  <c r="F561" i="17"/>
  <c r="F557" i="17"/>
  <c r="F553" i="17"/>
  <c r="F549" i="17"/>
  <c r="F545" i="17"/>
  <c r="F542" i="17"/>
  <c r="F540" i="17"/>
  <c r="F538" i="17"/>
  <c r="F536" i="17"/>
  <c r="F534" i="17"/>
  <c r="F532" i="17"/>
  <c r="F530" i="17"/>
  <c r="F528" i="17"/>
  <c r="F526" i="17"/>
  <c r="F524" i="17"/>
  <c r="F522" i="17"/>
  <c r="F520" i="17"/>
  <c r="F519" i="17"/>
  <c r="E517" i="17"/>
  <c r="E515" i="17"/>
  <c r="E513" i="17"/>
  <c r="E511" i="17"/>
  <c r="E509" i="17"/>
  <c r="E507" i="17"/>
  <c r="E505" i="17"/>
  <c r="E503" i="17"/>
  <c r="E501" i="17"/>
  <c r="E499" i="17"/>
  <c r="E497" i="17"/>
  <c r="E495" i="17"/>
  <c r="E493" i="17"/>
  <c r="E491" i="17"/>
  <c r="E489" i="17"/>
  <c r="E487" i="17"/>
  <c r="E485" i="17"/>
  <c r="E483" i="17"/>
  <c r="E481" i="17"/>
  <c r="E479" i="17"/>
  <c r="E477" i="17"/>
  <c r="E475" i="17"/>
  <c r="E473" i="17"/>
  <c r="E471" i="17"/>
  <c r="E469" i="17"/>
  <c r="E467" i="17"/>
  <c r="E465" i="17"/>
  <c r="E463" i="17"/>
  <c r="E461" i="17"/>
  <c r="E459" i="17"/>
  <c r="E457" i="17"/>
  <c r="E455" i="17"/>
  <c r="E453" i="17"/>
  <c r="E451" i="17"/>
  <c r="E449" i="17"/>
  <c r="E447" i="17"/>
  <c r="E445" i="17"/>
  <c r="E443" i="17"/>
  <c r="E441" i="17"/>
  <c r="E439" i="17"/>
  <c r="E437" i="17"/>
  <c r="E435" i="17"/>
  <c r="E433" i="17"/>
  <c r="E431" i="17"/>
  <c r="E429" i="17"/>
  <c r="E427" i="17"/>
  <c r="E425" i="17"/>
  <c r="E423" i="17"/>
  <c r="E421" i="17"/>
  <c r="E419" i="17"/>
  <c r="E520" i="17"/>
  <c r="F517" i="17"/>
  <c r="F515" i="17"/>
  <c r="F513" i="17"/>
  <c r="F511" i="17"/>
  <c r="F509" i="17"/>
  <c r="F507" i="17"/>
  <c r="F505" i="17"/>
  <c r="F503" i="17"/>
  <c r="F501" i="17"/>
  <c r="F499" i="17"/>
  <c r="F497" i="17"/>
  <c r="F495" i="17"/>
  <c r="F493" i="17"/>
  <c r="F491" i="17"/>
  <c r="F489" i="17"/>
  <c r="F487" i="17"/>
  <c r="F485" i="17"/>
  <c r="F483" i="17"/>
  <c r="F481" i="17"/>
  <c r="F479" i="17"/>
  <c r="F477" i="17"/>
  <c r="F475" i="17"/>
  <c r="F473" i="17"/>
  <c r="F471" i="17"/>
  <c r="F469" i="17"/>
  <c r="F467" i="17"/>
  <c r="F465" i="17"/>
  <c r="F463" i="17"/>
  <c r="F461" i="17"/>
  <c r="F459" i="17"/>
  <c r="F457" i="17"/>
  <c r="F455" i="17"/>
  <c r="F453" i="17"/>
  <c r="F451" i="17"/>
  <c r="F449" i="17"/>
  <c r="F447" i="17"/>
  <c r="F445" i="17"/>
  <c r="F443" i="17"/>
  <c r="F441" i="17"/>
  <c r="F439" i="17"/>
  <c r="F437" i="17"/>
  <c r="F435" i="17"/>
  <c r="F433" i="17"/>
  <c r="F431" i="17"/>
  <c r="F429" i="17"/>
  <c r="F427" i="17"/>
  <c r="F425" i="17"/>
  <c r="F423" i="17"/>
  <c r="F421" i="17"/>
  <c r="F419" i="17"/>
  <c r="F417" i="17"/>
  <c r="F415" i="17"/>
  <c r="F413" i="17"/>
  <c r="F411" i="17"/>
  <c r="F409" i="17"/>
  <c r="F407" i="17"/>
  <c r="F405" i="17"/>
  <c r="F403" i="17"/>
  <c r="F401" i="17"/>
  <c r="F399" i="17"/>
  <c r="F15" i="17"/>
  <c r="F19" i="17"/>
  <c r="F23" i="17"/>
  <c r="F27" i="17"/>
  <c r="F31" i="17"/>
  <c r="F35" i="17"/>
  <c r="F39" i="17"/>
  <c r="F43" i="17"/>
  <c r="F47" i="17"/>
  <c r="F51" i="17"/>
  <c r="F55" i="17"/>
  <c r="F59" i="17"/>
  <c r="F63" i="17"/>
  <c r="F67" i="17"/>
  <c r="F71" i="17"/>
  <c r="F75" i="17"/>
  <c r="F79" i="17"/>
  <c r="F83" i="17"/>
  <c r="F87" i="17"/>
  <c r="F91" i="17"/>
  <c r="F95" i="17"/>
  <c r="F99" i="17"/>
  <c r="F103" i="17"/>
  <c r="F107" i="17"/>
  <c r="E14" i="17"/>
  <c r="E18" i="17"/>
  <c r="E22" i="17"/>
  <c r="E26" i="17"/>
  <c r="E30" i="17"/>
  <c r="E34" i="17"/>
  <c r="E38" i="17"/>
  <c r="E42" i="17"/>
  <c r="E46" i="17"/>
  <c r="E50" i="17"/>
  <c r="E54" i="17"/>
  <c r="E58" i="17"/>
  <c r="E62" i="17"/>
  <c r="E66" i="17"/>
  <c r="E70" i="17"/>
  <c r="E74" i="17"/>
  <c r="E78" i="17"/>
  <c r="E82" i="17"/>
  <c r="E86" i="17"/>
  <c r="E90" i="17"/>
  <c r="E94" i="17"/>
  <c r="E98" i="17"/>
  <c r="E102" i="17"/>
  <c r="E106" i="17"/>
  <c r="E613" i="17"/>
  <c r="E611" i="17"/>
  <c r="E609" i="17"/>
  <c r="E607" i="17"/>
  <c r="E605" i="17"/>
  <c r="E603" i="17"/>
  <c r="E601" i="17"/>
  <c r="E599" i="17"/>
  <c r="E597" i="17"/>
  <c r="A623" i="17"/>
  <c r="E612" i="17"/>
  <c r="E610" i="17"/>
  <c r="E608" i="17"/>
  <c r="E606" i="17"/>
  <c r="E604" i="17"/>
  <c r="E602" i="17"/>
  <c r="E600" i="17"/>
  <c r="E598" i="17"/>
  <c r="E596" i="17"/>
  <c r="F594" i="17"/>
  <c r="F592" i="17"/>
  <c r="F590" i="17"/>
  <c r="F588" i="17"/>
  <c r="F586" i="17"/>
  <c r="F584" i="17"/>
  <c r="F582" i="17"/>
  <c r="F580" i="17"/>
  <c r="F578" i="17"/>
  <c r="F576" i="17"/>
  <c r="F574" i="17"/>
  <c r="F572" i="17"/>
  <c r="F570" i="17"/>
  <c r="F568" i="17"/>
  <c r="F566" i="17"/>
  <c r="F564" i="17"/>
  <c r="F562" i="17"/>
  <c r="F560" i="17"/>
  <c r="F558" i="17"/>
  <c r="F556" i="17"/>
  <c r="F554" i="17"/>
  <c r="F552" i="17"/>
  <c r="F550" i="17"/>
  <c r="F548" i="17"/>
  <c r="F546" i="17"/>
  <c r="F544" i="17"/>
  <c r="E594" i="17"/>
  <c r="E590" i="17"/>
  <c r="E586" i="17"/>
  <c r="E582" i="17"/>
  <c r="E578" i="17"/>
  <c r="E574" i="17"/>
  <c r="E570" i="17"/>
  <c r="E566" i="17"/>
  <c r="E562" i="17"/>
  <c r="E558" i="17"/>
  <c r="E554" i="17"/>
  <c r="E550" i="17"/>
  <c r="E546" i="17"/>
  <c r="F543" i="17"/>
  <c r="F541" i="17"/>
  <c r="F539" i="17"/>
  <c r="F537" i="17"/>
  <c r="F535" i="17"/>
  <c r="F533" i="17"/>
  <c r="F531" i="17"/>
  <c r="F529" i="17"/>
  <c r="F527" i="17"/>
  <c r="F525" i="17"/>
  <c r="F523" i="17"/>
  <c r="F521" i="17"/>
  <c r="F591" i="17"/>
  <c r="F587" i="17"/>
  <c r="F583" i="17"/>
  <c r="F579" i="17"/>
  <c r="F575" i="17"/>
  <c r="F571" i="17"/>
  <c r="F567" i="17"/>
  <c r="F563" i="17"/>
  <c r="F559" i="17"/>
  <c r="F555" i="17"/>
  <c r="F551" i="17"/>
  <c r="F547" i="17"/>
  <c r="E543" i="17"/>
  <c r="E541" i="17"/>
  <c r="E539" i="17"/>
  <c r="E537" i="17"/>
  <c r="E535" i="17"/>
  <c r="E533" i="17"/>
  <c r="E531" i="17"/>
  <c r="E529" i="17"/>
  <c r="E527" i="17"/>
  <c r="E525" i="17"/>
  <c r="E523" i="17"/>
  <c r="E521" i="17"/>
  <c r="E519" i="17"/>
  <c r="F518" i="17"/>
  <c r="F516" i="17"/>
  <c r="F514" i="17"/>
  <c r="F512" i="17"/>
  <c r="F510" i="17"/>
  <c r="F508" i="17"/>
  <c r="F506" i="17"/>
  <c r="F504" i="17"/>
  <c r="F502" i="17"/>
  <c r="F500" i="17"/>
  <c r="F498" i="17"/>
  <c r="F496" i="17"/>
  <c r="F494" i="17"/>
  <c r="F492" i="17"/>
  <c r="F490" i="17"/>
  <c r="F488" i="17"/>
  <c r="F486" i="17"/>
  <c r="F484" i="17"/>
  <c r="F482" i="17"/>
  <c r="F480" i="17"/>
  <c r="F478" i="17"/>
  <c r="F476" i="17"/>
  <c r="F474" i="17"/>
  <c r="F472" i="17"/>
  <c r="F470" i="17"/>
  <c r="F468" i="17"/>
  <c r="F466" i="17"/>
  <c r="F464" i="17"/>
  <c r="F462" i="17"/>
  <c r="F460" i="17"/>
  <c r="F458" i="17"/>
  <c r="F456" i="17"/>
  <c r="F454" i="17"/>
  <c r="F452" i="17"/>
  <c r="F450" i="17"/>
  <c r="F448" i="17"/>
  <c r="F446" i="17"/>
  <c r="F444" i="17"/>
  <c r="F442" i="17"/>
  <c r="F440" i="17"/>
  <c r="F438" i="17"/>
  <c r="F436" i="17"/>
  <c r="F434" i="17"/>
  <c r="F432" i="17"/>
  <c r="F430" i="17"/>
  <c r="F428" i="17"/>
  <c r="F426" i="17"/>
  <c r="F424" i="17"/>
  <c r="F422" i="17"/>
  <c r="F420" i="17"/>
  <c r="F418" i="17"/>
  <c r="E518" i="17"/>
  <c r="E516" i="17"/>
  <c r="E514" i="17"/>
  <c r="E512" i="17"/>
  <c r="E510" i="17"/>
  <c r="E508" i="17"/>
  <c r="E506" i="17"/>
  <c r="E504" i="17"/>
  <c r="E502" i="17"/>
  <c r="E500" i="17"/>
  <c r="E498" i="17"/>
  <c r="E496" i="17"/>
  <c r="E494" i="17"/>
  <c r="E492" i="17"/>
  <c r="E490" i="17"/>
  <c r="E488" i="17"/>
  <c r="E486" i="17"/>
  <c r="E484" i="17"/>
  <c r="E482" i="17"/>
  <c r="E480" i="17"/>
  <c r="E478" i="17"/>
  <c r="E476" i="17"/>
  <c r="E474" i="17"/>
  <c r="E472" i="17"/>
  <c r="E470" i="17"/>
  <c r="E468" i="17"/>
  <c r="E466" i="17"/>
  <c r="E464" i="17"/>
  <c r="E462" i="17"/>
  <c r="E460" i="17"/>
  <c r="E458" i="17"/>
  <c r="E456" i="17"/>
  <c r="E454" i="17"/>
  <c r="E452" i="17"/>
  <c r="E450" i="17"/>
  <c r="E448" i="17"/>
  <c r="E446" i="17"/>
  <c r="E444" i="17"/>
  <c r="E442" i="17"/>
  <c r="E440" i="17"/>
  <c r="E438" i="17"/>
  <c r="E436" i="17"/>
  <c r="E434" i="17"/>
  <c r="E432" i="17"/>
  <c r="E430" i="17"/>
  <c r="E428" i="17"/>
  <c r="E426" i="17"/>
  <c r="E424" i="17"/>
  <c r="E422" i="17"/>
  <c r="E420" i="17"/>
  <c r="E418" i="17"/>
  <c r="E416" i="17"/>
  <c r="E414" i="17"/>
  <c r="E412" i="17"/>
  <c r="E410" i="17"/>
  <c r="E408" i="17"/>
  <c r="E406" i="17"/>
  <c r="E404" i="17"/>
  <c r="E402" i="17"/>
  <c r="E400" i="17"/>
  <c r="E398" i="17"/>
  <c r="E396" i="17"/>
  <c r="E394" i="17"/>
  <c r="E392" i="17"/>
  <c r="E390" i="17"/>
  <c r="E388" i="17"/>
  <c r="E386" i="17"/>
  <c r="E384" i="17"/>
  <c r="E382" i="17"/>
  <c r="E380" i="17"/>
  <c r="E378" i="17"/>
  <c r="E376" i="17"/>
  <c r="E374" i="17"/>
  <c r="E372" i="17"/>
  <c r="E370" i="17"/>
  <c r="E368" i="17"/>
  <c r="E366" i="17"/>
  <c r="E364" i="17"/>
  <c r="E362" i="17"/>
  <c r="E360" i="17"/>
  <c r="E358" i="17"/>
  <c r="E356" i="17"/>
  <c r="E354" i="17"/>
  <c r="E352" i="17"/>
  <c r="E350" i="17"/>
  <c r="E348" i="17"/>
  <c r="E346" i="17"/>
  <c r="E344" i="17"/>
  <c r="E342" i="17"/>
  <c r="E340" i="17"/>
  <c r="E338" i="17"/>
  <c r="E336" i="17"/>
  <c r="E334" i="17"/>
  <c r="E332" i="17"/>
  <c r="E330" i="17"/>
  <c r="E328" i="17"/>
  <c r="E326" i="17"/>
  <c r="E324" i="17"/>
  <c r="E322" i="17"/>
  <c r="E320" i="17"/>
  <c r="E318" i="17"/>
  <c r="E316" i="17"/>
  <c r="E417" i="17"/>
  <c r="E415" i="17"/>
  <c r="E413" i="17"/>
  <c r="E411" i="17"/>
  <c r="E409" i="17"/>
  <c r="E407" i="17"/>
  <c r="E405" i="17"/>
  <c r="E403" i="17"/>
  <c r="E401" i="17"/>
  <c r="E399" i="17"/>
  <c r="E397" i="17"/>
  <c r="E395" i="17"/>
  <c r="E393" i="17"/>
  <c r="E391" i="17"/>
  <c r="E389" i="17"/>
  <c r="E387" i="17"/>
  <c r="E385" i="17"/>
  <c r="E383" i="17"/>
  <c r="E381" i="17"/>
  <c r="E379" i="17"/>
  <c r="E377" i="17"/>
  <c r="E375" i="17"/>
  <c r="E373" i="17"/>
  <c r="E371" i="17"/>
  <c r="E369" i="17"/>
  <c r="E367" i="17"/>
  <c r="E365" i="17"/>
  <c r="E363" i="17"/>
  <c r="E361" i="17"/>
  <c r="E359" i="17"/>
  <c r="E357" i="17"/>
  <c r="E355" i="17"/>
  <c r="E353" i="17"/>
  <c r="E351" i="17"/>
  <c r="E349" i="17"/>
  <c r="E347" i="17"/>
  <c r="E345" i="17"/>
  <c r="E343" i="17"/>
  <c r="E341" i="17"/>
  <c r="E339" i="17"/>
  <c r="E337" i="17"/>
  <c r="E335" i="17"/>
  <c r="E333" i="17"/>
  <c r="E331" i="17"/>
  <c r="E329" i="17"/>
  <c r="E327" i="17"/>
  <c r="E325" i="17"/>
  <c r="E323" i="17"/>
  <c r="E321" i="17"/>
  <c r="E319" i="17"/>
  <c r="E317" i="17"/>
  <c r="E315" i="17"/>
  <c r="F313" i="17"/>
  <c r="F311" i="17"/>
  <c r="F309" i="17"/>
  <c r="F307" i="17"/>
  <c r="F305" i="17"/>
  <c r="F303" i="17"/>
  <c r="F301" i="17"/>
  <c r="F299" i="17"/>
  <c r="F297" i="17"/>
  <c r="F295" i="17"/>
  <c r="F293" i="17"/>
  <c r="F291" i="17"/>
  <c r="F289" i="17"/>
  <c r="F287" i="17"/>
  <c r="F285" i="17"/>
  <c r="F283" i="17"/>
  <c r="F281" i="17"/>
  <c r="F279" i="17"/>
  <c r="F277" i="17"/>
  <c r="F275" i="17"/>
  <c r="F273" i="17"/>
  <c r="F271" i="17"/>
  <c r="F269" i="17"/>
  <c r="F267" i="17"/>
  <c r="F265" i="17"/>
  <c r="F263" i="17"/>
  <c r="F261" i="17"/>
  <c r="F259" i="17"/>
  <c r="F257" i="17"/>
  <c r="F255" i="17"/>
  <c r="F253" i="17"/>
  <c r="F251" i="17"/>
  <c r="F249" i="17"/>
  <c r="F247" i="17"/>
  <c r="F245" i="17"/>
  <c r="F243" i="17"/>
  <c r="F241" i="17"/>
  <c r="F239" i="17"/>
  <c r="F237" i="17"/>
  <c r="F235" i="17"/>
  <c r="F233" i="17"/>
  <c r="F231" i="17"/>
  <c r="F229" i="17"/>
  <c r="F227" i="17"/>
  <c r="F225" i="17"/>
  <c r="F223" i="17"/>
  <c r="F221" i="17"/>
  <c r="F219" i="17"/>
  <c r="F217" i="17"/>
  <c r="F215" i="17"/>
  <c r="F213" i="17"/>
  <c r="F211" i="17"/>
  <c r="F209" i="17"/>
  <c r="F207" i="17"/>
  <c r="F205" i="17"/>
  <c r="F203" i="17"/>
  <c r="F201" i="17"/>
  <c r="F199" i="17"/>
  <c r="F197" i="17"/>
  <c r="F195" i="17"/>
  <c r="F193" i="17"/>
  <c r="F191" i="17"/>
  <c r="F189" i="17"/>
  <c r="F187" i="17"/>
  <c r="F185" i="17"/>
  <c r="F183" i="17"/>
  <c r="F181" i="17"/>
  <c r="F179" i="17"/>
  <c r="F177" i="17"/>
  <c r="F175" i="17"/>
  <c r="F173" i="17"/>
  <c r="F171" i="17"/>
  <c r="F169" i="17"/>
  <c r="F167" i="17"/>
  <c r="F165" i="17"/>
  <c r="F163" i="17"/>
  <c r="F161" i="17"/>
  <c r="F159" i="17"/>
  <c r="F157" i="17"/>
  <c r="F155" i="17"/>
  <c r="F153" i="17"/>
  <c r="F151" i="17"/>
  <c r="F149" i="17"/>
  <c r="F147" i="17"/>
  <c r="F145" i="17"/>
  <c r="F143" i="17"/>
  <c r="F141" i="17"/>
  <c r="F139" i="17"/>
  <c r="F137" i="17"/>
  <c r="F135" i="17"/>
  <c r="F133" i="17"/>
  <c r="F131" i="17"/>
  <c r="F129" i="17"/>
  <c r="F127" i="17"/>
  <c r="F125" i="17"/>
  <c r="F123" i="17"/>
  <c r="F121" i="17"/>
  <c r="F119" i="17"/>
  <c r="F117" i="17"/>
  <c r="F115" i="17"/>
  <c r="F113" i="17"/>
  <c r="F111" i="17"/>
  <c r="E313" i="17"/>
  <c r="E311" i="17"/>
  <c r="E309" i="17"/>
  <c r="E307" i="17"/>
  <c r="E305" i="17"/>
  <c r="E303" i="17"/>
  <c r="E301" i="17"/>
  <c r="E299" i="17"/>
  <c r="E297" i="17"/>
  <c r="E295" i="17"/>
  <c r="E293" i="17"/>
  <c r="E291" i="17"/>
  <c r="E289" i="17"/>
  <c r="E287" i="17"/>
  <c r="E285" i="17"/>
  <c r="E283" i="17"/>
  <c r="E281" i="17"/>
  <c r="F397" i="17"/>
  <c r="F395" i="17"/>
  <c r="F393" i="17"/>
  <c r="F391" i="17"/>
  <c r="F389" i="17"/>
  <c r="F387" i="17"/>
  <c r="F385" i="17"/>
  <c r="F383" i="17"/>
  <c r="F381" i="17"/>
  <c r="F379" i="17"/>
  <c r="F377" i="17"/>
  <c r="F375" i="17"/>
  <c r="F373" i="17"/>
  <c r="F371" i="17"/>
  <c r="F369" i="17"/>
  <c r="F367" i="17"/>
  <c r="F365" i="17"/>
  <c r="F363" i="17"/>
  <c r="F361" i="17"/>
  <c r="F359" i="17"/>
  <c r="F357" i="17"/>
  <c r="F355" i="17"/>
  <c r="F353" i="17"/>
  <c r="F351" i="17"/>
  <c r="F349" i="17"/>
  <c r="F347" i="17"/>
  <c r="F345" i="17"/>
  <c r="F343" i="17"/>
  <c r="F341" i="17"/>
  <c r="F339" i="17"/>
  <c r="F337" i="17"/>
  <c r="F335" i="17"/>
  <c r="F333" i="17"/>
  <c r="F331" i="17"/>
  <c r="F329" i="17"/>
  <c r="F327" i="17"/>
  <c r="F325" i="17"/>
  <c r="F323" i="17"/>
  <c r="F321" i="17"/>
  <c r="F319" i="17"/>
  <c r="F317" i="17"/>
  <c r="F315" i="17"/>
  <c r="F416" i="17"/>
  <c r="F414" i="17"/>
  <c r="F412" i="17"/>
  <c r="F410" i="17"/>
  <c r="F408" i="17"/>
  <c r="F406" i="17"/>
  <c r="F404" i="17"/>
  <c r="F402" i="17"/>
  <c r="F400" i="17"/>
  <c r="F398" i="17"/>
  <c r="F396" i="17"/>
  <c r="F394" i="17"/>
  <c r="F392" i="17"/>
  <c r="F390" i="17"/>
  <c r="F388" i="17"/>
  <c r="F386" i="17"/>
  <c r="F384" i="17"/>
  <c r="F382" i="17"/>
  <c r="F380" i="17"/>
  <c r="F378" i="17"/>
  <c r="F376" i="17"/>
  <c r="F374" i="17"/>
  <c r="F372" i="17"/>
  <c r="F370" i="17"/>
  <c r="F368" i="17"/>
  <c r="F366" i="17"/>
  <c r="F364" i="17"/>
  <c r="F362" i="17"/>
  <c r="F360" i="17"/>
  <c r="F358" i="17"/>
  <c r="F356" i="17"/>
  <c r="F354" i="17"/>
  <c r="F352" i="17"/>
  <c r="F350" i="17"/>
  <c r="F348" i="17"/>
  <c r="F346" i="17"/>
  <c r="F344" i="17"/>
  <c r="F342" i="17"/>
  <c r="F340" i="17"/>
  <c r="F338" i="17"/>
  <c r="F336" i="17"/>
  <c r="F334" i="17"/>
  <c r="F332" i="17"/>
  <c r="F330" i="17"/>
  <c r="F328" i="17"/>
  <c r="F326" i="17"/>
  <c r="F324" i="17"/>
  <c r="F322" i="17"/>
  <c r="F320" i="17"/>
  <c r="F318" i="17"/>
  <c r="F316" i="17"/>
  <c r="E314" i="17"/>
  <c r="E312" i="17"/>
  <c r="E310" i="17"/>
  <c r="E308" i="17"/>
  <c r="E306" i="17"/>
  <c r="E304" i="17"/>
  <c r="E302" i="17"/>
  <c r="E300" i="17"/>
  <c r="E298" i="17"/>
  <c r="E296" i="17"/>
  <c r="E294" i="17"/>
  <c r="E292" i="17"/>
  <c r="E290" i="17"/>
  <c r="E288" i="17"/>
  <c r="E286" i="17"/>
  <c r="E284" i="17"/>
  <c r="E282" i="17"/>
  <c r="E280" i="17"/>
  <c r="E278" i="17"/>
  <c r="E276" i="17"/>
  <c r="E274" i="17"/>
  <c r="E272" i="17"/>
  <c r="E270" i="17"/>
  <c r="E268" i="17"/>
  <c r="E266" i="17"/>
  <c r="E264" i="17"/>
  <c r="E262" i="17"/>
  <c r="E260" i="17"/>
  <c r="E258" i="17"/>
  <c r="E256" i="17"/>
  <c r="E254" i="17"/>
  <c r="E252" i="17"/>
  <c r="E250" i="17"/>
  <c r="E248" i="17"/>
  <c r="E246" i="17"/>
  <c r="E244" i="17"/>
  <c r="E242" i="17"/>
  <c r="E240" i="17"/>
  <c r="E238" i="17"/>
  <c r="E236" i="17"/>
  <c r="E234" i="17"/>
  <c r="E232" i="17"/>
  <c r="E230" i="17"/>
  <c r="E228" i="17"/>
  <c r="E226" i="17"/>
  <c r="E224" i="17"/>
  <c r="E222" i="17"/>
  <c r="E220" i="17"/>
  <c r="E218" i="17"/>
  <c r="E216" i="17"/>
  <c r="E214" i="17"/>
  <c r="E212" i="17"/>
  <c r="E210" i="17"/>
  <c r="E208" i="17"/>
  <c r="E206" i="17"/>
  <c r="E204" i="17"/>
  <c r="E202" i="17"/>
  <c r="E200" i="17"/>
  <c r="E198" i="17"/>
  <c r="E196" i="17"/>
  <c r="E194" i="17"/>
  <c r="E192" i="17"/>
  <c r="E190" i="17"/>
  <c r="E188" i="17"/>
  <c r="E186" i="17"/>
  <c r="E184" i="17"/>
  <c r="E182" i="17"/>
  <c r="E180" i="17"/>
  <c r="E178" i="17"/>
  <c r="E176" i="17"/>
  <c r="E174" i="17"/>
  <c r="E172" i="17"/>
  <c r="E170" i="17"/>
  <c r="E168" i="17"/>
  <c r="E166" i="17"/>
  <c r="E164" i="17"/>
  <c r="E162" i="17"/>
  <c r="E160" i="17"/>
  <c r="E158" i="17"/>
  <c r="E156" i="17"/>
  <c r="E154" i="17"/>
  <c r="E152" i="17"/>
  <c r="E150" i="17"/>
  <c r="E148" i="17"/>
  <c r="E146" i="17"/>
  <c r="E144" i="17"/>
  <c r="E142" i="17"/>
  <c r="E140" i="17"/>
  <c r="E138" i="17"/>
  <c r="E136" i="17"/>
  <c r="E134" i="17"/>
  <c r="E132" i="17"/>
  <c r="E130" i="17"/>
  <c r="E128" i="17"/>
  <c r="E126" i="17"/>
  <c r="E124" i="17"/>
  <c r="E122" i="17"/>
  <c r="E120" i="17"/>
  <c r="E118" i="17"/>
  <c r="E116" i="17"/>
  <c r="E114" i="17"/>
  <c r="E112" i="17"/>
  <c r="F314" i="17"/>
  <c r="F312" i="17"/>
  <c r="F310" i="17"/>
  <c r="F308" i="17"/>
  <c r="F306" i="17"/>
  <c r="F304" i="17"/>
  <c r="F302" i="17"/>
  <c r="F300" i="17"/>
  <c r="F298" i="17"/>
  <c r="F296" i="17"/>
  <c r="F294" i="17"/>
  <c r="F292" i="17"/>
  <c r="F290" i="17"/>
  <c r="F288" i="17"/>
  <c r="F286" i="17"/>
  <c r="F284" i="17"/>
  <c r="F282" i="17"/>
  <c r="F280" i="17"/>
  <c r="F278" i="17"/>
  <c r="F276" i="17"/>
  <c r="F274" i="17"/>
  <c r="F272" i="17"/>
  <c r="F270" i="17"/>
  <c r="F268" i="17"/>
  <c r="F266" i="17"/>
  <c r="F264" i="17"/>
  <c r="F262" i="17"/>
  <c r="F260" i="17"/>
  <c r="F258" i="17"/>
  <c r="F256" i="17"/>
  <c r="F254" i="17"/>
  <c r="F252" i="17"/>
  <c r="F250" i="17"/>
  <c r="F248" i="17"/>
  <c r="F246" i="17"/>
  <c r="F244" i="17"/>
  <c r="F242" i="17"/>
  <c r="F240" i="17"/>
  <c r="F238" i="17"/>
  <c r="F236" i="17"/>
  <c r="F234" i="17"/>
  <c r="F232" i="17"/>
  <c r="F230" i="17"/>
  <c r="F228" i="17"/>
  <c r="F226" i="17"/>
  <c r="F224" i="17"/>
  <c r="F222" i="17"/>
  <c r="F220" i="17"/>
  <c r="F218" i="17"/>
  <c r="F216" i="17"/>
  <c r="F214" i="17"/>
  <c r="F212" i="17"/>
  <c r="F210" i="17"/>
  <c r="F208" i="17"/>
  <c r="F206" i="17"/>
  <c r="F204" i="17"/>
  <c r="F202" i="17"/>
  <c r="F200" i="17"/>
  <c r="F198" i="17"/>
  <c r="F196" i="17"/>
  <c r="F194" i="17"/>
  <c r="E277" i="17"/>
  <c r="E273" i="17"/>
  <c r="E269" i="17"/>
  <c r="E265" i="17"/>
  <c r="E261" i="17"/>
  <c r="E257" i="17"/>
  <c r="E253" i="17"/>
  <c r="E249" i="17"/>
  <c r="E245" i="17"/>
  <c r="E241" i="17"/>
  <c r="E237" i="17"/>
  <c r="E233" i="17"/>
  <c r="E229" i="17"/>
  <c r="E225" i="17"/>
  <c r="E221" i="17"/>
  <c r="E217" i="17"/>
  <c r="E213" i="17"/>
  <c r="E209" i="17"/>
  <c r="E205" i="17"/>
  <c r="E201" i="17"/>
  <c r="E197" i="17"/>
  <c r="E193" i="17"/>
  <c r="E191" i="17"/>
  <c r="E189" i="17"/>
  <c r="E187" i="17"/>
  <c r="E185" i="17"/>
  <c r="E183" i="17"/>
  <c r="E181" i="17"/>
  <c r="E179" i="17"/>
  <c r="E177" i="17"/>
  <c r="E175" i="17"/>
  <c r="E173" i="17"/>
  <c r="E171" i="17"/>
  <c r="E169" i="17"/>
  <c r="E167" i="17"/>
  <c r="E165" i="17"/>
  <c r="E163" i="17"/>
  <c r="E161" i="17"/>
  <c r="E159" i="17"/>
  <c r="E157" i="17"/>
  <c r="E155" i="17"/>
  <c r="E153" i="17"/>
  <c r="E151" i="17"/>
  <c r="E149" i="17"/>
  <c r="E147" i="17"/>
  <c r="E145" i="17"/>
  <c r="E143" i="17"/>
  <c r="E141" i="17"/>
  <c r="E139" i="17"/>
  <c r="E137" i="17"/>
  <c r="E135" i="17"/>
  <c r="E133" i="17"/>
  <c r="E131" i="17"/>
  <c r="E129" i="17"/>
  <c r="E127" i="17"/>
  <c r="E125" i="17"/>
  <c r="E123" i="17"/>
  <c r="E121" i="17"/>
  <c r="E119" i="17"/>
  <c r="E117" i="17"/>
  <c r="E115" i="17"/>
  <c r="E113" i="17"/>
  <c r="E111" i="17"/>
  <c r="E279" i="17"/>
  <c r="E275" i="17"/>
  <c r="E271" i="17"/>
  <c r="E267" i="17"/>
  <c r="E263" i="17"/>
  <c r="E259" i="17"/>
  <c r="E255" i="17"/>
  <c r="E251" i="17"/>
  <c r="E247" i="17"/>
  <c r="E243" i="17"/>
  <c r="E239" i="17"/>
  <c r="E235" i="17"/>
  <c r="E231" i="17"/>
  <c r="E227" i="17"/>
  <c r="E223" i="17"/>
  <c r="E219" i="17"/>
  <c r="E215" i="17"/>
  <c r="E211" i="17"/>
  <c r="E207" i="17"/>
  <c r="E203" i="17"/>
  <c r="E199" i="17"/>
  <c r="E195" i="17"/>
  <c r="F192" i="17"/>
  <c r="F190" i="17"/>
  <c r="F188" i="17"/>
  <c r="F186" i="17"/>
  <c r="F184" i="17"/>
  <c r="F182" i="17"/>
  <c r="F180" i="17"/>
  <c r="F178" i="17"/>
  <c r="F176" i="17"/>
  <c r="F174" i="17"/>
  <c r="F172" i="17"/>
  <c r="F170" i="17"/>
  <c r="F168" i="17"/>
  <c r="F166" i="17"/>
  <c r="F164" i="17"/>
  <c r="F162" i="17"/>
  <c r="F160" i="17"/>
  <c r="F158" i="17"/>
  <c r="F156" i="17"/>
  <c r="F154" i="17"/>
  <c r="F152" i="17"/>
  <c r="F150" i="17"/>
  <c r="F148" i="17"/>
  <c r="F146" i="17"/>
  <c r="F144" i="17"/>
  <c r="F142" i="17"/>
  <c r="F140" i="17"/>
  <c r="F138" i="17"/>
  <c r="F136" i="17"/>
  <c r="F134" i="17"/>
  <c r="F132" i="17"/>
  <c r="F130" i="17"/>
  <c r="F128" i="17"/>
  <c r="F126" i="17"/>
  <c r="F124" i="17"/>
  <c r="F122" i="17"/>
  <c r="F120" i="17"/>
  <c r="F118" i="17"/>
  <c r="F116" i="17"/>
  <c r="F114" i="17"/>
  <c r="F112" i="17"/>
  <c r="F110" i="17"/>
  <c r="E13" i="17"/>
  <c r="F14" i="17"/>
  <c r="E15" i="17"/>
  <c r="F16" i="17"/>
  <c r="E17" i="17"/>
  <c r="F18" i="17"/>
  <c r="E19" i="17"/>
  <c r="F20" i="17"/>
  <c r="E21" i="17"/>
  <c r="F22" i="17"/>
  <c r="E23" i="17"/>
  <c r="F24" i="17"/>
  <c r="E25" i="17"/>
  <c r="F26" i="17"/>
  <c r="E27" i="17"/>
  <c r="F28" i="17"/>
  <c r="E29" i="17"/>
  <c r="F30" i="17"/>
  <c r="E31" i="17"/>
  <c r="F32" i="17"/>
  <c r="E33" i="17"/>
  <c r="F34" i="17"/>
  <c r="E35" i="17"/>
  <c r="F36" i="17"/>
  <c r="E37" i="17"/>
  <c r="F38" i="17"/>
  <c r="E39" i="17"/>
  <c r="F40" i="17"/>
  <c r="E41" i="17"/>
  <c r="F42" i="17"/>
  <c r="E43" i="17"/>
  <c r="F44" i="17"/>
  <c r="E45" i="17"/>
  <c r="F46" i="17"/>
  <c r="E47" i="17"/>
  <c r="F48" i="17"/>
  <c r="E49" i="17"/>
  <c r="F50" i="17"/>
  <c r="E51" i="17"/>
  <c r="F52" i="17"/>
  <c r="E53" i="17"/>
  <c r="F54" i="17"/>
  <c r="E55" i="17"/>
  <c r="F56" i="17"/>
  <c r="E57" i="17"/>
  <c r="F58" i="17"/>
  <c r="E59" i="17"/>
  <c r="F60" i="17"/>
  <c r="E61" i="17"/>
  <c r="F62" i="17"/>
  <c r="E63" i="17"/>
  <c r="F64" i="17"/>
  <c r="E65" i="17"/>
  <c r="F66" i="17"/>
  <c r="E67" i="17"/>
  <c r="F68" i="17"/>
  <c r="E69" i="17"/>
  <c r="F70" i="17"/>
  <c r="E71" i="17"/>
  <c r="F72" i="17"/>
  <c r="E73" i="17"/>
  <c r="F74" i="17"/>
  <c r="E75" i="17"/>
  <c r="F76" i="17"/>
  <c r="E77" i="17"/>
  <c r="F78" i="17"/>
  <c r="E79" i="17"/>
  <c r="F80" i="17"/>
  <c r="E81" i="17"/>
  <c r="F82" i="17"/>
  <c r="E83" i="17"/>
  <c r="F84" i="17"/>
  <c r="E85" i="17"/>
  <c r="F86" i="17"/>
  <c r="E87" i="17"/>
  <c r="F88" i="17"/>
  <c r="E89" i="17"/>
  <c r="F90" i="17"/>
  <c r="E91" i="17"/>
  <c r="F92" i="17"/>
  <c r="E93" i="17"/>
  <c r="F94" i="17"/>
  <c r="E95" i="17"/>
  <c r="F96" i="17"/>
  <c r="E97" i="17"/>
  <c r="F98" i="17"/>
  <c r="E99" i="17"/>
  <c r="F100" i="17"/>
  <c r="E101" i="17"/>
  <c r="F102" i="17"/>
  <c r="E103" i="17"/>
  <c r="F104" i="17"/>
  <c r="E105" i="17"/>
  <c r="F106" i="17"/>
  <c r="E107" i="17"/>
  <c r="F108" i="17"/>
  <c r="E109" i="17"/>
  <c r="E626" i="17"/>
  <c r="F626" i="17"/>
  <c r="C3" i="17"/>
  <c r="B20" i="2"/>
  <c r="B74" i="2" s="1"/>
  <c r="B18" i="2"/>
  <c r="B19" i="2"/>
  <c r="C57" i="2" s="1"/>
  <c r="N14" i="8"/>
  <c r="G3" i="8"/>
  <c r="G159" i="8" s="1"/>
  <c r="G158" i="8" s="1"/>
  <c r="G157" i="8" s="1"/>
  <c r="G156" i="8" s="1"/>
  <c r="G155" i="8" s="1"/>
  <c r="G154" i="8" s="1"/>
  <c r="G153" i="8" s="1"/>
  <c r="G152" i="8" s="1"/>
  <c r="G151" i="8" s="1"/>
  <c r="G150" i="8" s="1"/>
  <c r="G149" i="8" s="1"/>
  <c r="G148" i="8" s="1"/>
  <c r="G147" i="8" s="1"/>
  <c r="G146" i="8" s="1"/>
  <c r="G145" i="8" s="1"/>
  <c r="G144" i="8" s="1"/>
  <c r="G143" i="8" s="1"/>
  <c r="G142" i="8" s="1"/>
  <c r="G141" i="8" s="1"/>
  <c r="G140" i="8" s="1"/>
  <c r="G139" i="8" s="1"/>
  <c r="G138" i="8" s="1"/>
  <c r="G137" i="8" s="1"/>
  <c r="G136" i="8" s="1"/>
  <c r="G135" i="8" s="1"/>
  <c r="G134" i="8" s="1"/>
  <c r="G133" i="8" s="1"/>
  <c r="G132" i="8" s="1"/>
  <c r="G131" i="8" s="1"/>
  <c r="G130" i="8" s="1"/>
  <c r="G129" i="8" s="1"/>
  <c r="G128" i="8" s="1"/>
  <c r="G127" i="8" s="1"/>
  <c r="G126" i="8" s="1"/>
  <c r="G125" i="8" s="1"/>
  <c r="G124" i="8" s="1"/>
  <c r="G123" i="8" s="1"/>
  <c r="G122" i="8" s="1"/>
  <c r="G121" i="8" s="1"/>
  <c r="G120" i="8" s="1"/>
  <c r="G119" i="8" s="1"/>
  <c r="G118" i="8" s="1"/>
  <c r="G117" i="8" s="1"/>
  <c r="G116" i="8" s="1"/>
  <c r="G115" i="8" s="1"/>
  <c r="G114" i="8" s="1"/>
  <c r="G113" i="8" s="1"/>
  <c r="G112" i="8" s="1"/>
  <c r="G111" i="8" s="1"/>
  <c r="G110" i="8" s="1"/>
  <c r="G109" i="8" s="1"/>
  <c r="G108" i="8" s="1"/>
  <c r="G107" i="8" s="1"/>
  <c r="G106" i="8" s="1"/>
  <c r="G105" i="8" s="1"/>
  <c r="G104" i="8" s="1"/>
  <c r="G103" i="8" s="1"/>
  <c r="G102" i="8" s="1"/>
  <c r="G101" i="8" s="1"/>
  <c r="G100" i="8" s="1"/>
  <c r="G99" i="8" s="1"/>
  <c r="G98" i="8" s="1"/>
  <c r="G97" i="8" s="1"/>
  <c r="G96" i="8" s="1"/>
  <c r="G95" i="8" s="1"/>
  <c r="G94" i="8" s="1"/>
  <c r="G93" i="8" s="1"/>
  <c r="G92" i="8" s="1"/>
  <c r="G91" i="8" s="1"/>
  <c r="G90" i="8" s="1"/>
  <c r="G89" i="8" s="1"/>
  <c r="G88" i="8" s="1"/>
  <c r="G87" i="8" s="1"/>
  <c r="G86" i="8" s="1"/>
  <c r="G85" i="8" s="1"/>
  <c r="G84" i="8" s="1"/>
  <c r="G83" i="8" s="1"/>
  <c r="G82" i="8" s="1"/>
  <c r="G81" i="8" s="1"/>
  <c r="G80" i="8" s="1"/>
  <c r="G79" i="8" s="1"/>
  <c r="G78" i="8" s="1"/>
  <c r="G77" i="8" s="1"/>
  <c r="G76" i="8" s="1"/>
  <c r="G75" i="8" s="1"/>
  <c r="G74" i="8" s="1"/>
  <c r="G73" i="8" s="1"/>
  <c r="G72" i="8" s="1"/>
  <c r="G71" i="8" s="1"/>
  <c r="G70" i="8" s="1"/>
  <c r="G69" i="8" s="1"/>
  <c r="G68" i="8" s="1"/>
  <c r="G67" i="8" s="1"/>
  <c r="G66" i="8" s="1"/>
  <c r="G65" i="8" s="1"/>
  <c r="G64" i="8" s="1"/>
  <c r="G63" i="8" s="1"/>
  <c r="G62" i="8" s="1"/>
  <c r="G61" i="8" s="1"/>
  <c r="G60" i="8" s="1"/>
  <c r="G59" i="8" s="1"/>
  <c r="G58" i="8" s="1"/>
  <c r="G57" i="8" s="1"/>
  <c r="G56" i="8" s="1"/>
  <c r="G55" i="8" s="1"/>
  <c r="G54" i="8" s="1"/>
  <c r="G53" i="8" s="1"/>
  <c r="G52" i="8" s="1"/>
  <c r="G51" i="8" s="1"/>
  <c r="G50" i="8" s="1"/>
  <c r="G49" i="8" s="1"/>
  <c r="G48" i="8" s="1"/>
  <c r="G47" i="8" s="1"/>
  <c r="G46" i="8" s="1"/>
  <c r="G45" i="8" s="1"/>
  <c r="G44" i="8" s="1"/>
  <c r="G43" i="8" s="1"/>
  <c r="G42" i="8" s="1"/>
  <c r="G41" i="8" s="1"/>
  <c r="G40" i="8" s="1"/>
  <c r="G39" i="8" s="1"/>
  <c r="G38" i="8" s="1"/>
  <c r="G37" i="8" s="1"/>
  <c r="G36" i="8" s="1"/>
  <c r="G35" i="8" s="1"/>
  <c r="G34" i="8" s="1"/>
  <c r="G33" i="8" s="1"/>
  <c r="G32" i="8" s="1"/>
  <c r="G31" i="8" s="1"/>
  <c r="G30" i="8" s="1"/>
  <c r="G29" i="8" s="1"/>
  <c r="G28" i="8" s="1"/>
  <c r="G27" i="8" s="1"/>
  <c r="G26" i="8" s="1"/>
  <c r="G25" i="8" s="1"/>
  <c r="G24" i="8" s="1"/>
  <c r="G23" i="8" s="1"/>
  <c r="G22" i="8" s="1"/>
  <c r="G21" i="8" s="1"/>
  <c r="G20" i="8" s="1"/>
  <c r="G19" i="8" s="1"/>
  <c r="G18" i="8" s="1"/>
  <c r="G17" i="8" s="1"/>
  <c r="G16" i="8" s="1"/>
  <c r="G15" i="8" s="1"/>
  <c r="G14" i="8" s="1"/>
  <c r="G13" i="8" s="1"/>
  <c r="G12" i="8" s="1"/>
  <c r="G11" i="8" s="1"/>
  <c r="G10" i="8" s="1"/>
  <c r="G9" i="8" s="1"/>
  <c r="G8" i="8" s="1"/>
  <c r="G7" i="8" s="1"/>
  <c r="G6" i="8" s="1"/>
  <c r="B49" i="2"/>
  <c r="B469" i="2"/>
  <c r="O10" i="8"/>
  <c r="B334" i="2" s="1"/>
  <c r="B452" i="2" s="1"/>
  <c r="C67" i="16"/>
  <c r="D67" i="16" s="1"/>
  <c r="B411" i="2"/>
  <c r="B412" i="2" s="1"/>
  <c r="B70" i="2"/>
  <c r="E69" i="1"/>
  <c r="B206" i="2"/>
  <c r="E59" i="1" s="1"/>
  <c r="C57" i="16" s="1"/>
  <c r="D57" i="16" s="1"/>
  <c r="B470" i="2"/>
  <c r="B62" i="2" l="1"/>
  <c r="B460" i="2"/>
  <c r="B450" i="2"/>
  <c r="A450" i="2"/>
  <c r="J27" i="20"/>
  <c r="AY27" i="20" s="1"/>
  <c r="BA27" i="20" s="1"/>
  <c r="J35" i="20"/>
  <c r="AY35" i="20" s="1"/>
  <c r="BA35" i="20" s="1"/>
  <c r="J24" i="20"/>
  <c r="AY24" i="20" s="1"/>
  <c r="BA24" i="20" s="1"/>
  <c r="J32" i="20"/>
  <c r="AY32" i="20" s="1"/>
  <c r="BA32" i="20" s="1"/>
  <c r="J40" i="20"/>
  <c r="AY40" i="20" s="1"/>
  <c r="BA40" i="20" s="1"/>
  <c r="J52" i="20"/>
  <c r="AY52" i="20" s="1"/>
  <c r="BA52" i="20" s="1"/>
  <c r="J60" i="20"/>
  <c r="AY60" i="20" s="1"/>
  <c r="BA60" i="20" s="1"/>
  <c r="J68" i="20"/>
  <c r="AY68" i="20" s="1"/>
  <c r="BA68" i="20" s="1"/>
  <c r="J76" i="20"/>
  <c r="AY76" i="20" s="1"/>
  <c r="BA76" i="20" s="1"/>
  <c r="J84" i="20"/>
  <c r="AY84" i="20" s="1"/>
  <c r="BA84" i="20" s="1"/>
  <c r="J92" i="20"/>
  <c r="AY92" i="20" s="1"/>
  <c r="BA92" i="20" s="1"/>
  <c r="J100" i="20"/>
  <c r="AY100" i="20" s="1"/>
  <c r="BA100" i="20" s="1"/>
  <c r="J108" i="20"/>
  <c r="AY108" i="20" s="1"/>
  <c r="BA108" i="20" s="1"/>
  <c r="J16" i="20"/>
  <c r="AY16" i="20" s="1"/>
  <c r="BA16" i="20" s="1"/>
  <c r="J47" i="20"/>
  <c r="AY47" i="20" s="1"/>
  <c r="BA47" i="20" s="1"/>
  <c r="J55" i="20"/>
  <c r="AY55" i="20" s="1"/>
  <c r="BA55" i="20" s="1"/>
  <c r="J63" i="20"/>
  <c r="AY63" i="20" s="1"/>
  <c r="BA63" i="20" s="1"/>
  <c r="J71" i="20"/>
  <c r="AY71" i="20" s="1"/>
  <c r="BA71" i="20" s="1"/>
  <c r="J79" i="20"/>
  <c r="AY79" i="20" s="1"/>
  <c r="BA79" i="20" s="1"/>
  <c r="J87" i="20"/>
  <c r="AY87" i="20" s="1"/>
  <c r="BA87" i="20" s="1"/>
  <c r="J95" i="20"/>
  <c r="AY95" i="20" s="1"/>
  <c r="BA95" i="20" s="1"/>
  <c r="J103" i="20"/>
  <c r="AY103" i="20" s="1"/>
  <c r="BA103" i="20" s="1"/>
  <c r="J11" i="20"/>
  <c r="AY11" i="20" s="1"/>
  <c r="BA11" i="20" s="1"/>
  <c r="J19" i="20"/>
  <c r="AY19" i="20" s="1"/>
  <c r="BA19" i="20" s="1"/>
  <c r="B60" i="2"/>
  <c r="J28" i="20"/>
  <c r="AY28" i="20" s="1"/>
  <c r="BA28" i="20" s="1"/>
  <c r="J44" i="20"/>
  <c r="AY44" i="20" s="1"/>
  <c r="BA44" i="20" s="1"/>
  <c r="J48" i="20"/>
  <c r="AY48" i="20" s="1"/>
  <c r="BA48" i="20" s="1"/>
  <c r="J56" i="20"/>
  <c r="AY56" i="20" s="1"/>
  <c r="BA56" i="20" s="1"/>
  <c r="J64" i="20"/>
  <c r="AY64" i="20" s="1"/>
  <c r="BA64" i="20" s="1"/>
  <c r="J72" i="20"/>
  <c r="AY72" i="20" s="1"/>
  <c r="BA72" i="20" s="1"/>
  <c r="J80" i="20"/>
  <c r="AY80" i="20" s="1"/>
  <c r="BA80" i="20" s="1"/>
  <c r="J88" i="20"/>
  <c r="AY88" i="20" s="1"/>
  <c r="BA88" i="20" s="1"/>
  <c r="J96" i="20"/>
  <c r="AY96" i="20" s="1"/>
  <c r="BA96" i="20" s="1"/>
  <c r="J104" i="20"/>
  <c r="AY104" i="20" s="1"/>
  <c r="BA104" i="20" s="1"/>
  <c r="J12" i="20"/>
  <c r="AY12" i="20" s="1"/>
  <c r="BA12" i="20" s="1"/>
  <c r="J20" i="20"/>
  <c r="AY20" i="20" s="1"/>
  <c r="BA20" i="20" s="1"/>
  <c r="J43" i="20"/>
  <c r="AY43" i="20" s="1"/>
  <c r="BA43" i="20" s="1"/>
  <c r="J23" i="20"/>
  <c r="AY23" i="20" s="1"/>
  <c r="BA23" i="20" s="1"/>
  <c r="J39" i="20"/>
  <c r="AY39" i="20" s="1"/>
  <c r="BA39" i="20" s="1"/>
  <c r="J36" i="20"/>
  <c r="AY36" i="20" s="1"/>
  <c r="BA36" i="20" s="1"/>
  <c r="J51" i="20"/>
  <c r="AY51" i="20" s="1"/>
  <c r="BA51" i="20" s="1"/>
  <c r="J59" i="20"/>
  <c r="AY59" i="20" s="1"/>
  <c r="BA59" i="20" s="1"/>
  <c r="J67" i="20"/>
  <c r="AY67" i="20" s="1"/>
  <c r="BA67" i="20" s="1"/>
  <c r="J75" i="20"/>
  <c r="AY75" i="20" s="1"/>
  <c r="BA75" i="20" s="1"/>
  <c r="J83" i="20"/>
  <c r="AY83" i="20" s="1"/>
  <c r="BA83" i="20" s="1"/>
  <c r="J91" i="20"/>
  <c r="AY91" i="20" s="1"/>
  <c r="BA91" i="20" s="1"/>
  <c r="J99" i="20"/>
  <c r="AY99" i="20" s="1"/>
  <c r="BA99" i="20" s="1"/>
  <c r="J107" i="20"/>
  <c r="AY107" i="20" s="1"/>
  <c r="BA107" i="20" s="1"/>
  <c r="J15" i="20"/>
  <c r="AY15" i="20" s="1"/>
  <c r="BA15" i="20" s="1"/>
  <c r="AY9" i="20"/>
  <c r="BA9" i="20" s="1"/>
  <c r="B75" i="20" s="1"/>
  <c r="B76" i="20" s="1"/>
  <c r="AC90" i="21"/>
  <c r="AC86" i="21"/>
  <c r="AC82" i="21"/>
  <c r="AC55" i="21"/>
  <c r="AC40" i="21"/>
  <c r="AC35" i="21"/>
  <c r="AC57" i="21"/>
  <c r="AC50" i="21"/>
  <c r="AC43" i="21"/>
  <c r="AC34" i="21"/>
  <c r="AC26" i="21"/>
  <c r="AC89" i="21"/>
  <c r="AC85" i="21"/>
  <c r="AC81" i="21"/>
  <c r="AC75" i="21"/>
  <c r="AC69" i="21"/>
  <c r="AC66" i="21"/>
  <c r="AC64" i="21"/>
  <c r="AC62" i="21"/>
  <c r="AC60" i="21"/>
  <c r="AC53" i="21"/>
  <c r="AC31" i="21"/>
  <c r="AC24" i="21"/>
  <c r="AC56" i="21"/>
  <c r="AC48" i="21"/>
  <c r="AC41" i="21"/>
  <c r="AC33" i="21"/>
  <c r="AC25" i="21"/>
  <c r="AC21" i="21"/>
  <c r="AC16" i="21"/>
  <c r="AC14" i="21"/>
  <c r="AC12" i="21"/>
  <c r="AC9" i="21"/>
  <c r="AC18" i="21"/>
  <c r="AC10" i="21"/>
  <c r="AC32" i="21"/>
  <c r="AC44" i="21"/>
  <c r="AC51" i="21"/>
  <c r="AC92" i="21"/>
  <c r="AC94" i="21"/>
  <c r="AC96" i="21"/>
  <c r="AC98" i="21"/>
  <c r="AC100" i="21"/>
  <c r="AC102" i="21"/>
  <c r="AC104" i="21"/>
  <c r="AC106" i="21"/>
  <c r="AC108" i="21"/>
  <c r="AC70" i="21"/>
  <c r="AC73" i="21"/>
  <c r="AC76" i="21"/>
  <c r="AC79" i="21"/>
  <c r="AC88" i="21"/>
  <c r="AC84" i="21"/>
  <c r="AC80" i="21"/>
  <c r="AC49" i="21"/>
  <c r="AC36" i="21"/>
  <c r="AC27" i="21"/>
  <c r="AC54" i="21"/>
  <c r="AC47" i="21"/>
  <c r="AC39" i="21"/>
  <c r="AC28" i="21"/>
  <c r="AC22" i="21"/>
  <c r="AC87" i="21"/>
  <c r="AC83" i="21"/>
  <c r="AC77" i="21"/>
  <c r="AC72" i="21"/>
  <c r="AC67" i="21"/>
  <c r="AC65" i="21"/>
  <c r="AC63" i="21"/>
  <c r="AC61" i="21"/>
  <c r="AC58" i="21"/>
  <c r="AC38" i="21"/>
  <c r="AC30" i="21"/>
  <c r="AC68" i="21"/>
  <c r="AC52" i="21"/>
  <c r="AC45" i="21"/>
  <c r="AC37" i="21"/>
  <c r="AC29" i="21"/>
  <c r="AC23" i="21"/>
  <c r="AC19" i="21"/>
  <c r="AC15" i="21"/>
  <c r="AC13" i="21"/>
  <c r="AC11" i="21"/>
  <c r="AC20" i="21"/>
  <c r="AC17" i="21"/>
  <c r="AC59" i="21"/>
  <c r="AC42" i="21"/>
  <c r="AC46" i="21"/>
  <c r="AC91" i="21"/>
  <c r="AC93" i="21"/>
  <c r="AC95" i="21"/>
  <c r="AC97" i="21"/>
  <c r="AC99" i="21"/>
  <c r="AC101" i="21"/>
  <c r="AC103" i="21"/>
  <c r="AC105" i="21"/>
  <c r="AC107" i="21"/>
  <c r="AC109" i="21"/>
  <c r="AC71" i="21"/>
  <c r="AC74" i="21"/>
  <c r="AC78" i="21"/>
  <c r="AU90" i="21"/>
  <c r="AU86" i="21"/>
  <c r="AU82" i="21"/>
  <c r="AU55" i="21"/>
  <c r="AU40" i="21"/>
  <c r="AU35" i="21"/>
  <c r="AU57" i="21"/>
  <c r="AU50" i="21"/>
  <c r="AU43" i="21"/>
  <c r="AU34" i="21"/>
  <c r="AU26" i="21"/>
  <c r="AU89" i="21"/>
  <c r="AU85" i="21"/>
  <c r="AU81" i="21"/>
  <c r="AU75" i="21"/>
  <c r="AU69" i="21"/>
  <c r="AU66" i="21"/>
  <c r="AU64" i="21"/>
  <c r="AU62" i="21"/>
  <c r="AU60" i="21"/>
  <c r="AU53" i="21"/>
  <c r="AU31" i="21"/>
  <c r="AU24" i="21"/>
  <c r="AU56" i="21"/>
  <c r="AU48" i="21"/>
  <c r="AU41" i="21"/>
  <c r="AU33" i="21"/>
  <c r="AU25" i="21"/>
  <c r="AU21" i="21"/>
  <c r="AU16" i="21"/>
  <c r="AU14" i="21"/>
  <c r="AU12" i="21"/>
  <c r="AU9" i="21"/>
  <c r="AU18" i="21"/>
  <c r="AU10" i="21"/>
  <c r="AU32" i="21"/>
  <c r="AU44" i="21"/>
  <c r="AU51" i="21"/>
  <c r="AU92" i="21"/>
  <c r="AU94" i="21"/>
  <c r="AU96" i="21"/>
  <c r="AU98" i="21"/>
  <c r="AU100" i="21"/>
  <c r="AU102" i="21"/>
  <c r="AU104" i="21"/>
  <c r="AU106" i="21"/>
  <c r="AU108" i="21"/>
  <c r="AU70" i="21"/>
  <c r="AU73" i="21"/>
  <c r="AU76" i="21"/>
  <c r="AU79" i="21"/>
  <c r="AU88" i="21"/>
  <c r="AU84" i="21"/>
  <c r="AU80" i="21"/>
  <c r="AU49" i="21"/>
  <c r="AU36" i="21"/>
  <c r="AU27" i="21"/>
  <c r="AU54" i="21"/>
  <c r="AU47" i="21"/>
  <c r="AU39" i="21"/>
  <c r="AU28" i="21"/>
  <c r="AU22" i="21"/>
  <c r="AU87" i="21"/>
  <c r="AU83" i="21"/>
  <c r="AU77" i="21"/>
  <c r="AU72" i="21"/>
  <c r="AU67" i="21"/>
  <c r="AU65" i="21"/>
  <c r="AU63" i="21"/>
  <c r="AU61" i="21"/>
  <c r="AU58" i="21"/>
  <c r="AU38" i="21"/>
  <c r="AU30" i="21"/>
  <c r="AU68" i="21"/>
  <c r="AU52" i="21"/>
  <c r="AU45" i="21"/>
  <c r="AU37" i="21"/>
  <c r="AU29" i="21"/>
  <c r="AU23" i="21"/>
  <c r="AU19" i="21"/>
  <c r="AU15" i="21"/>
  <c r="AU13" i="21"/>
  <c r="AU11" i="21"/>
  <c r="AU20" i="21"/>
  <c r="AU17" i="21"/>
  <c r="AU59" i="21"/>
  <c r="AU42" i="21"/>
  <c r="AU46" i="21"/>
  <c r="AU91" i="21"/>
  <c r="AU93" i="21"/>
  <c r="AU95" i="21"/>
  <c r="AU97" i="21"/>
  <c r="AU99" i="21"/>
  <c r="AU101" i="21"/>
  <c r="AU103" i="21"/>
  <c r="AU105" i="21"/>
  <c r="AU107" i="21"/>
  <c r="AU109" i="21"/>
  <c r="AU71" i="21"/>
  <c r="AU74" i="21"/>
  <c r="AU78" i="21"/>
  <c r="O90" i="21"/>
  <c r="M90" i="21" s="1"/>
  <c r="N90" i="21"/>
  <c r="O86" i="21"/>
  <c r="M86" i="21" s="1"/>
  <c r="N86" i="21"/>
  <c r="O82" i="21"/>
  <c r="M82" i="21" s="1"/>
  <c r="N82" i="21"/>
  <c r="O55" i="21"/>
  <c r="M55" i="21" s="1"/>
  <c r="N55" i="21"/>
  <c r="O40" i="21"/>
  <c r="M40" i="21" s="1"/>
  <c r="N40" i="21"/>
  <c r="O35" i="21"/>
  <c r="M35" i="21" s="1"/>
  <c r="N35" i="21"/>
  <c r="O57" i="21"/>
  <c r="M57" i="21" s="1"/>
  <c r="N57" i="21"/>
  <c r="O50" i="21"/>
  <c r="M50" i="21" s="1"/>
  <c r="N50" i="21"/>
  <c r="O43" i="21"/>
  <c r="M43" i="21" s="1"/>
  <c r="N43" i="21"/>
  <c r="O34" i="21"/>
  <c r="M34" i="21" s="1"/>
  <c r="N34" i="21"/>
  <c r="O26" i="21"/>
  <c r="M26" i="21" s="1"/>
  <c r="N26" i="21"/>
  <c r="N89" i="21"/>
  <c r="O89" i="21"/>
  <c r="M89" i="21" s="1"/>
  <c r="N85" i="21"/>
  <c r="O85" i="21"/>
  <c r="N81" i="21"/>
  <c r="O81" i="21"/>
  <c r="M81" i="21" s="1"/>
  <c r="N75" i="21"/>
  <c r="O75" i="21"/>
  <c r="N69" i="21"/>
  <c r="O69" i="21"/>
  <c r="M69" i="21" s="1"/>
  <c r="O66" i="21"/>
  <c r="M66" i="21" s="1"/>
  <c r="N66" i="21"/>
  <c r="O64" i="21"/>
  <c r="M64" i="21" s="1"/>
  <c r="N64" i="21"/>
  <c r="O62" i="21"/>
  <c r="M62" i="21" s="1"/>
  <c r="N62" i="21"/>
  <c r="O60" i="21"/>
  <c r="M60" i="21" s="1"/>
  <c r="N60" i="21"/>
  <c r="O53" i="21"/>
  <c r="M53" i="21" s="1"/>
  <c r="N53" i="21"/>
  <c r="O31" i="21"/>
  <c r="M31" i="21" s="1"/>
  <c r="N31" i="21"/>
  <c r="O24" i="21"/>
  <c r="M24" i="21" s="1"/>
  <c r="N24" i="21"/>
  <c r="O56" i="21"/>
  <c r="M56" i="21" s="1"/>
  <c r="N56" i="21"/>
  <c r="O48" i="21"/>
  <c r="M48" i="21" s="1"/>
  <c r="N48" i="21"/>
  <c r="O41" i="21"/>
  <c r="M41" i="21" s="1"/>
  <c r="N41" i="21"/>
  <c r="O33" i="21"/>
  <c r="M33" i="21" s="1"/>
  <c r="N33" i="21"/>
  <c r="O25" i="21"/>
  <c r="M25" i="21" s="1"/>
  <c r="N25" i="21"/>
  <c r="O21" i="21"/>
  <c r="M21" i="21" s="1"/>
  <c r="N21" i="21"/>
  <c r="O16" i="21"/>
  <c r="M16" i="21" s="1"/>
  <c r="N16" i="21"/>
  <c r="O14" i="21"/>
  <c r="M14" i="21" s="1"/>
  <c r="N14" i="21"/>
  <c r="O12" i="21"/>
  <c r="M12" i="21" s="1"/>
  <c r="N12" i="21"/>
  <c r="O9" i="21"/>
  <c r="M9" i="21" s="1"/>
  <c r="N9" i="21"/>
  <c r="O18" i="21"/>
  <c r="M18" i="21" s="1"/>
  <c r="N18" i="21"/>
  <c r="O10" i="21"/>
  <c r="M10" i="21" s="1"/>
  <c r="N10" i="21"/>
  <c r="O32" i="21"/>
  <c r="M32" i="21" s="1"/>
  <c r="N32" i="21"/>
  <c r="O44" i="21"/>
  <c r="M44" i="21" s="1"/>
  <c r="N44" i="21"/>
  <c r="O51" i="21"/>
  <c r="M51" i="21" s="1"/>
  <c r="N51" i="21"/>
  <c r="O92" i="21"/>
  <c r="M92" i="21" s="1"/>
  <c r="N92" i="21"/>
  <c r="O94" i="21"/>
  <c r="M94" i="21" s="1"/>
  <c r="N94" i="21"/>
  <c r="O96" i="21"/>
  <c r="M96" i="21" s="1"/>
  <c r="N96" i="21"/>
  <c r="O98" i="21"/>
  <c r="M98" i="21" s="1"/>
  <c r="N98" i="21"/>
  <c r="O100" i="21"/>
  <c r="M100" i="21" s="1"/>
  <c r="N100" i="21"/>
  <c r="O102" i="21"/>
  <c r="M102" i="21" s="1"/>
  <c r="N102" i="21"/>
  <c r="O104" i="21"/>
  <c r="M104" i="21" s="1"/>
  <c r="N104" i="21"/>
  <c r="O106" i="21"/>
  <c r="M106" i="21" s="1"/>
  <c r="N106" i="21"/>
  <c r="O108" i="21"/>
  <c r="M108" i="21" s="1"/>
  <c r="N108" i="21"/>
  <c r="O70" i="21"/>
  <c r="M70" i="21" s="1"/>
  <c r="N70" i="21"/>
  <c r="N73" i="21"/>
  <c r="O73" i="21"/>
  <c r="M73" i="21" s="1"/>
  <c r="O76" i="21"/>
  <c r="M76" i="21" s="1"/>
  <c r="N76" i="21"/>
  <c r="N79" i="21"/>
  <c r="O79" i="21"/>
  <c r="M79" i="21" s="1"/>
  <c r="O88" i="21"/>
  <c r="M88" i="21" s="1"/>
  <c r="N88" i="21"/>
  <c r="O84" i="21"/>
  <c r="M84" i="21" s="1"/>
  <c r="N84" i="21"/>
  <c r="O80" i="21"/>
  <c r="M80" i="21" s="1"/>
  <c r="N80" i="21"/>
  <c r="O49" i="21"/>
  <c r="M49" i="21" s="1"/>
  <c r="N49" i="21"/>
  <c r="O36" i="21"/>
  <c r="M36" i="21" s="1"/>
  <c r="N36" i="21"/>
  <c r="O27" i="21"/>
  <c r="M27" i="21" s="1"/>
  <c r="N27" i="21"/>
  <c r="O54" i="21"/>
  <c r="M54" i="21" s="1"/>
  <c r="N54" i="21"/>
  <c r="O47" i="21"/>
  <c r="M47" i="21" s="1"/>
  <c r="N47" i="21"/>
  <c r="O39" i="21"/>
  <c r="M39" i="21" s="1"/>
  <c r="N39" i="21"/>
  <c r="O28" i="21"/>
  <c r="M28" i="21" s="1"/>
  <c r="N28" i="21"/>
  <c r="O22" i="21"/>
  <c r="M22" i="21" s="1"/>
  <c r="N22" i="21"/>
  <c r="N87" i="21"/>
  <c r="O87" i="21"/>
  <c r="M87" i="21" s="1"/>
  <c r="N83" i="21"/>
  <c r="O83" i="21"/>
  <c r="N77" i="21"/>
  <c r="O77" i="21"/>
  <c r="M77" i="21" s="1"/>
  <c r="O72" i="21"/>
  <c r="M72" i="21" s="1"/>
  <c r="N72" i="21"/>
  <c r="O67" i="21"/>
  <c r="M67" i="21" s="1"/>
  <c r="N67" i="21"/>
  <c r="O65" i="21"/>
  <c r="M65" i="21" s="1"/>
  <c r="N65" i="21"/>
  <c r="O63" i="21"/>
  <c r="M63" i="21" s="1"/>
  <c r="N63" i="21"/>
  <c r="O61" i="21"/>
  <c r="M61" i="21" s="1"/>
  <c r="N61" i="21"/>
  <c r="O58" i="21"/>
  <c r="M58" i="21" s="1"/>
  <c r="N58" i="21"/>
  <c r="O38" i="21"/>
  <c r="M38" i="21" s="1"/>
  <c r="N38" i="21"/>
  <c r="O30" i="21"/>
  <c r="M30" i="21" s="1"/>
  <c r="N30" i="21"/>
  <c r="O68" i="21"/>
  <c r="M68" i="21" s="1"/>
  <c r="N68" i="21"/>
  <c r="O52" i="21"/>
  <c r="M52" i="21" s="1"/>
  <c r="N52" i="21"/>
  <c r="O45" i="21"/>
  <c r="M45" i="21" s="1"/>
  <c r="N45" i="21"/>
  <c r="O37" i="21"/>
  <c r="M37" i="21" s="1"/>
  <c r="N37" i="21"/>
  <c r="O29" i="21"/>
  <c r="M29" i="21" s="1"/>
  <c r="N29" i="21"/>
  <c r="O23" i="21"/>
  <c r="M23" i="21" s="1"/>
  <c r="N23" i="21"/>
  <c r="O19" i="21"/>
  <c r="M19" i="21" s="1"/>
  <c r="N19" i="21"/>
  <c r="O15" i="21"/>
  <c r="M15" i="21" s="1"/>
  <c r="N15" i="21"/>
  <c r="O13" i="21"/>
  <c r="M13" i="21" s="1"/>
  <c r="N13" i="21"/>
  <c r="O11" i="21"/>
  <c r="M11" i="21" s="1"/>
  <c r="N11" i="21"/>
  <c r="O20" i="21"/>
  <c r="M20" i="21" s="1"/>
  <c r="N20" i="21"/>
  <c r="O17" i="21"/>
  <c r="M17" i="21" s="1"/>
  <c r="N17" i="21"/>
  <c r="O59" i="21"/>
  <c r="M59" i="21" s="1"/>
  <c r="N59" i="21"/>
  <c r="O42" i="21"/>
  <c r="M42" i="21" s="1"/>
  <c r="N42" i="21"/>
  <c r="O46" i="21"/>
  <c r="M46" i="21" s="1"/>
  <c r="N46" i="21"/>
  <c r="N91" i="21"/>
  <c r="O91" i="21"/>
  <c r="M91" i="21" s="1"/>
  <c r="N93" i="21"/>
  <c r="O93" i="21"/>
  <c r="N95" i="21"/>
  <c r="O95" i="21"/>
  <c r="M95" i="21" s="1"/>
  <c r="N97" i="21"/>
  <c r="O97" i="21"/>
  <c r="N99" i="21"/>
  <c r="O99" i="21"/>
  <c r="M99" i="21" s="1"/>
  <c r="N101" i="21"/>
  <c r="O101" i="21"/>
  <c r="N103" i="21"/>
  <c r="O103" i="21"/>
  <c r="M103" i="21" s="1"/>
  <c r="N105" i="21"/>
  <c r="O105" i="21"/>
  <c r="N107" i="21"/>
  <c r="O107" i="21"/>
  <c r="M107" i="21" s="1"/>
  <c r="N109" i="21"/>
  <c r="O109" i="21"/>
  <c r="N71" i="21"/>
  <c r="O71" i="21"/>
  <c r="M71" i="21" s="1"/>
  <c r="O74" i="21"/>
  <c r="M74" i="21" s="1"/>
  <c r="N74" i="21"/>
  <c r="O78" i="21"/>
  <c r="M78" i="21" s="1"/>
  <c r="N78" i="21"/>
  <c r="AT90" i="21"/>
  <c r="BA90" i="21"/>
  <c r="AT86" i="21"/>
  <c r="BA86" i="21"/>
  <c r="AT82" i="21"/>
  <c r="BA82" i="21"/>
  <c r="BA55" i="21"/>
  <c r="AT55" i="21"/>
  <c r="BA40" i="21"/>
  <c r="AT40" i="21"/>
  <c r="BA35" i="21"/>
  <c r="AT35" i="21"/>
  <c r="AT57" i="21"/>
  <c r="BA57" i="21"/>
  <c r="AT50" i="21"/>
  <c r="BA50" i="21"/>
  <c r="AT43" i="21"/>
  <c r="BA43" i="21"/>
  <c r="AT34" i="21"/>
  <c r="BA34" i="21"/>
  <c r="AT26" i="21"/>
  <c r="BA26" i="21"/>
  <c r="AT89" i="21"/>
  <c r="BA89" i="21"/>
  <c r="AT85" i="21"/>
  <c r="BA85" i="21"/>
  <c r="AT81" i="21"/>
  <c r="BA81" i="21"/>
  <c r="AT75" i="21"/>
  <c r="BA75" i="21"/>
  <c r="BA69" i="21"/>
  <c r="AT69" i="21"/>
  <c r="BA66" i="21"/>
  <c r="AT66" i="21"/>
  <c r="BA64" i="21"/>
  <c r="AT64" i="21"/>
  <c r="BA62" i="21"/>
  <c r="AT62" i="21"/>
  <c r="BA60" i="21"/>
  <c r="AT60" i="21"/>
  <c r="BA53" i="21"/>
  <c r="AT53" i="21"/>
  <c r="BA31" i="21"/>
  <c r="AT31" i="21"/>
  <c r="BA24" i="21"/>
  <c r="AT24" i="21"/>
  <c r="AT56" i="21"/>
  <c r="BA56" i="21"/>
  <c r="AT48" i="21"/>
  <c r="BA48" i="21"/>
  <c r="AT41" i="21"/>
  <c r="BA41" i="21"/>
  <c r="AT33" i="21"/>
  <c r="BA33" i="21"/>
  <c r="AT25" i="21"/>
  <c r="BA25" i="21"/>
  <c r="BA21" i="21"/>
  <c r="AT21" i="21"/>
  <c r="BA16" i="21"/>
  <c r="AT16" i="21"/>
  <c r="BA14" i="21"/>
  <c r="AT14" i="21"/>
  <c r="BA12" i="21"/>
  <c r="AT12" i="21"/>
  <c r="BA9" i="21"/>
  <c r="B75" i="21" s="1"/>
  <c r="B76" i="21" s="1"/>
  <c r="AT9" i="21"/>
  <c r="AT18" i="21"/>
  <c r="BA18" i="21"/>
  <c r="AT10" i="21"/>
  <c r="BA10" i="21"/>
  <c r="BA32" i="21"/>
  <c r="AT32" i="21"/>
  <c r="BA44" i="21"/>
  <c r="AT44" i="21"/>
  <c r="BA51" i="21"/>
  <c r="AT51" i="21"/>
  <c r="AT92" i="21"/>
  <c r="BA92" i="21"/>
  <c r="AT94" i="21"/>
  <c r="BA94" i="21"/>
  <c r="AT96" i="21"/>
  <c r="BA96" i="21"/>
  <c r="AT98" i="21"/>
  <c r="BA98" i="21"/>
  <c r="AT100" i="21"/>
  <c r="BA100" i="21"/>
  <c r="AT102" i="21"/>
  <c r="BA102" i="21"/>
  <c r="AT104" i="21"/>
  <c r="BA104" i="21"/>
  <c r="AT106" i="21"/>
  <c r="BA106" i="21"/>
  <c r="AT108" i="21"/>
  <c r="BA108" i="21"/>
  <c r="BA70" i="21"/>
  <c r="AT70" i="21"/>
  <c r="BA73" i="21"/>
  <c r="AT73" i="21"/>
  <c r="BA76" i="21"/>
  <c r="AT76" i="21"/>
  <c r="BA79" i="21"/>
  <c r="AT79" i="21"/>
  <c r="AT88" i="21"/>
  <c r="BA88" i="21"/>
  <c r="AT84" i="21"/>
  <c r="BA84" i="21"/>
  <c r="AT80" i="21"/>
  <c r="BA80" i="21"/>
  <c r="BA49" i="21"/>
  <c r="AT49" i="21"/>
  <c r="BA36" i="21"/>
  <c r="AT36" i="21"/>
  <c r="BA27" i="21"/>
  <c r="AT27" i="21"/>
  <c r="AT54" i="21"/>
  <c r="BA54" i="21"/>
  <c r="AT47" i="21"/>
  <c r="BA47" i="21"/>
  <c r="AT39" i="21"/>
  <c r="BA39" i="21"/>
  <c r="AT28" i="21"/>
  <c r="BA28" i="21"/>
  <c r="BA22" i="21"/>
  <c r="AT22" i="21"/>
  <c r="AT87" i="21"/>
  <c r="BA87" i="21"/>
  <c r="AT83" i="21"/>
  <c r="BA83" i="21"/>
  <c r="AT77" i="21"/>
  <c r="BA77" i="21"/>
  <c r="AT72" i="21"/>
  <c r="BA72" i="21"/>
  <c r="BA67" i="21"/>
  <c r="AT67" i="21"/>
  <c r="BA65" i="21"/>
  <c r="AT65" i="21"/>
  <c r="BA63" i="21"/>
  <c r="AT63" i="21"/>
  <c r="BA61" i="21"/>
  <c r="AT61" i="21"/>
  <c r="BA58" i="21"/>
  <c r="AT58" i="21"/>
  <c r="BA38" i="21"/>
  <c r="AT38" i="21"/>
  <c r="BA30" i="21"/>
  <c r="AT30" i="21"/>
  <c r="AT68" i="21"/>
  <c r="BA68" i="21"/>
  <c r="AT52" i="21"/>
  <c r="BA52" i="21"/>
  <c r="AT45" i="21"/>
  <c r="BA45" i="21"/>
  <c r="AT37" i="21"/>
  <c r="BA37" i="21"/>
  <c r="AT29" i="21"/>
  <c r="BA29" i="21"/>
  <c r="AT23" i="21"/>
  <c r="BA23" i="21"/>
  <c r="BA19" i="21"/>
  <c r="AT19" i="21"/>
  <c r="BA15" i="21"/>
  <c r="AT15" i="21"/>
  <c r="BA13" i="21"/>
  <c r="AT13" i="21"/>
  <c r="BA11" i="21"/>
  <c r="AT11" i="21"/>
  <c r="AT20" i="21"/>
  <c r="BA20" i="21"/>
  <c r="AT17" i="21"/>
  <c r="BA17" i="21"/>
  <c r="AT59" i="21"/>
  <c r="BA59" i="21"/>
  <c r="BA42" i="21"/>
  <c r="AT42" i="21"/>
  <c r="BA46" i="21"/>
  <c r="AT46" i="21"/>
  <c r="AT91" i="21"/>
  <c r="BA91" i="21"/>
  <c r="AT93" i="21"/>
  <c r="BA93" i="21"/>
  <c r="AT95" i="21"/>
  <c r="BA95" i="21"/>
  <c r="AT97" i="21"/>
  <c r="BA97" i="21"/>
  <c r="AT99" i="21"/>
  <c r="BA99" i="21"/>
  <c r="AT101" i="21"/>
  <c r="BA101" i="21"/>
  <c r="AT103" i="21"/>
  <c r="BA103" i="21"/>
  <c r="AT105" i="21"/>
  <c r="BA105" i="21"/>
  <c r="AT107" i="21"/>
  <c r="BA107" i="21"/>
  <c r="AT109" i="21"/>
  <c r="BA109" i="21"/>
  <c r="BA71" i="21"/>
  <c r="AT71" i="21"/>
  <c r="BA74" i="21"/>
  <c r="AT74" i="21"/>
  <c r="BA78" i="21"/>
  <c r="AT78" i="21"/>
  <c r="O114" i="20"/>
  <c r="M114" i="20" s="1"/>
  <c r="AC114" i="20" s="1"/>
  <c r="N114" i="20"/>
  <c r="BA114" i="20"/>
  <c r="AU114" i="20"/>
  <c r="AT114" i="20"/>
  <c r="O138" i="20"/>
  <c r="M138" i="20" s="1"/>
  <c r="AC138" i="20" s="1"/>
  <c r="N138" i="20"/>
  <c r="BA138" i="20"/>
  <c r="AU138" i="20"/>
  <c r="AT138" i="20"/>
  <c r="O154" i="20"/>
  <c r="M154" i="20" s="1"/>
  <c r="AC154" i="20" s="1"/>
  <c r="N154" i="20"/>
  <c r="BA154" i="20"/>
  <c r="AU154" i="20"/>
  <c r="AT154" i="20"/>
  <c r="O170" i="20"/>
  <c r="M170" i="20" s="1"/>
  <c r="AC170" i="20" s="1"/>
  <c r="N170" i="20"/>
  <c r="BA170" i="20"/>
  <c r="AU170" i="20"/>
  <c r="AT170" i="20"/>
  <c r="N121" i="20"/>
  <c r="BA121" i="20"/>
  <c r="O121" i="20"/>
  <c r="M121" i="20" s="1"/>
  <c r="AC121" i="20" s="1"/>
  <c r="AU121" i="20"/>
  <c r="AT121" i="20"/>
  <c r="O129" i="20"/>
  <c r="M129" i="20" s="1"/>
  <c r="AC129" i="20" s="1"/>
  <c r="N129" i="20"/>
  <c r="BA129" i="20"/>
  <c r="AU129" i="20"/>
  <c r="AT129" i="20"/>
  <c r="O145" i="20"/>
  <c r="M145" i="20" s="1"/>
  <c r="AC145" i="20" s="1"/>
  <c r="BA145" i="20"/>
  <c r="AU145" i="20"/>
  <c r="N145" i="20"/>
  <c r="AT145" i="20"/>
  <c r="O163" i="20"/>
  <c r="N163" i="20"/>
  <c r="BA163" i="20"/>
  <c r="AU163" i="20"/>
  <c r="AT163" i="20"/>
  <c r="O112" i="20"/>
  <c r="M112" i="20" s="1"/>
  <c r="AC112" i="20" s="1"/>
  <c r="N112" i="20"/>
  <c r="BA112" i="20"/>
  <c r="AT112" i="20"/>
  <c r="AU112" i="20"/>
  <c r="O128" i="20"/>
  <c r="M128" i="20" s="1"/>
  <c r="AC128" i="20" s="1"/>
  <c r="AT128" i="20"/>
  <c r="AU128" i="20"/>
  <c r="N128" i="20"/>
  <c r="BA128" i="20"/>
  <c r="O144" i="20"/>
  <c r="M144" i="20" s="1"/>
  <c r="AC144" i="20" s="1"/>
  <c r="N144" i="20"/>
  <c r="BA144" i="20"/>
  <c r="AU144" i="20"/>
  <c r="AT144" i="20"/>
  <c r="BA152" i="20"/>
  <c r="AU152" i="20"/>
  <c r="AT152" i="20"/>
  <c r="O152" i="20"/>
  <c r="M152" i="20" s="1"/>
  <c r="AC152" i="20" s="1"/>
  <c r="N152" i="20"/>
  <c r="BA168" i="20"/>
  <c r="AU168" i="20"/>
  <c r="AT168" i="20"/>
  <c r="O168" i="20"/>
  <c r="N168" i="20"/>
  <c r="O119" i="20"/>
  <c r="M119" i="20" s="1"/>
  <c r="AC119" i="20" s="1"/>
  <c r="AU119" i="20"/>
  <c r="N119" i="20"/>
  <c r="BA119" i="20"/>
  <c r="AT119" i="20"/>
  <c r="AU143" i="20"/>
  <c r="AT143" i="20"/>
  <c r="BA143" i="20"/>
  <c r="O143" i="20"/>
  <c r="M143" i="20" s="1"/>
  <c r="AC143" i="20" s="1"/>
  <c r="N143" i="20"/>
  <c r="O159" i="20"/>
  <c r="N159" i="20"/>
  <c r="BA159" i="20"/>
  <c r="AU159" i="20"/>
  <c r="AT159" i="20"/>
  <c r="O209" i="20"/>
  <c r="N209" i="20"/>
  <c r="BA209" i="20"/>
  <c r="AT209" i="20"/>
  <c r="AU209" i="20"/>
  <c r="O173" i="20"/>
  <c r="N173" i="20"/>
  <c r="BA173" i="20"/>
  <c r="AU173" i="20"/>
  <c r="AT173" i="20"/>
  <c r="O192" i="20"/>
  <c r="N192" i="20"/>
  <c r="BA192" i="20"/>
  <c r="AU192" i="20"/>
  <c r="AT192" i="20"/>
  <c r="O200" i="20"/>
  <c r="N200" i="20"/>
  <c r="AU200" i="20"/>
  <c r="BA200" i="20"/>
  <c r="AT200" i="20"/>
  <c r="O195" i="20"/>
  <c r="N195" i="20"/>
  <c r="BA195" i="20"/>
  <c r="AT195" i="20"/>
  <c r="AU195" i="20"/>
  <c r="O177" i="20"/>
  <c r="N177" i="20"/>
  <c r="BA177" i="20"/>
  <c r="AU177" i="20"/>
  <c r="AT177" i="20"/>
  <c r="N186" i="20"/>
  <c r="BA186" i="20"/>
  <c r="O186" i="20"/>
  <c r="M186" i="20" s="1"/>
  <c r="AC186" i="20" s="1"/>
  <c r="AU186" i="20"/>
  <c r="AT186" i="20"/>
  <c r="O194" i="20"/>
  <c r="AU194" i="20"/>
  <c r="N194" i="20"/>
  <c r="BA194" i="20"/>
  <c r="AT194" i="20"/>
  <c r="O202" i="20"/>
  <c r="N202" i="20"/>
  <c r="BA202" i="20"/>
  <c r="AU202" i="20"/>
  <c r="AT202" i="20"/>
  <c r="BA118" i="20"/>
  <c r="N118" i="20"/>
  <c r="AT118" i="20"/>
  <c r="O118" i="20"/>
  <c r="M118" i="20" s="1"/>
  <c r="AC118" i="20" s="1"/>
  <c r="AU118" i="20"/>
  <c r="O142" i="20"/>
  <c r="M142" i="20" s="1"/>
  <c r="AC142" i="20" s="1"/>
  <c r="N142" i="20"/>
  <c r="BA142" i="20"/>
  <c r="AU142" i="20"/>
  <c r="AT142" i="20"/>
  <c r="O158" i="20"/>
  <c r="M158" i="20" s="1"/>
  <c r="AC158" i="20" s="1"/>
  <c r="N158" i="20"/>
  <c r="BA158" i="20"/>
  <c r="AU158" i="20"/>
  <c r="AT158" i="20"/>
  <c r="O174" i="20"/>
  <c r="M174" i="20" s="1"/>
  <c r="AC174" i="20" s="1"/>
  <c r="N174" i="20"/>
  <c r="BA174" i="20"/>
  <c r="AU174" i="20"/>
  <c r="AT174" i="20"/>
  <c r="BA141" i="20"/>
  <c r="AU141" i="20"/>
  <c r="AT141" i="20"/>
  <c r="O141" i="20"/>
  <c r="M141" i="20" s="1"/>
  <c r="AC141" i="20" s="1"/>
  <c r="N141" i="20"/>
  <c r="O157" i="20"/>
  <c r="M157" i="20" s="1"/>
  <c r="AC157" i="20" s="1"/>
  <c r="N157" i="20"/>
  <c r="BA157" i="20"/>
  <c r="AU157" i="20"/>
  <c r="AT157" i="20"/>
  <c r="O183" i="20"/>
  <c r="M183" i="20" s="1"/>
  <c r="AC183" i="20" s="1"/>
  <c r="N183" i="20"/>
  <c r="AU183" i="20"/>
  <c r="AT183" i="20"/>
  <c r="BA183" i="20"/>
  <c r="O132" i="20"/>
  <c r="M132" i="20" s="1"/>
  <c r="AC132" i="20" s="1"/>
  <c r="N132" i="20"/>
  <c r="BA132" i="20"/>
  <c r="AU132" i="20"/>
  <c r="AT132" i="20"/>
  <c r="BA140" i="20"/>
  <c r="AU140" i="20"/>
  <c r="AT140" i="20"/>
  <c r="O140" i="20"/>
  <c r="M140" i="20" s="1"/>
  <c r="AC140" i="20" s="1"/>
  <c r="N140" i="20"/>
  <c r="O156" i="20"/>
  <c r="M156" i="20" s="1"/>
  <c r="AC156" i="20" s="1"/>
  <c r="N156" i="20"/>
  <c r="BA156" i="20"/>
  <c r="AU156" i="20"/>
  <c r="AT156" i="20"/>
  <c r="O172" i="20"/>
  <c r="N172" i="20"/>
  <c r="BA172" i="20"/>
  <c r="AU172" i="20"/>
  <c r="AT172" i="20"/>
  <c r="O139" i="20"/>
  <c r="M139" i="20" s="1"/>
  <c r="AC139" i="20" s="1"/>
  <c r="N139" i="20"/>
  <c r="AU139" i="20"/>
  <c r="AT139" i="20"/>
  <c r="BA139" i="20"/>
  <c r="O155" i="20"/>
  <c r="M155" i="20" s="1"/>
  <c r="AC155" i="20" s="1"/>
  <c r="N155" i="20"/>
  <c r="BA155" i="20"/>
  <c r="AU155" i="20"/>
  <c r="AT155" i="20"/>
  <c r="O181" i="20"/>
  <c r="N181" i="20"/>
  <c r="AU181" i="20"/>
  <c r="AT181" i="20"/>
  <c r="BA181" i="20"/>
  <c r="O189" i="20"/>
  <c r="N189" i="20"/>
  <c r="BA189" i="20"/>
  <c r="AT189" i="20"/>
  <c r="AU189" i="20"/>
  <c r="O165" i="20"/>
  <c r="N165" i="20"/>
  <c r="BA165" i="20"/>
  <c r="AU165" i="20"/>
  <c r="AT165" i="20"/>
  <c r="O196" i="20"/>
  <c r="N196" i="20"/>
  <c r="AT196" i="20"/>
  <c r="BA196" i="20"/>
  <c r="AU196" i="20"/>
  <c r="O204" i="20"/>
  <c r="N204" i="20"/>
  <c r="BA204" i="20"/>
  <c r="AU204" i="20"/>
  <c r="AT204" i="20"/>
  <c r="O169" i="20"/>
  <c r="M169" i="20" s="1"/>
  <c r="AC169" i="20" s="1"/>
  <c r="N169" i="20"/>
  <c r="BA169" i="20"/>
  <c r="AU169" i="20"/>
  <c r="AT169" i="20"/>
  <c r="AU190" i="20"/>
  <c r="AT190" i="20"/>
  <c r="O190" i="20"/>
  <c r="M190" i="20" s="1"/>
  <c r="AC190" i="20" s="1"/>
  <c r="N190" i="20"/>
  <c r="BA190" i="20"/>
  <c r="O198" i="20"/>
  <c r="M198" i="20" s="1"/>
  <c r="AC198" i="20" s="1"/>
  <c r="N198" i="20"/>
  <c r="AU198" i="20"/>
  <c r="BA198" i="20"/>
  <c r="AT198" i="20"/>
  <c r="O206" i="20"/>
  <c r="M206" i="20" s="1"/>
  <c r="AC206" i="20" s="1"/>
  <c r="N206" i="20"/>
  <c r="BA206" i="20"/>
  <c r="AU206" i="20"/>
  <c r="AT206" i="20"/>
  <c r="AT122" i="20"/>
  <c r="N122" i="20"/>
  <c r="BA122" i="20"/>
  <c r="O122" i="20"/>
  <c r="M122" i="20" s="1"/>
  <c r="AC122" i="20" s="1"/>
  <c r="AU122" i="20"/>
  <c r="O130" i="20"/>
  <c r="M130" i="20" s="1"/>
  <c r="AC130" i="20" s="1"/>
  <c r="N130" i="20"/>
  <c r="BA130" i="20"/>
  <c r="AU130" i="20"/>
  <c r="AT130" i="20"/>
  <c r="O146" i="20"/>
  <c r="M146" i="20" s="1"/>
  <c r="AC146" i="20" s="1"/>
  <c r="N146" i="20"/>
  <c r="BA146" i="20"/>
  <c r="AU146" i="20"/>
  <c r="AT146" i="20"/>
  <c r="O162" i="20"/>
  <c r="M162" i="20" s="1"/>
  <c r="AC162" i="20" s="1"/>
  <c r="N162" i="20"/>
  <c r="BA162" i="20"/>
  <c r="AU162" i="20"/>
  <c r="AT162" i="20"/>
  <c r="O178" i="20"/>
  <c r="M178" i="20" s="1"/>
  <c r="AC178" i="20" s="1"/>
  <c r="N178" i="20"/>
  <c r="BA178" i="20"/>
  <c r="AU178" i="20"/>
  <c r="AT178" i="20"/>
  <c r="O113" i="20"/>
  <c r="M113" i="20" s="1"/>
  <c r="AC113" i="20" s="1"/>
  <c r="N113" i="20"/>
  <c r="AT113" i="20"/>
  <c r="BA113" i="20"/>
  <c r="AU113" i="20"/>
  <c r="O137" i="20"/>
  <c r="M137" i="20" s="1"/>
  <c r="AC137" i="20" s="1"/>
  <c r="N137" i="20"/>
  <c r="AU137" i="20"/>
  <c r="AT137" i="20"/>
  <c r="BA137" i="20"/>
  <c r="O153" i="20"/>
  <c r="M153" i="20" s="1"/>
  <c r="AC153" i="20" s="1"/>
  <c r="N153" i="20"/>
  <c r="BA153" i="20"/>
  <c r="AU153" i="20"/>
  <c r="AT153" i="20"/>
  <c r="O179" i="20"/>
  <c r="M179" i="20" s="1"/>
  <c r="AC179" i="20" s="1"/>
  <c r="N179" i="20"/>
  <c r="BA179" i="20"/>
  <c r="AU179" i="20"/>
  <c r="AT179" i="20"/>
  <c r="BA187" i="20"/>
  <c r="AU187" i="20"/>
  <c r="N187" i="20"/>
  <c r="AT187" i="20"/>
  <c r="O187" i="20"/>
  <c r="M187" i="20" s="1"/>
  <c r="AC187" i="20" s="1"/>
  <c r="AU120" i="20"/>
  <c r="AT120" i="20"/>
  <c r="N120" i="20"/>
  <c r="BA120" i="20"/>
  <c r="O120" i="20"/>
  <c r="M120" i="20" s="1"/>
  <c r="AC120" i="20" s="1"/>
  <c r="O136" i="20"/>
  <c r="M136" i="20" s="1"/>
  <c r="AC136" i="20" s="1"/>
  <c r="N136" i="20"/>
  <c r="BA136" i="20"/>
  <c r="AU136" i="20"/>
  <c r="AT136" i="20"/>
  <c r="BA160" i="20"/>
  <c r="AU160" i="20"/>
  <c r="AT160" i="20"/>
  <c r="O160" i="20"/>
  <c r="M160" i="20" s="1"/>
  <c r="AC160" i="20" s="1"/>
  <c r="N160" i="20"/>
  <c r="BA176" i="20"/>
  <c r="AU176" i="20"/>
  <c r="AT176" i="20"/>
  <c r="O176" i="20"/>
  <c r="M176" i="20" s="1"/>
  <c r="AC176" i="20" s="1"/>
  <c r="N176" i="20"/>
  <c r="AU111" i="20"/>
  <c r="O111" i="20"/>
  <c r="M111" i="20" s="1"/>
  <c r="AC111" i="20" s="1"/>
  <c r="N111" i="20"/>
  <c r="BA111" i="20"/>
  <c r="AT111" i="20"/>
  <c r="AU127" i="20"/>
  <c r="AT127" i="20"/>
  <c r="O127" i="20"/>
  <c r="M127" i="20" s="1"/>
  <c r="AC127" i="20" s="1"/>
  <c r="N127" i="20"/>
  <c r="BA127" i="20"/>
  <c r="AU135" i="20"/>
  <c r="AT135" i="20"/>
  <c r="BA135" i="20"/>
  <c r="O135" i="20"/>
  <c r="M135" i="20" s="1"/>
  <c r="AC135" i="20" s="1"/>
  <c r="N135" i="20"/>
  <c r="BA151" i="20"/>
  <c r="O151" i="20"/>
  <c r="M151" i="20" s="1"/>
  <c r="AC151" i="20" s="1"/>
  <c r="N151" i="20"/>
  <c r="AU151" i="20"/>
  <c r="AT151" i="20"/>
  <c r="O175" i="20"/>
  <c r="M175" i="20" s="1"/>
  <c r="AC175" i="20" s="1"/>
  <c r="N175" i="20"/>
  <c r="BA175" i="20"/>
  <c r="AU175" i="20"/>
  <c r="AT175" i="20"/>
  <c r="AU185" i="20"/>
  <c r="O185" i="20"/>
  <c r="M185" i="20" s="1"/>
  <c r="AC185" i="20" s="1"/>
  <c r="N185" i="20"/>
  <c r="BA185" i="20"/>
  <c r="AT185" i="20"/>
  <c r="N193" i="20"/>
  <c r="AU193" i="20"/>
  <c r="O193" i="20"/>
  <c r="M193" i="20" s="1"/>
  <c r="AC193" i="20" s="1"/>
  <c r="AT193" i="20"/>
  <c r="BA193" i="20"/>
  <c r="O201" i="20"/>
  <c r="M201" i="20" s="1"/>
  <c r="AC201" i="20" s="1"/>
  <c r="N201" i="20"/>
  <c r="BA201" i="20"/>
  <c r="AU201" i="20"/>
  <c r="AT201" i="20"/>
  <c r="O184" i="20"/>
  <c r="M184" i="20" s="1"/>
  <c r="AC184" i="20" s="1"/>
  <c r="N184" i="20"/>
  <c r="AU184" i="20"/>
  <c r="AT184" i="20"/>
  <c r="BA184" i="20"/>
  <c r="O208" i="20"/>
  <c r="M208" i="20" s="1"/>
  <c r="AC208" i="20" s="1"/>
  <c r="N208" i="20"/>
  <c r="BA208" i="20"/>
  <c r="AT208" i="20"/>
  <c r="AU208" i="20"/>
  <c r="O203" i="20"/>
  <c r="M203" i="20" s="1"/>
  <c r="AC203" i="20" s="1"/>
  <c r="N203" i="20"/>
  <c r="BA203" i="20"/>
  <c r="AU203" i="20"/>
  <c r="AT203" i="20"/>
  <c r="O161" i="20"/>
  <c r="M161" i="20" s="1"/>
  <c r="AC161" i="20" s="1"/>
  <c r="N161" i="20"/>
  <c r="BA161" i="20"/>
  <c r="AU161" i="20"/>
  <c r="AT161" i="20"/>
  <c r="O110" i="20"/>
  <c r="M110" i="20" s="1"/>
  <c r="AC110" i="20" s="1"/>
  <c r="N110" i="20"/>
  <c r="BA110" i="20"/>
  <c r="AT110" i="20"/>
  <c r="AU110" i="20"/>
  <c r="N126" i="20"/>
  <c r="BA126" i="20"/>
  <c r="O126" i="20"/>
  <c r="M126" i="20" s="1"/>
  <c r="AC126" i="20" s="1"/>
  <c r="AU126" i="20"/>
  <c r="AT126" i="20"/>
  <c r="O134" i="20"/>
  <c r="M134" i="20" s="1"/>
  <c r="AC134" i="20" s="1"/>
  <c r="N134" i="20"/>
  <c r="BA134" i="20"/>
  <c r="AU134" i="20"/>
  <c r="AT134" i="20"/>
  <c r="O150" i="20"/>
  <c r="M150" i="20" s="1"/>
  <c r="AC150" i="20" s="1"/>
  <c r="N150" i="20"/>
  <c r="BA150" i="20"/>
  <c r="AU150" i="20"/>
  <c r="AT150" i="20"/>
  <c r="O166" i="20"/>
  <c r="M166" i="20" s="1"/>
  <c r="AC166" i="20" s="1"/>
  <c r="N166" i="20"/>
  <c r="BA166" i="20"/>
  <c r="AU166" i="20"/>
  <c r="AT166" i="20"/>
  <c r="BA117" i="20"/>
  <c r="AU117" i="20"/>
  <c r="AT117" i="20"/>
  <c r="O117" i="20"/>
  <c r="M117" i="20" s="1"/>
  <c r="AC117" i="20" s="1"/>
  <c r="N117" i="20"/>
  <c r="AU125" i="20"/>
  <c r="N125" i="20"/>
  <c r="BA125" i="20"/>
  <c r="AT125" i="20"/>
  <c r="O125" i="20"/>
  <c r="M125" i="20" s="1"/>
  <c r="AC125" i="20" s="1"/>
  <c r="AU133" i="20"/>
  <c r="AT133" i="20"/>
  <c r="BA133" i="20"/>
  <c r="O133" i="20"/>
  <c r="M133" i="20" s="1"/>
  <c r="AC133" i="20" s="1"/>
  <c r="N133" i="20"/>
  <c r="O149" i="20"/>
  <c r="M149" i="20" s="1"/>
  <c r="AC149" i="20" s="1"/>
  <c r="N149" i="20"/>
  <c r="BA149" i="20"/>
  <c r="AU149" i="20"/>
  <c r="AT149" i="20"/>
  <c r="O171" i="20"/>
  <c r="M171" i="20" s="1"/>
  <c r="AC171" i="20" s="1"/>
  <c r="N171" i="20"/>
  <c r="BA171" i="20"/>
  <c r="AU171" i="20"/>
  <c r="AT171" i="20"/>
  <c r="O116" i="20"/>
  <c r="M116" i="20" s="1"/>
  <c r="AC116" i="20" s="1"/>
  <c r="N116" i="20"/>
  <c r="BA116" i="20"/>
  <c r="AU116" i="20"/>
  <c r="AT116" i="20"/>
  <c r="O124" i="20"/>
  <c r="M124" i="20" s="1"/>
  <c r="AC124" i="20" s="1"/>
  <c r="N124" i="20"/>
  <c r="BA124" i="20"/>
  <c r="AT124" i="20"/>
  <c r="AU124" i="20"/>
  <c r="O148" i="20"/>
  <c r="M148" i="20" s="1"/>
  <c r="AC148" i="20" s="1"/>
  <c r="N148" i="20"/>
  <c r="BA148" i="20"/>
  <c r="AU148" i="20"/>
  <c r="AT148" i="20"/>
  <c r="O164" i="20"/>
  <c r="M164" i="20" s="1"/>
  <c r="AC164" i="20" s="1"/>
  <c r="N164" i="20"/>
  <c r="BA164" i="20"/>
  <c r="AU164" i="20"/>
  <c r="AT164" i="20"/>
  <c r="O115" i="20"/>
  <c r="M115" i="20" s="1"/>
  <c r="AC115" i="20" s="1"/>
  <c r="N115" i="20"/>
  <c r="AU115" i="20"/>
  <c r="AT115" i="20"/>
  <c r="BA115" i="20"/>
  <c r="N123" i="20"/>
  <c r="BA123" i="20"/>
  <c r="AT123" i="20"/>
  <c r="O123" i="20"/>
  <c r="M123" i="20" s="1"/>
  <c r="AC123" i="20" s="1"/>
  <c r="AU123" i="20"/>
  <c r="O131" i="20"/>
  <c r="M131" i="20" s="1"/>
  <c r="AC131" i="20" s="1"/>
  <c r="N131" i="20"/>
  <c r="BA131" i="20"/>
  <c r="AU131" i="20"/>
  <c r="AT131" i="20"/>
  <c r="O147" i="20"/>
  <c r="M147" i="20" s="1"/>
  <c r="AC147" i="20" s="1"/>
  <c r="BA147" i="20"/>
  <c r="AU147" i="20"/>
  <c r="AT147" i="20"/>
  <c r="N147" i="20"/>
  <c r="O167" i="20"/>
  <c r="M167" i="20" s="1"/>
  <c r="AC167" i="20" s="1"/>
  <c r="N167" i="20"/>
  <c r="BA167" i="20"/>
  <c r="AU167" i="20"/>
  <c r="AT167" i="20"/>
  <c r="O197" i="20"/>
  <c r="M197" i="20" s="1"/>
  <c r="AC197" i="20" s="1"/>
  <c r="N197" i="20"/>
  <c r="BA197" i="20"/>
  <c r="AT197" i="20"/>
  <c r="AU197" i="20"/>
  <c r="O205" i="20"/>
  <c r="M205" i="20" s="1"/>
  <c r="AC205" i="20" s="1"/>
  <c r="N205" i="20"/>
  <c r="BA205" i="20"/>
  <c r="AU205" i="20"/>
  <c r="AT205" i="20"/>
  <c r="O180" i="20"/>
  <c r="M180" i="20" s="1"/>
  <c r="AC180" i="20" s="1"/>
  <c r="AT180" i="20"/>
  <c r="BA180" i="20"/>
  <c r="N180" i="20"/>
  <c r="AU180" i="20"/>
  <c r="N188" i="20"/>
  <c r="O188" i="20"/>
  <c r="AT188" i="20"/>
  <c r="BA188" i="20"/>
  <c r="AU188" i="20"/>
  <c r="O191" i="20"/>
  <c r="N191" i="20"/>
  <c r="BA191" i="20"/>
  <c r="AU191" i="20"/>
  <c r="AT191" i="20"/>
  <c r="O199" i="20"/>
  <c r="N199" i="20"/>
  <c r="AT199" i="20"/>
  <c r="BA199" i="20"/>
  <c r="AU199" i="20"/>
  <c r="O207" i="20"/>
  <c r="BA207" i="20"/>
  <c r="AT207" i="20"/>
  <c r="AU207" i="20"/>
  <c r="N207" i="20"/>
  <c r="O182" i="20"/>
  <c r="N182" i="20"/>
  <c r="AU182" i="20"/>
  <c r="AT182" i="20"/>
  <c r="BA182" i="20"/>
  <c r="AT9" i="20"/>
  <c r="AT64" i="20"/>
  <c r="AT22" i="20"/>
  <c r="AU9" i="20"/>
  <c r="AU47" i="20"/>
  <c r="AU22" i="20"/>
  <c r="O22" i="20"/>
  <c r="O9" i="20"/>
  <c r="N9" i="20"/>
  <c r="J21" i="20"/>
  <c r="AY21" i="20" s="1"/>
  <c r="J33" i="20"/>
  <c r="J37" i="20"/>
  <c r="AY37" i="20" s="1"/>
  <c r="J26" i="20"/>
  <c r="J34" i="20"/>
  <c r="J38" i="20"/>
  <c r="AY38" i="20" s="1"/>
  <c r="J42" i="20"/>
  <c r="AY42" i="20" s="1"/>
  <c r="J46" i="20"/>
  <c r="AY46" i="20" s="1"/>
  <c r="J45" i="20"/>
  <c r="AY45" i="20" s="1"/>
  <c r="J50" i="20"/>
  <c r="AY50" i="20" s="1"/>
  <c r="J54" i="20"/>
  <c r="AY54" i="20" s="1"/>
  <c r="J58" i="20"/>
  <c r="AY58" i="20" s="1"/>
  <c r="J62" i="20"/>
  <c r="J66" i="20"/>
  <c r="J70" i="20"/>
  <c r="J74" i="20"/>
  <c r="J78" i="20"/>
  <c r="J82" i="20"/>
  <c r="J86" i="20"/>
  <c r="J90" i="20"/>
  <c r="J94" i="20"/>
  <c r="J98" i="20"/>
  <c r="J102" i="20"/>
  <c r="J106" i="20"/>
  <c r="J10" i="20"/>
  <c r="AY10" i="20" s="1"/>
  <c r="J18" i="20"/>
  <c r="AY18" i="20" s="1"/>
  <c r="J49" i="20"/>
  <c r="AY49" i="20" s="1"/>
  <c r="J53" i="20"/>
  <c r="AY53" i="20" s="1"/>
  <c r="J57" i="20"/>
  <c r="AY57" i="20" s="1"/>
  <c r="J61" i="20"/>
  <c r="J65" i="20"/>
  <c r="J69" i="20"/>
  <c r="J73" i="20"/>
  <c r="J77" i="20"/>
  <c r="J81" i="20"/>
  <c r="J85" i="20"/>
  <c r="J89" i="20"/>
  <c r="J93" i="20"/>
  <c r="J97" i="20"/>
  <c r="J101" i="20"/>
  <c r="J105" i="20"/>
  <c r="J109" i="20"/>
  <c r="J13" i="20"/>
  <c r="AY13" i="20" s="1"/>
  <c r="J17" i="20"/>
  <c r="AY17" i="20" s="1"/>
  <c r="J41" i="20"/>
  <c r="AY41" i="20" s="1"/>
  <c r="J25" i="20"/>
  <c r="J29" i="20"/>
  <c r="J30" i="20"/>
  <c r="J14" i="20"/>
  <c r="AY14" i="20" s="1"/>
  <c r="J31" i="20"/>
  <c r="BA22" i="20"/>
  <c r="G178" i="2"/>
  <c r="B258" i="2"/>
  <c r="B105" i="2"/>
  <c r="B119" i="2" s="1"/>
  <c r="B262" i="2"/>
  <c r="C54" i="16"/>
  <c r="D54" i="16" s="1"/>
  <c r="B200" i="2"/>
  <c r="B72" i="2"/>
  <c r="A460" i="2"/>
  <c r="B391" i="2"/>
  <c r="D391" i="2"/>
  <c r="B61" i="2"/>
  <c r="B73" i="2"/>
  <c r="G92" i="2"/>
  <c r="K151" i="2"/>
  <c r="B80" i="2"/>
  <c r="B134" i="2" s="1"/>
  <c r="C80" i="2"/>
  <c r="L151" i="2"/>
  <c r="G90" i="2"/>
  <c r="B278" i="2"/>
  <c r="F6" i="17" s="1"/>
  <c r="E623" i="17"/>
  <c r="F623" i="17"/>
  <c r="B340" i="2"/>
  <c r="G91" i="2"/>
  <c r="C58" i="2"/>
  <c r="C56" i="2"/>
  <c r="B339" i="2"/>
  <c r="B341" i="2"/>
  <c r="B15" i="6"/>
  <c r="B3" i="6"/>
  <c r="B16" i="6"/>
  <c r="H338" i="2"/>
  <c r="E74" i="1"/>
  <c r="P143" i="20" l="1"/>
  <c r="P193" i="20"/>
  <c r="P171" i="20"/>
  <c r="AM171" i="20" s="1"/>
  <c r="P156" i="20"/>
  <c r="P183" i="20"/>
  <c r="AJ183" i="20" s="1"/>
  <c r="AK183" i="20" s="1"/>
  <c r="P116" i="20"/>
  <c r="AM116" i="20" s="1"/>
  <c r="P155" i="20"/>
  <c r="S155" i="20" s="1"/>
  <c r="P118" i="20"/>
  <c r="AM118" i="20" s="1"/>
  <c r="O76" i="20"/>
  <c r="M76" i="20" s="1"/>
  <c r="AC76" i="20" s="1"/>
  <c r="AT40" i="20"/>
  <c r="O95" i="20"/>
  <c r="M95" i="20" s="1"/>
  <c r="AC95" i="20" s="1"/>
  <c r="AT39" i="20"/>
  <c r="O63" i="20"/>
  <c r="M63" i="20" s="1"/>
  <c r="AC63" i="20" s="1"/>
  <c r="N40" i="20"/>
  <c r="AU76" i="20"/>
  <c r="AT63" i="20"/>
  <c r="N20" i="20"/>
  <c r="O27" i="20"/>
  <c r="M27" i="20" s="1"/>
  <c r="AT76" i="20"/>
  <c r="AT27" i="20"/>
  <c r="O108" i="20"/>
  <c r="M108" i="20" s="1"/>
  <c r="AC108" i="20" s="1"/>
  <c r="AU95" i="20"/>
  <c r="AT15" i="20"/>
  <c r="B64" i="2"/>
  <c r="N63" i="20"/>
  <c r="N76" i="20"/>
  <c r="O40" i="20"/>
  <c r="M40" i="20" s="1"/>
  <c r="AC40" i="20" s="1"/>
  <c r="AU63" i="20"/>
  <c r="AU40" i="20"/>
  <c r="AT108" i="20"/>
  <c r="N95" i="20"/>
  <c r="N108" i="20"/>
  <c r="N56" i="20"/>
  <c r="N27" i="20"/>
  <c r="AU108" i="20"/>
  <c r="AU27" i="20"/>
  <c r="AT95" i="20"/>
  <c r="AT51" i="20"/>
  <c r="AT83" i="20"/>
  <c r="AT96" i="20"/>
  <c r="AT28" i="20"/>
  <c r="O24" i="20"/>
  <c r="M24" i="20" s="1"/>
  <c r="O11" i="20"/>
  <c r="M11" i="20" s="1"/>
  <c r="AC11" i="20" s="1"/>
  <c r="O79" i="20"/>
  <c r="M79" i="20" s="1"/>
  <c r="AC79" i="20" s="1"/>
  <c r="O47" i="20"/>
  <c r="M47" i="20" s="1"/>
  <c r="AC47" i="20" s="1"/>
  <c r="AU60" i="20"/>
  <c r="O92" i="20"/>
  <c r="M92" i="20" s="1"/>
  <c r="AC92" i="20" s="1"/>
  <c r="O60" i="20"/>
  <c r="M60" i="20" s="1"/>
  <c r="AC60" i="20" s="1"/>
  <c r="N24" i="20"/>
  <c r="AU11" i="20"/>
  <c r="AU92" i="20"/>
  <c r="AU24" i="20"/>
  <c r="AT103" i="20"/>
  <c r="AT71" i="20"/>
  <c r="AT16" i="20"/>
  <c r="AT84" i="20"/>
  <c r="AT52" i="20"/>
  <c r="N11" i="20"/>
  <c r="N79" i="20"/>
  <c r="N47" i="20"/>
  <c r="N92" i="20"/>
  <c r="N60" i="20"/>
  <c r="AU79" i="20"/>
  <c r="AU104" i="20"/>
  <c r="AT11" i="20"/>
  <c r="AT79" i="20"/>
  <c r="AT47" i="20"/>
  <c r="AT92" i="20"/>
  <c r="AT60" i="20"/>
  <c r="AT24" i="20"/>
  <c r="O83" i="20"/>
  <c r="M83" i="20" s="1"/>
  <c r="AC83" i="20" s="1"/>
  <c r="O84" i="20"/>
  <c r="M84" i="20" s="1"/>
  <c r="AC84" i="20" s="1"/>
  <c r="N28" i="20"/>
  <c r="O15" i="20"/>
  <c r="M15" i="20" s="1"/>
  <c r="AC15" i="20" s="1"/>
  <c r="O51" i="20"/>
  <c r="M51" i="20" s="1"/>
  <c r="AC51" i="20" s="1"/>
  <c r="O16" i="20"/>
  <c r="M16" i="20" s="1"/>
  <c r="AC16" i="20" s="1"/>
  <c r="AU19" i="20"/>
  <c r="O99" i="20"/>
  <c r="M99" i="20" s="1"/>
  <c r="AC99" i="20" s="1"/>
  <c r="O67" i="20"/>
  <c r="M67" i="20" s="1"/>
  <c r="AC67" i="20" s="1"/>
  <c r="O100" i="20"/>
  <c r="M100" i="20" s="1"/>
  <c r="AC100" i="20" s="1"/>
  <c r="O68" i="20"/>
  <c r="M68" i="20" s="1"/>
  <c r="AC68" i="20" s="1"/>
  <c r="N48" i="20"/>
  <c r="O35" i="20"/>
  <c r="M35" i="20" s="1"/>
  <c r="AC35" i="20" s="1"/>
  <c r="AU99" i="20"/>
  <c r="AU87" i="20"/>
  <c r="AU67" i="20"/>
  <c r="AU55" i="20"/>
  <c r="AU28" i="20"/>
  <c r="O19" i="20"/>
  <c r="O103" i="20"/>
  <c r="M103" i="20" s="1"/>
  <c r="AC103" i="20" s="1"/>
  <c r="O87" i="20"/>
  <c r="M87" i="20" s="1"/>
  <c r="AC87" i="20" s="1"/>
  <c r="O71" i="20"/>
  <c r="M71" i="20" s="1"/>
  <c r="AC71" i="20" s="1"/>
  <c r="O55" i="20"/>
  <c r="M55" i="20" s="1"/>
  <c r="AC55" i="20" s="1"/>
  <c r="O12" i="20"/>
  <c r="M12" i="20" s="1"/>
  <c r="AC12" i="20" s="1"/>
  <c r="O96" i="20"/>
  <c r="M96" i="20" s="1"/>
  <c r="AC96" i="20" s="1"/>
  <c r="O80" i="20"/>
  <c r="M80" i="20" s="1"/>
  <c r="AC80" i="20" s="1"/>
  <c r="O64" i="20"/>
  <c r="M64" i="20" s="1"/>
  <c r="AC64" i="20" s="1"/>
  <c r="N52" i="20"/>
  <c r="N32" i="20"/>
  <c r="O39" i="20"/>
  <c r="M39" i="20" s="1"/>
  <c r="AC39" i="20" s="1"/>
  <c r="O43" i="20"/>
  <c r="M43" i="20" s="1"/>
  <c r="AC43" i="20" s="1"/>
  <c r="AU15" i="20"/>
  <c r="AU100" i="20"/>
  <c r="AU80" i="20"/>
  <c r="AU68" i="20"/>
  <c r="AU48" i="20"/>
  <c r="AU32" i="20"/>
  <c r="AU35" i="20"/>
  <c r="AT43" i="20"/>
  <c r="B197" i="2"/>
  <c r="B186" i="2"/>
  <c r="B185" i="2"/>
  <c r="B180" i="2"/>
  <c r="M191" i="20"/>
  <c r="AC191" i="20" s="1"/>
  <c r="M182" i="20"/>
  <c r="AC182" i="20" s="1"/>
  <c r="M207" i="20"/>
  <c r="AC207" i="20" s="1"/>
  <c r="M199" i="20"/>
  <c r="AC199" i="20" s="1"/>
  <c r="M188" i="20"/>
  <c r="AC188" i="20" s="1"/>
  <c r="Q193" i="20"/>
  <c r="R193" i="20" s="1"/>
  <c r="AM193" i="20"/>
  <c r="AJ193" i="20"/>
  <c r="AK193" i="20" s="1"/>
  <c r="M204" i="20"/>
  <c r="AC204" i="20" s="1"/>
  <c r="M165" i="20"/>
  <c r="AC165" i="20" s="1"/>
  <c r="M189" i="20"/>
  <c r="AC189" i="20" s="1"/>
  <c r="M172" i="20"/>
  <c r="AC172" i="20" s="1"/>
  <c r="M202" i="20"/>
  <c r="AC202" i="20" s="1"/>
  <c r="M194" i="20"/>
  <c r="AC194" i="20" s="1"/>
  <c r="M200" i="20"/>
  <c r="AC200" i="20" s="1"/>
  <c r="M163" i="20"/>
  <c r="AC163" i="20" s="1"/>
  <c r="P191" i="20"/>
  <c r="Q191" i="20" s="1"/>
  <c r="P167" i="20"/>
  <c r="Q167" i="20" s="1"/>
  <c r="R167" i="20" s="1"/>
  <c r="AQ171" i="20"/>
  <c r="AQ193" i="20"/>
  <c r="P151" i="20"/>
  <c r="S151" i="20" s="1"/>
  <c r="P179" i="20"/>
  <c r="U179" i="20" s="1"/>
  <c r="V179" i="20" s="1"/>
  <c r="W179" i="20" s="1"/>
  <c r="P206" i="20"/>
  <c r="AH206" i="20" s="1"/>
  <c r="M196" i="20"/>
  <c r="AC196" i="20" s="1"/>
  <c r="M181" i="20"/>
  <c r="AC181" i="20" s="1"/>
  <c r="AQ156" i="20"/>
  <c r="AM156" i="20"/>
  <c r="AQ183" i="20"/>
  <c r="M177" i="20"/>
  <c r="AC177" i="20" s="1"/>
  <c r="M195" i="20"/>
  <c r="AC195" i="20" s="1"/>
  <c r="M192" i="20"/>
  <c r="AC192" i="20" s="1"/>
  <c r="M173" i="20"/>
  <c r="AC173" i="20" s="1"/>
  <c r="M209" i="20"/>
  <c r="AC209" i="20" s="1"/>
  <c r="M159" i="20"/>
  <c r="AC159" i="20" s="1"/>
  <c r="AQ143" i="20"/>
  <c r="AM143" i="20"/>
  <c r="M168" i="20"/>
  <c r="AC168" i="20" s="1"/>
  <c r="P204" i="20"/>
  <c r="S204" i="20" s="1"/>
  <c r="P196" i="20"/>
  <c r="AH196" i="20" s="1"/>
  <c r="P181" i="20"/>
  <c r="AH181" i="20" s="1"/>
  <c r="P139" i="20"/>
  <c r="Q139" i="20" s="1"/>
  <c r="P172" i="20"/>
  <c r="AF172" i="20" s="1"/>
  <c r="AG172" i="20" s="1"/>
  <c r="P173" i="20"/>
  <c r="P159" i="20"/>
  <c r="S159" i="20" s="1"/>
  <c r="P152" i="20"/>
  <c r="AA152" i="20" s="1"/>
  <c r="AB152" i="20" s="1"/>
  <c r="AJ116" i="20"/>
  <c r="AK116" i="20" s="1"/>
  <c r="AJ143" i="20"/>
  <c r="AK143" i="20" s="1"/>
  <c r="AJ156" i="20"/>
  <c r="AK156" i="20" s="1"/>
  <c r="Q156" i="20"/>
  <c r="R156" i="20" s="1"/>
  <c r="P9" i="20"/>
  <c r="AD9" i="20" s="1"/>
  <c r="N19" i="20"/>
  <c r="N15" i="20"/>
  <c r="N103" i="20"/>
  <c r="N99" i="20"/>
  <c r="N87" i="20"/>
  <c r="N83" i="20"/>
  <c r="N71" i="20"/>
  <c r="N67" i="20"/>
  <c r="N55" i="20"/>
  <c r="N51" i="20"/>
  <c r="P51" i="20" s="1"/>
  <c r="AM51" i="20" s="1"/>
  <c r="N16" i="20"/>
  <c r="N12" i="20"/>
  <c r="N100" i="20"/>
  <c r="N96" i="20"/>
  <c r="N84" i="20"/>
  <c r="N80" i="20"/>
  <c r="N68" i="20"/>
  <c r="N64" i="20"/>
  <c r="O52" i="20"/>
  <c r="M52" i="20" s="1"/>
  <c r="AC52" i="20" s="1"/>
  <c r="O48" i="20"/>
  <c r="M48" i="20" s="1"/>
  <c r="AC48" i="20" s="1"/>
  <c r="O32" i="20"/>
  <c r="O28" i="20"/>
  <c r="N39" i="20"/>
  <c r="N35" i="20"/>
  <c r="N43" i="20"/>
  <c r="AU103" i="20"/>
  <c r="AU83" i="20"/>
  <c r="AU71" i="20"/>
  <c r="AU51" i="20"/>
  <c r="AU16" i="20"/>
  <c r="AU12" i="20"/>
  <c r="AU96" i="20"/>
  <c r="AU84" i="20"/>
  <c r="AU64" i="20"/>
  <c r="AU52" i="20"/>
  <c r="AU39" i="20"/>
  <c r="AU43" i="20"/>
  <c r="AT19" i="20"/>
  <c r="AT99" i="20"/>
  <c r="AT87" i="20"/>
  <c r="AT67" i="20"/>
  <c r="AT55" i="20"/>
  <c r="AT12" i="20"/>
  <c r="AT100" i="20"/>
  <c r="AT80" i="20"/>
  <c r="AT68" i="20"/>
  <c r="AT48" i="20"/>
  <c r="AT32" i="20"/>
  <c r="AT35" i="20"/>
  <c r="N88" i="20"/>
  <c r="N104" i="20"/>
  <c r="N72" i="20"/>
  <c r="N44" i="20"/>
  <c r="AU88" i="20"/>
  <c r="AU72" i="20"/>
  <c r="AU56" i="20"/>
  <c r="AT44" i="20"/>
  <c r="AT23" i="20"/>
  <c r="O59" i="20"/>
  <c r="M59" i="20" s="1"/>
  <c r="AC59" i="20" s="1"/>
  <c r="O20" i="20"/>
  <c r="P20" i="20" s="1"/>
  <c r="AD20" i="20" s="1"/>
  <c r="O104" i="20"/>
  <c r="M104" i="20" s="1"/>
  <c r="AC104" i="20" s="1"/>
  <c r="O88" i="20"/>
  <c r="O72" i="20"/>
  <c r="M72" i="20" s="1"/>
  <c r="AC72" i="20" s="1"/>
  <c r="O56" i="20"/>
  <c r="M56" i="20" s="1"/>
  <c r="AC56" i="20" s="1"/>
  <c r="O44" i="20"/>
  <c r="M44" i="20" s="1"/>
  <c r="AC44" i="20" s="1"/>
  <c r="AU20" i="20"/>
  <c r="AU44" i="20"/>
  <c r="AT20" i="20"/>
  <c r="AT104" i="20"/>
  <c r="AT88" i="20"/>
  <c r="AT72" i="20"/>
  <c r="AT56" i="20"/>
  <c r="O91" i="20"/>
  <c r="M91" i="20" s="1"/>
  <c r="AC91" i="20" s="1"/>
  <c r="O23" i="20"/>
  <c r="O107" i="20"/>
  <c r="M107" i="20" s="1"/>
  <c r="AC107" i="20" s="1"/>
  <c r="O75" i="20"/>
  <c r="M75" i="20" s="1"/>
  <c r="AC75" i="20" s="1"/>
  <c r="N36" i="20"/>
  <c r="AT107" i="20"/>
  <c r="AT91" i="20"/>
  <c r="AT75" i="20"/>
  <c r="AT59" i="20"/>
  <c r="N107" i="20"/>
  <c r="N91" i="20"/>
  <c r="N75" i="20"/>
  <c r="N59" i="20"/>
  <c r="O36" i="20"/>
  <c r="M36" i="20" s="1"/>
  <c r="AC36" i="20" s="1"/>
  <c r="N23" i="20"/>
  <c r="AU107" i="20"/>
  <c r="AU91" i="20"/>
  <c r="AU75" i="20"/>
  <c r="AU59" i="20"/>
  <c r="AU36" i="20"/>
  <c r="AU23" i="20"/>
  <c r="AT36" i="20"/>
  <c r="AY31" i="20"/>
  <c r="BA31" i="20" s="1"/>
  <c r="AY30" i="20"/>
  <c r="BA30" i="20" s="1"/>
  <c r="AY105" i="20"/>
  <c r="BA105" i="20" s="1"/>
  <c r="AY97" i="20"/>
  <c r="BA97" i="20" s="1"/>
  <c r="AY89" i="20"/>
  <c r="BA89" i="20" s="1"/>
  <c r="AY81" i="20"/>
  <c r="BA81" i="20" s="1"/>
  <c r="AY73" i="20"/>
  <c r="BA73" i="20" s="1"/>
  <c r="AY65" i="20"/>
  <c r="BA65" i="20" s="1"/>
  <c r="AY102" i="20"/>
  <c r="BA102" i="20" s="1"/>
  <c r="AY94" i="20"/>
  <c r="BA94" i="20" s="1"/>
  <c r="AY86" i="20"/>
  <c r="BA86" i="20" s="1"/>
  <c r="AY78" i="20"/>
  <c r="BA78" i="20" s="1"/>
  <c r="AY70" i="20"/>
  <c r="BA70" i="20" s="1"/>
  <c r="AY62" i="20"/>
  <c r="BA62" i="20" s="1"/>
  <c r="AY34" i="20"/>
  <c r="BA34" i="20" s="1"/>
  <c r="AY29" i="20"/>
  <c r="BA29" i="20" s="1"/>
  <c r="AY25" i="20"/>
  <c r="BA25" i="20" s="1"/>
  <c r="AY109" i="20"/>
  <c r="BA109" i="20" s="1"/>
  <c r="AY101" i="20"/>
  <c r="BA101" i="20" s="1"/>
  <c r="AY93" i="20"/>
  <c r="BA93" i="20" s="1"/>
  <c r="AY85" i="20"/>
  <c r="BA85" i="20" s="1"/>
  <c r="AY77" i="20"/>
  <c r="BA77" i="20" s="1"/>
  <c r="AY69" i="20"/>
  <c r="BA69" i="20" s="1"/>
  <c r="AY61" i="20"/>
  <c r="BA61" i="20" s="1"/>
  <c r="AY106" i="20"/>
  <c r="BA106" i="20" s="1"/>
  <c r="AY98" i="20"/>
  <c r="BA98" i="20" s="1"/>
  <c r="AY90" i="20"/>
  <c r="BA90" i="20" s="1"/>
  <c r="AY82" i="20"/>
  <c r="BA82" i="20" s="1"/>
  <c r="AY74" i="20"/>
  <c r="BA74" i="20" s="1"/>
  <c r="AY66" i="20"/>
  <c r="BA66" i="20" s="1"/>
  <c r="AY26" i="20"/>
  <c r="BA26" i="20" s="1"/>
  <c r="AY33" i="20"/>
  <c r="BA33" i="20" s="1"/>
  <c r="P27" i="20"/>
  <c r="AD27" i="20" s="1"/>
  <c r="AA116" i="20"/>
  <c r="AB116" i="20" s="1"/>
  <c r="Q116" i="20"/>
  <c r="R116" i="20" s="1"/>
  <c r="AO116" i="20"/>
  <c r="AP116" i="20" s="1"/>
  <c r="AO183" i="20"/>
  <c r="AP183" i="20" s="1"/>
  <c r="AA183" i="20"/>
  <c r="AB183" i="20" s="1"/>
  <c r="P69" i="21"/>
  <c r="AD69" i="21" s="1"/>
  <c r="P89" i="21"/>
  <c r="AD89" i="21" s="1"/>
  <c r="P109" i="21"/>
  <c r="AD109" i="21" s="1"/>
  <c r="M109" i="21"/>
  <c r="P105" i="21"/>
  <c r="AD105" i="21" s="1"/>
  <c r="M105" i="21"/>
  <c r="P101" i="21"/>
  <c r="AD101" i="21" s="1"/>
  <c r="M101" i="21"/>
  <c r="P97" i="21"/>
  <c r="AD97" i="21" s="1"/>
  <c r="M97" i="21"/>
  <c r="P93" i="21"/>
  <c r="AD93" i="21" s="1"/>
  <c r="M93" i="21"/>
  <c r="P83" i="21"/>
  <c r="AD83" i="21" s="1"/>
  <c r="M83" i="21"/>
  <c r="P75" i="21"/>
  <c r="AD75" i="21" s="1"/>
  <c r="M75" i="21"/>
  <c r="P85" i="21"/>
  <c r="X85" i="21" s="1"/>
  <c r="M85" i="21"/>
  <c r="P81" i="21"/>
  <c r="X81" i="21" s="1"/>
  <c r="P74" i="21"/>
  <c r="AH74" i="21" s="1"/>
  <c r="P46" i="21"/>
  <c r="P59" i="21"/>
  <c r="AH59" i="21" s="1"/>
  <c r="P20" i="21"/>
  <c r="AD20" i="21" s="1"/>
  <c r="P13" i="21"/>
  <c r="P19" i="21"/>
  <c r="P29" i="21"/>
  <c r="AJ29" i="21" s="1"/>
  <c r="P45" i="21"/>
  <c r="AD45" i="21" s="1"/>
  <c r="P68" i="21"/>
  <c r="AH68" i="21" s="1"/>
  <c r="P38" i="21"/>
  <c r="P61" i="21"/>
  <c r="P65" i="21"/>
  <c r="P72" i="21"/>
  <c r="AH72" i="21" s="1"/>
  <c r="P22" i="21"/>
  <c r="AD22" i="21" s="1"/>
  <c r="P39" i="21"/>
  <c r="P54" i="21"/>
  <c r="AD54" i="21" s="1"/>
  <c r="P36" i="21"/>
  <c r="S36" i="21" s="1"/>
  <c r="P80" i="21"/>
  <c r="AJ80" i="21" s="1"/>
  <c r="AK80" i="21" s="1"/>
  <c r="P88" i="21"/>
  <c r="P76" i="21"/>
  <c r="AD76" i="21" s="1"/>
  <c r="P70" i="21"/>
  <c r="AH70" i="21" s="1"/>
  <c r="P106" i="21"/>
  <c r="AD106" i="21" s="1"/>
  <c r="P102" i="21"/>
  <c r="AH102" i="21" s="1"/>
  <c r="P98" i="21"/>
  <c r="AH98" i="21" s="1"/>
  <c r="P94" i="21"/>
  <c r="AH94" i="21" s="1"/>
  <c r="P51" i="21"/>
  <c r="P32" i="21"/>
  <c r="P18" i="21"/>
  <c r="AD18" i="21" s="1"/>
  <c r="P12" i="21"/>
  <c r="P16" i="21"/>
  <c r="P25" i="21"/>
  <c r="P41" i="21"/>
  <c r="P56" i="21"/>
  <c r="AF56" i="21" s="1"/>
  <c r="P31" i="21"/>
  <c r="P60" i="21"/>
  <c r="P64" i="21"/>
  <c r="P34" i="21"/>
  <c r="P50" i="21"/>
  <c r="P35" i="21"/>
  <c r="AM35" i="21" s="1"/>
  <c r="P55" i="21"/>
  <c r="AD55" i="21" s="1"/>
  <c r="P86" i="21"/>
  <c r="AA86" i="21" s="1"/>
  <c r="AB86" i="21" s="1"/>
  <c r="P78" i="21"/>
  <c r="P71" i="21"/>
  <c r="P107" i="21"/>
  <c r="P103" i="21"/>
  <c r="P99" i="21"/>
  <c r="P95" i="21"/>
  <c r="P91" i="21"/>
  <c r="P42" i="21"/>
  <c r="S42" i="21" s="1"/>
  <c r="P17" i="21"/>
  <c r="P11" i="21"/>
  <c r="AA11" i="21" s="1"/>
  <c r="AB11" i="21" s="1"/>
  <c r="P15" i="21"/>
  <c r="AD15" i="21" s="1"/>
  <c r="P23" i="21"/>
  <c r="P37" i="21"/>
  <c r="P52" i="21"/>
  <c r="AM52" i="21" s="1"/>
  <c r="P30" i="21"/>
  <c r="AD30" i="21" s="1"/>
  <c r="P58" i="21"/>
  <c r="AH58" i="21" s="1"/>
  <c r="P63" i="21"/>
  <c r="AD63" i="21" s="1"/>
  <c r="P67" i="21"/>
  <c r="S67" i="21" s="1"/>
  <c r="P77" i="21"/>
  <c r="AA77" i="21" s="1"/>
  <c r="AB77" i="21" s="1"/>
  <c r="P87" i="21"/>
  <c r="P28" i="21"/>
  <c r="AJ28" i="21" s="1"/>
  <c r="P47" i="21"/>
  <c r="AD47" i="21" s="1"/>
  <c r="P27" i="21"/>
  <c r="P49" i="21"/>
  <c r="AD49" i="21" s="1"/>
  <c r="P84" i="21"/>
  <c r="AH84" i="21" s="1"/>
  <c r="P79" i="21"/>
  <c r="P73" i="21"/>
  <c r="P108" i="21"/>
  <c r="P104" i="21"/>
  <c r="P100" i="21"/>
  <c r="P96" i="21"/>
  <c r="P92" i="21"/>
  <c r="P44" i="21"/>
  <c r="AH44" i="21" s="1"/>
  <c r="P10" i="21"/>
  <c r="P9" i="21"/>
  <c r="AQ9" i="21" s="1"/>
  <c r="P14" i="21"/>
  <c r="AD14" i="21" s="1"/>
  <c r="P21" i="21"/>
  <c r="AA21" i="21" s="1"/>
  <c r="AB21" i="21" s="1"/>
  <c r="P33" i="21"/>
  <c r="P48" i="21"/>
  <c r="AM48" i="21" s="1"/>
  <c r="P24" i="21"/>
  <c r="AD24" i="21" s="1"/>
  <c r="P53" i="21"/>
  <c r="AH53" i="21" s="1"/>
  <c r="P62" i="21"/>
  <c r="AD62" i="21" s="1"/>
  <c r="P66" i="21"/>
  <c r="AH66" i="21" s="1"/>
  <c r="P26" i="21"/>
  <c r="AJ26" i="21" s="1"/>
  <c r="P43" i="21"/>
  <c r="AD43" i="21" s="1"/>
  <c r="P57" i="21"/>
  <c r="AH57" i="21" s="1"/>
  <c r="P40" i="21"/>
  <c r="P82" i="21"/>
  <c r="S82" i="21" s="1"/>
  <c r="P90" i="21"/>
  <c r="Q90" i="21" s="1"/>
  <c r="AF116" i="20"/>
  <c r="AO156" i="20"/>
  <c r="AP156" i="20" s="1"/>
  <c r="Q183" i="20"/>
  <c r="AA156" i="20"/>
  <c r="AB156" i="20" s="1"/>
  <c r="AF143" i="20"/>
  <c r="AG143" i="20" s="1"/>
  <c r="Q143" i="20"/>
  <c r="AF156" i="20"/>
  <c r="AG156" i="20" s="1"/>
  <c r="AF183" i="20"/>
  <c r="AH183" i="20"/>
  <c r="P199" i="20"/>
  <c r="AJ199" i="20" s="1"/>
  <c r="AK199" i="20" s="1"/>
  <c r="P188" i="20"/>
  <c r="P115" i="20"/>
  <c r="AM115" i="20" s="1"/>
  <c r="AO171" i="20"/>
  <c r="AP171" i="20" s="1"/>
  <c r="S171" i="20"/>
  <c r="AD171" i="20"/>
  <c r="U171" i="20"/>
  <c r="V171" i="20" s="1"/>
  <c r="W171" i="20" s="1"/>
  <c r="AF171" i="20"/>
  <c r="Q171" i="20"/>
  <c r="P117" i="20"/>
  <c r="AM117" i="20" s="1"/>
  <c r="P166" i="20"/>
  <c r="P150" i="20"/>
  <c r="AM150" i="20" s="1"/>
  <c r="P134" i="20"/>
  <c r="AM134" i="20" s="1"/>
  <c r="P161" i="20"/>
  <c r="P203" i="20"/>
  <c r="P208" i="20"/>
  <c r="P182" i="20"/>
  <c r="P207" i="20"/>
  <c r="AJ207" i="20" s="1"/>
  <c r="AK207" i="20" s="1"/>
  <c r="P180" i="20"/>
  <c r="P205" i="20"/>
  <c r="AJ205" i="20" s="1"/>
  <c r="AK205" i="20" s="1"/>
  <c r="P197" i="20"/>
  <c r="P147" i="20"/>
  <c r="AM147" i="20" s="1"/>
  <c r="P131" i="20"/>
  <c r="AM131" i="20" s="1"/>
  <c r="P123" i="20"/>
  <c r="AM123" i="20" s="1"/>
  <c r="P164" i="20"/>
  <c r="P148" i="20"/>
  <c r="P124" i="20"/>
  <c r="AM124" i="20" s="1"/>
  <c r="AH116" i="20"/>
  <c r="S116" i="20"/>
  <c r="AD116" i="20"/>
  <c r="U116" i="20"/>
  <c r="V116" i="20" s="1"/>
  <c r="W116" i="20" s="1"/>
  <c r="X116" i="20"/>
  <c r="Y116" i="20" s="1"/>
  <c r="Z116" i="20" s="1"/>
  <c r="AH171" i="20"/>
  <c r="AA171" i="20"/>
  <c r="AB171" i="20" s="1"/>
  <c r="P201" i="20"/>
  <c r="AF193" i="20"/>
  <c r="S193" i="20"/>
  <c r="U193" i="20"/>
  <c r="V193" i="20" s="1"/>
  <c r="W193" i="20" s="1"/>
  <c r="AD193" i="20"/>
  <c r="AA193" i="20"/>
  <c r="AB193" i="20" s="1"/>
  <c r="X193" i="20"/>
  <c r="Y193" i="20" s="1"/>
  <c r="Z193" i="20" s="1"/>
  <c r="P185" i="20"/>
  <c r="AJ185" i="20" s="1"/>
  <c r="AK185" i="20" s="1"/>
  <c r="P127" i="20"/>
  <c r="AM127" i="20" s="1"/>
  <c r="P136" i="20"/>
  <c r="AM136" i="20" s="1"/>
  <c r="P120" i="20"/>
  <c r="AM120" i="20" s="1"/>
  <c r="P137" i="20"/>
  <c r="AM137" i="20" s="1"/>
  <c r="P178" i="20"/>
  <c r="P162" i="20"/>
  <c r="P146" i="20"/>
  <c r="AM146" i="20" s="1"/>
  <c r="P130" i="20"/>
  <c r="AM130" i="20" s="1"/>
  <c r="P122" i="20"/>
  <c r="AM122" i="20" s="1"/>
  <c r="P198" i="20"/>
  <c r="P189" i="20"/>
  <c r="P132" i="20"/>
  <c r="P158" i="20"/>
  <c r="P142" i="20"/>
  <c r="AM142" i="20" s="1"/>
  <c r="P194" i="20"/>
  <c r="P186" i="20"/>
  <c r="P177" i="20"/>
  <c r="P200" i="20"/>
  <c r="P209" i="20"/>
  <c r="S143" i="20"/>
  <c r="U143" i="20"/>
  <c r="V143" i="20" s="1"/>
  <c r="W143" i="20" s="1"/>
  <c r="AD143" i="20"/>
  <c r="P119" i="20"/>
  <c r="AM119" i="20" s="1"/>
  <c r="P112" i="20"/>
  <c r="AM112" i="20" s="1"/>
  <c r="P145" i="20"/>
  <c r="AM145" i="20" s="1"/>
  <c r="P129" i="20"/>
  <c r="AM129" i="20" s="1"/>
  <c r="P121" i="20"/>
  <c r="AM121" i="20" s="1"/>
  <c r="P170" i="20"/>
  <c r="AJ170" i="20" s="1"/>
  <c r="AK170" i="20" s="1"/>
  <c r="P154" i="20"/>
  <c r="AM154" i="20" s="1"/>
  <c r="P138" i="20"/>
  <c r="AM138" i="20" s="1"/>
  <c r="P114" i="20"/>
  <c r="AM114" i="20" s="1"/>
  <c r="X171" i="20"/>
  <c r="Y171" i="20" s="1"/>
  <c r="Z171" i="20" s="1"/>
  <c r="P149" i="20"/>
  <c r="P133" i="20"/>
  <c r="AM133" i="20" s="1"/>
  <c r="P125" i="20"/>
  <c r="AM125" i="20" s="1"/>
  <c r="P126" i="20"/>
  <c r="AM126" i="20" s="1"/>
  <c r="P110" i="20"/>
  <c r="AM110" i="20" s="1"/>
  <c r="P184" i="20"/>
  <c r="AO193" i="20"/>
  <c r="AP193" i="20" s="1"/>
  <c r="AH193" i="20"/>
  <c r="P175" i="20"/>
  <c r="P135" i="20"/>
  <c r="AM135" i="20" s="1"/>
  <c r="P111" i="20"/>
  <c r="AM111" i="20" s="1"/>
  <c r="P176" i="20"/>
  <c r="P160" i="20"/>
  <c r="AJ160" i="20" s="1"/>
  <c r="AK160" i="20" s="1"/>
  <c r="P187" i="20"/>
  <c r="P153" i="20"/>
  <c r="AM153" i="20" s="1"/>
  <c r="P113" i="20"/>
  <c r="AM113" i="20" s="1"/>
  <c r="P190" i="20"/>
  <c r="P169" i="20"/>
  <c r="P165" i="20"/>
  <c r="AH156" i="20"/>
  <c r="S156" i="20"/>
  <c r="U156" i="20"/>
  <c r="V156" i="20" s="1"/>
  <c r="W156" i="20" s="1"/>
  <c r="AD156" i="20"/>
  <c r="X156" i="20"/>
  <c r="Y156" i="20" s="1"/>
  <c r="Z156" i="20" s="1"/>
  <c r="P140" i="20"/>
  <c r="AM140" i="20" s="1"/>
  <c r="S183" i="20"/>
  <c r="U183" i="20"/>
  <c r="V183" i="20" s="1"/>
  <c r="W183" i="20" s="1"/>
  <c r="AD183" i="20"/>
  <c r="X183" i="20"/>
  <c r="Y183" i="20" s="1"/>
  <c r="Z183" i="20" s="1"/>
  <c r="P157" i="20"/>
  <c r="P141" i="20"/>
  <c r="AM141" i="20" s="1"/>
  <c r="P174" i="20"/>
  <c r="P202" i="20"/>
  <c r="P195" i="20"/>
  <c r="P192" i="20"/>
  <c r="AA143" i="20"/>
  <c r="AB143" i="20" s="1"/>
  <c r="AO143" i="20"/>
  <c r="AP143" i="20" s="1"/>
  <c r="AH143" i="20"/>
  <c r="X143" i="20"/>
  <c r="Y143" i="20" s="1"/>
  <c r="Z143" i="20" s="1"/>
  <c r="P168" i="20"/>
  <c r="P144" i="20"/>
  <c r="AM144" i="20" s="1"/>
  <c r="P128" i="20"/>
  <c r="AM128" i="20" s="1"/>
  <c r="P163" i="20"/>
  <c r="AT14" i="20"/>
  <c r="AT29" i="20"/>
  <c r="AT17" i="20"/>
  <c r="AT109" i="20"/>
  <c r="AT101" i="20"/>
  <c r="AT93" i="20"/>
  <c r="AT69" i="20"/>
  <c r="AT18" i="20"/>
  <c r="AT82" i="20"/>
  <c r="AT74" i="20"/>
  <c r="AT50" i="20"/>
  <c r="AT46" i="20"/>
  <c r="AT38" i="20"/>
  <c r="AT26" i="20"/>
  <c r="AT33" i="20"/>
  <c r="AT31" i="20"/>
  <c r="AT30" i="20"/>
  <c r="AT25" i="20"/>
  <c r="AT41" i="20"/>
  <c r="AT13" i="20"/>
  <c r="AT105" i="20"/>
  <c r="AT97" i="20"/>
  <c r="AT89" i="20"/>
  <c r="AT81" i="20"/>
  <c r="AT73" i="20"/>
  <c r="AT65" i="20"/>
  <c r="AT57" i="20"/>
  <c r="AT49" i="20"/>
  <c r="AT10" i="20"/>
  <c r="AT102" i="20"/>
  <c r="AT94" i="20"/>
  <c r="AT86" i="20"/>
  <c r="AT78" i="20"/>
  <c r="AT70" i="20"/>
  <c r="AT62" i="20"/>
  <c r="AT54" i="20"/>
  <c r="AT45" i="20"/>
  <c r="AT42" i="20"/>
  <c r="AT34" i="20"/>
  <c r="AT37" i="20"/>
  <c r="AT21" i="20"/>
  <c r="AT85" i="20"/>
  <c r="AT77" i="20"/>
  <c r="AT61" i="20"/>
  <c r="AT53" i="20"/>
  <c r="AT106" i="20"/>
  <c r="AT98" i="20"/>
  <c r="AT90" i="20"/>
  <c r="AT66" i="20"/>
  <c r="AT58" i="20"/>
  <c r="AU30" i="20"/>
  <c r="AU29" i="20"/>
  <c r="AU25" i="20"/>
  <c r="BA41" i="20"/>
  <c r="AU41" i="20"/>
  <c r="BA13" i="20"/>
  <c r="AU13" i="20"/>
  <c r="AU105" i="20"/>
  <c r="AU97" i="20"/>
  <c r="AU89" i="20"/>
  <c r="AU81" i="20"/>
  <c r="AU73" i="20"/>
  <c r="AU65" i="20"/>
  <c r="BA57" i="20"/>
  <c r="AU57" i="20"/>
  <c r="BA49" i="20"/>
  <c r="AU49" i="20"/>
  <c r="BA10" i="20"/>
  <c r="AU10" i="20"/>
  <c r="AU102" i="20"/>
  <c r="AU94" i="20"/>
  <c r="AU86" i="20"/>
  <c r="AU78" i="20"/>
  <c r="AU70" i="20"/>
  <c r="AU62" i="20"/>
  <c r="BA54" i="20"/>
  <c r="AU54" i="20"/>
  <c r="BA45" i="20"/>
  <c r="AU45" i="20"/>
  <c r="BA42" i="20"/>
  <c r="AU42" i="20"/>
  <c r="AU34" i="20"/>
  <c r="BA37" i="20"/>
  <c r="AU37" i="20"/>
  <c r="BA21" i="20"/>
  <c r="AU21" i="20"/>
  <c r="M22" i="20"/>
  <c r="AC22" i="20" s="1"/>
  <c r="AU31" i="20"/>
  <c r="BA14" i="20"/>
  <c r="AU14" i="20"/>
  <c r="BA17" i="20"/>
  <c r="AU17" i="20"/>
  <c r="AU109" i="20"/>
  <c r="AU101" i="20"/>
  <c r="AU93" i="20"/>
  <c r="AU85" i="20"/>
  <c r="AU77" i="20"/>
  <c r="AU69" i="20"/>
  <c r="AU61" i="20"/>
  <c r="BA53" i="20"/>
  <c r="AU53" i="20"/>
  <c r="BA18" i="20"/>
  <c r="AU18" i="20"/>
  <c r="AU106" i="20"/>
  <c r="AU98" i="20"/>
  <c r="AU90" i="20"/>
  <c r="AU82" i="20"/>
  <c r="AU74" i="20"/>
  <c r="AU66" i="20"/>
  <c r="BA58" i="20"/>
  <c r="AU58" i="20"/>
  <c r="BA50" i="20"/>
  <c r="AU50" i="20"/>
  <c r="BA46" i="20"/>
  <c r="AU46" i="20"/>
  <c r="BA38" i="20"/>
  <c r="AU38" i="20"/>
  <c r="AU26" i="20"/>
  <c r="AU33" i="20"/>
  <c r="M9" i="20"/>
  <c r="AC9" i="20" s="1"/>
  <c r="O30" i="20"/>
  <c r="N30" i="20"/>
  <c r="N29" i="20"/>
  <c r="O29" i="20"/>
  <c r="N25" i="20"/>
  <c r="O25" i="20"/>
  <c r="O17" i="20"/>
  <c r="N17" i="20"/>
  <c r="O109" i="20"/>
  <c r="M109" i="20" s="1"/>
  <c r="AC109" i="20" s="1"/>
  <c r="N109" i="20"/>
  <c r="O101" i="20"/>
  <c r="M101" i="20" s="1"/>
  <c r="AC101" i="20" s="1"/>
  <c r="N101" i="20"/>
  <c r="O93" i="20"/>
  <c r="M93" i="20" s="1"/>
  <c r="AC93" i="20" s="1"/>
  <c r="N93" i="20"/>
  <c r="O85" i="20"/>
  <c r="M85" i="20" s="1"/>
  <c r="AC85" i="20" s="1"/>
  <c r="N85" i="20"/>
  <c r="O77" i="20"/>
  <c r="M77" i="20" s="1"/>
  <c r="AC77" i="20" s="1"/>
  <c r="N77" i="20"/>
  <c r="O69" i="20"/>
  <c r="M69" i="20" s="1"/>
  <c r="AC69" i="20" s="1"/>
  <c r="N69" i="20"/>
  <c r="N61" i="20"/>
  <c r="O61" i="20"/>
  <c r="M61" i="20" s="1"/>
  <c r="AC61" i="20" s="1"/>
  <c r="N53" i="20"/>
  <c r="O53" i="20"/>
  <c r="M53" i="20" s="1"/>
  <c r="AC53" i="20" s="1"/>
  <c r="O18" i="20"/>
  <c r="N18" i="20"/>
  <c r="O106" i="20"/>
  <c r="M106" i="20" s="1"/>
  <c r="AC106" i="20" s="1"/>
  <c r="N106" i="20"/>
  <c r="O98" i="20"/>
  <c r="M98" i="20" s="1"/>
  <c r="AC98" i="20" s="1"/>
  <c r="N98" i="20"/>
  <c r="O90" i="20"/>
  <c r="M90" i="20" s="1"/>
  <c r="AC90" i="20" s="1"/>
  <c r="N90" i="20"/>
  <c r="O82" i="20"/>
  <c r="M82" i="20" s="1"/>
  <c r="AC82" i="20" s="1"/>
  <c r="N82" i="20"/>
  <c r="O74" i="20"/>
  <c r="M74" i="20" s="1"/>
  <c r="AC74" i="20" s="1"/>
  <c r="N74" i="20"/>
  <c r="O66" i="20"/>
  <c r="M66" i="20" s="1"/>
  <c r="AC66" i="20" s="1"/>
  <c r="N66" i="20"/>
  <c r="O58" i="20"/>
  <c r="M58" i="20" s="1"/>
  <c r="AC58" i="20" s="1"/>
  <c r="N58" i="20"/>
  <c r="O50" i="20"/>
  <c r="M50" i="20" s="1"/>
  <c r="AC50" i="20" s="1"/>
  <c r="N50" i="20"/>
  <c r="O46" i="20"/>
  <c r="M46" i="20" s="1"/>
  <c r="AC46" i="20" s="1"/>
  <c r="N46" i="20"/>
  <c r="O38" i="20"/>
  <c r="M38" i="20" s="1"/>
  <c r="AC38" i="20" s="1"/>
  <c r="N38" i="20"/>
  <c r="O26" i="20"/>
  <c r="N26" i="20"/>
  <c r="N33" i="20"/>
  <c r="O33" i="20"/>
  <c r="N31" i="20"/>
  <c r="O31" i="20"/>
  <c r="O14" i="20"/>
  <c r="N14" i="20"/>
  <c r="N41" i="20"/>
  <c r="O41" i="20"/>
  <c r="M41" i="20" s="1"/>
  <c r="AC41" i="20" s="1"/>
  <c r="O13" i="20"/>
  <c r="N13" i="20"/>
  <c r="O105" i="20"/>
  <c r="M105" i="20" s="1"/>
  <c r="AC105" i="20" s="1"/>
  <c r="N105" i="20"/>
  <c r="O97" i="20"/>
  <c r="M97" i="20" s="1"/>
  <c r="AC97" i="20" s="1"/>
  <c r="N97" i="20"/>
  <c r="O89" i="20"/>
  <c r="M89" i="20" s="1"/>
  <c r="AC89" i="20" s="1"/>
  <c r="N89" i="20"/>
  <c r="O81" i="20"/>
  <c r="M81" i="20" s="1"/>
  <c r="AC81" i="20" s="1"/>
  <c r="N81" i="20"/>
  <c r="O73" i="20"/>
  <c r="M73" i="20" s="1"/>
  <c r="AC73" i="20" s="1"/>
  <c r="N73" i="20"/>
  <c r="N65" i="20"/>
  <c r="O65" i="20"/>
  <c r="M65" i="20" s="1"/>
  <c r="AC65" i="20" s="1"/>
  <c r="N57" i="20"/>
  <c r="O57" i="20"/>
  <c r="M57" i="20" s="1"/>
  <c r="AC57" i="20" s="1"/>
  <c r="N49" i="20"/>
  <c r="O49" i="20"/>
  <c r="M49" i="20" s="1"/>
  <c r="AC49" i="20" s="1"/>
  <c r="O10" i="20"/>
  <c r="N10" i="20"/>
  <c r="O102" i="20"/>
  <c r="M102" i="20" s="1"/>
  <c r="AC102" i="20" s="1"/>
  <c r="N102" i="20"/>
  <c r="O94" i="20"/>
  <c r="M94" i="20" s="1"/>
  <c r="AC94" i="20" s="1"/>
  <c r="N94" i="20"/>
  <c r="O86" i="20"/>
  <c r="M86" i="20" s="1"/>
  <c r="AC86" i="20" s="1"/>
  <c r="N86" i="20"/>
  <c r="O78" i="20"/>
  <c r="M78" i="20" s="1"/>
  <c r="AC78" i="20" s="1"/>
  <c r="N78" i="20"/>
  <c r="O70" i="20"/>
  <c r="M70" i="20" s="1"/>
  <c r="AC70" i="20" s="1"/>
  <c r="N70" i="20"/>
  <c r="O62" i="20"/>
  <c r="M62" i="20" s="1"/>
  <c r="AC62" i="20" s="1"/>
  <c r="N62" i="20"/>
  <c r="O54" i="20"/>
  <c r="M54" i="20" s="1"/>
  <c r="AC54" i="20" s="1"/>
  <c r="N54" i="20"/>
  <c r="N45" i="20"/>
  <c r="O45" i="20"/>
  <c r="M45" i="20" s="1"/>
  <c r="AC45" i="20" s="1"/>
  <c r="O42" i="20"/>
  <c r="M42" i="20" s="1"/>
  <c r="AC42" i="20" s="1"/>
  <c r="N42" i="20"/>
  <c r="O34" i="20"/>
  <c r="M34" i="20" s="1"/>
  <c r="AC34" i="20" s="1"/>
  <c r="N34" i="20"/>
  <c r="N37" i="20"/>
  <c r="O37" i="20"/>
  <c r="M37" i="20" s="1"/>
  <c r="AC37" i="20" s="1"/>
  <c r="O21" i="20"/>
  <c r="N21" i="20"/>
  <c r="N22" i="20"/>
  <c r="P22" i="20" s="1"/>
  <c r="C78" i="2"/>
  <c r="B190" i="2"/>
  <c r="B191" i="2"/>
  <c r="B85" i="2"/>
  <c r="F85" i="2"/>
  <c r="E85" i="2"/>
  <c r="B196" i="2"/>
  <c r="B174" i="2"/>
  <c r="B264" i="2"/>
  <c r="F266" i="2"/>
  <c r="B266" i="2"/>
  <c r="D408" i="2"/>
  <c r="D407" i="2"/>
  <c r="B129" i="2"/>
  <c r="K134" i="2" s="1"/>
  <c r="M134" i="2" s="1"/>
  <c r="L104" i="2"/>
  <c r="P104" i="2" s="1"/>
  <c r="K104" i="2"/>
  <c r="E20" i="1"/>
  <c r="F92" i="2"/>
  <c r="B162" i="2"/>
  <c r="B92" i="2"/>
  <c r="E23" i="1" s="1"/>
  <c r="B104" i="2"/>
  <c r="B118" i="2" s="1"/>
  <c r="B151" i="2"/>
  <c r="K317" i="2"/>
  <c r="B276" i="2"/>
  <c r="B283" i="2"/>
  <c r="B274" i="2"/>
  <c r="B313" i="2"/>
  <c r="K5" i="17" s="1"/>
  <c r="B282" i="2"/>
  <c r="K150" i="2"/>
  <c r="K149" i="2"/>
  <c r="L150" i="2"/>
  <c r="L149" i="2"/>
  <c r="C79" i="2"/>
  <c r="B79" i="2"/>
  <c r="B133" i="2" s="1"/>
  <c r="B78" i="2"/>
  <c r="B132" i="2" s="1"/>
  <c r="A452" i="2"/>
  <c r="C69" i="16"/>
  <c r="D69" i="16" s="1"/>
  <c r="B415" i="2"/>
  <c r="B416" i="2" s="1"/>
  <c r="P103" i="20" l="1"/>
  <c r="Q103" i="20" s="1"/>
  <c r="AS103" i="20" s="1"/>
  <c r="AJ171" i="20"/>
  <c r="AK171" i="20" s="1"/>
  <c r="P32" i="20"/>
  <c r="AD32" i="20" s="1"/>
  <c r="AH155" i="20"/>
  <c r="AF155" i="20"/>
  <c r="AD155" i="20"/>
  <c r="P55" i="20"/>
  <c r="AM55" i="20" s="1"/>
  <c r="X155" i="20"/>
  <c r="Y155" i="20" s="1"/>
  <c r="Z155" i="20" s="1"/>
  <c r="AQ116" i="20"/>
  <c r="P99" i="20"/>
  <c r="AM99" i="20" s="1"/>
  <c r="P96" i="20"/>
  <c r="AD96" i="20" s="1"/>
  <c r="P83" i="20"/>
  <c r="AA155" i="20"/>
  <c r="AB155" i="20" s="1"/>
  <c r="Q155" i="20"/>
  <c r="R155" i="20" s="1"/>
  <c r="AQ155" i="20"/>
  <c r="AJ155" i="20"/>
  <c r="AK155" i="20" s="1"/>
  <c r="AM155" i="20"/>
  <c r="AO155" i="20"/>
  <c r="AP155" i="20" s="1"/>
  <c r="U155" i="20"/>
  <c r="V155" i="20" s="1"/>
  <c r="W155" i="20" s="1"/>
  <c r="AM183" i="20"/>
  <c r="Q173" i="20"/>
  <c r="P87" i="20"/>
  <c r="AO87" i="20" s="1"/>
  <c r="AP87" i="20" s="1"/>
  <c r="X118" i="20"/>
  <c r="Y118" i="20" s="1"/>
  <c r="Z118" i="20" s="1"/>
  <c r="Q118" i="20"/>
  <c r="R118" i="20" s="1"/>
  <c r="AF118" i="20"/>
  <c r="AO118" i="20"/>
  <c r="AP118" i="20" s="1"/>
  <c r="AD118" i="20"/>
  <c r="U118" i="20"/>
  <c r="V118" i="20" s="1"/>
  <c r="W118" i="20" s="1"/>
  <c r="S118" i="20"/>
  <c r="AA118" i="20"/>
  <c r="AB118" i="20" s="1"/>
  <c r="AH118" i="20"/>
  <c r="P67" i="20"/>
  <c r="AJ67" i="20" s="1"/>
  <c r="AK67" i="20" s="1"/>
  <c r="P84" i="20"/>
  <c r="AJ84" i="20" s="1"/>
  <c r="AK84" i="20" s="1"/>
  <c r="AQ118" i="20"/>
  <c r="AR118" i="20" s="1"/>
  <c r="AJ118" i="20"/>
  <c r="AK118" i="20" s="1"/>
  <c r="P100" i="20"/>
  <c r="AO100" i="20" s="1"/>
  <c r="AP100" i="20" s="1"/>
  <c r="P64" i="20"/>
  <c r="AQ64" i="20" s="1"/>
  <c r="P75" i="20"/>
  <c r="AQ75" i="20" s="1"/>
  <c r="P68" i="20"/>
  <c r="X68" i="20" s="1"/>
  <c r="Y68" i="20" s="1"/>
  <c r="Z68" i="20" s="1"/>
  <c r="P76" i="20"/>
  <c r="AM76" i="20" s="1"/>
  <c r="P79" i="20"/>
  <c r="AM79" i="20" s="1"/>
  <c r="AJ139" i="20"/>
  <c r="AK139" i="20" s="1"/>
  <c r="P71" i="20"/>
  <c r="AM71" i="20" s="1"/>
  <c r="AQ151" i="20"/>
  <c r="AJ191" i="20"/>
  <c r="AK191" i="20" s="1"/>
  <c r="AJ152" i="20"/>
  <c r="AK152" i="20" s="1"/>
  <c r="P108" i="20"/>
  <c r="AA108" i="20" s="1"/>
  <c r="AB108" i="20" s="1"/>
  <c r="P80" i="20"/>
  <c r="Q80" i="20" s="1"/>
  <c r="AS80" i="20" s="1"/>
  <c r="AJ206" i="20"/>
  <c r="AK206" i="20" s="1"/>
  <c r="AJ179" i="20"/>
  <c r="AK179" i="20" s="1"/>
  <c r="AJ167" i="20"/>
  <c r="AK167" i="20" s="1"/>
  <c r="P95" i="20"/>
  <c r="U95" i="20" s="1"/>
  <c r="V95" i="20" s="1"/>
  <c r="W95" i="20" s="1"/>
  <c r="P59" i="20"/>
  <c r="AM59" i="20" s="1"/>
  <c r="AJ103" i="20"/>
  <c r="AK103" i="20" s="1"/>
  <c r="P60" i="20"/>
  <c r="AQ60" i="20" s="1"/>
  <c r="P92" i="20"/>
  <c r="AO92" i="20" s="1"/>
  <c r="AP92" i="20" s="1"/>
  <c r="P91" i="20"/>
  <c r="AM91" i="20" s="1"/>
  <c r="P56" i="20"/>
  <c r="AM56" i="20" s="1"/>
  <c r="P63" i="20"/>
  <c r="AM63" i="20" s="1"/>
  <c r="P40" i="20"/>
  <c r="AF40" i="20" s="1"/>
  <c r="AG40" i="20" s="1"/>
  <c r="B170" i="2"/>
  <c r="B102" i="2"/>
  <c r="B116" i="2" s="1"/>
  <c r="P35" i="20"/>
  <c r="AO35" i="20" s="1"/>
  <c r="AP35" i="20" s="1"/>
  <c r="P47" i="20"/>
  <c r="AA47" i="20" s="1"/>
  <c r="AB47" i="20" s="1"/>
  <c r="P48" i="20"/>
  <c r="AQ48" i="20" s="1"/>
  <c r="P43" i="20"/>
  <c r="AQ43" i="20" s="1"/>
  <c r="P24" i="20"/>
  <c r="AJ24" i="20" s="1"/>
  <c r="AK24" i="20" s="1"/>
  <c r="X196" i="20"/>
  <c r="Y196" i="20" s="1"/>
  <c r="Z196" i="20" s="1"/>
  <c r="X173" i="20"/>
  <c r="Y173" i="20" s="1"/>
  <c r="Z173" i="20" s="1"/>
  <c r="U173" i="20"/>
  <c r="V173" i="20" s="1"/>
  <c r="W173" i="20" s="1"/>
  <c r="Q196" i="20"/>
  <c r="R196" i="20" s="1"/>
  <c r="AH173" i="20"/>
  <c r="P15" i="20"/>
  <c r="AD15" i="20" s="1"/>
  <c r="U167" i="20"/>
  <c r="V167" i="20" s="1"/>
  <c r="W167" i="20" s="1"/>
  <c r="AF146" i="20"/>
  <c r="AG146" i="20" s="1"/>
  <c r="AA172" i="20"/>
  <c r="AB172" i="20" s="1"/>
  <c r="S103" i="20"/>
  <c r="AH151" i="20"/>
  <c r="S179" i="20"/>
  <c r="AA151" i="20"/>
  <c r="AB151" i="20" s="1"/>
  <c r="Q152" i="20"/>
  <c r="R152" i="20" s="1"/>
  <c r="P16" i="20"/>
  <c r="AJ16" i="20" s="1"/>
  <c r="AH139" i="20"/>
  <c r="P11" i="20"/>
  <c r="AD11" i="20" s="1"/>
  <c r="AH20" i="20"/>
  <c r="B149" i="2"/>
  <c r="AD152" i="20"/>
  <c r="AE152" i="20" s="1"/>
  <c r="P28" i="20"/>
  <c r="X28" i="20" s="1"/>
  <c r="Y28" i="20" s="1"/>
  <c r="Z28" i="20" s="1"/>
  <c r="X9" i="20"/>
  <c r="Y9" i="20" s="1"/>
  <c r="Z9" i="20" s="1"/>
  <c r="AD159" i="20"/>
  <c r="AD181" i="20"/>
  <c r="AA167" i="20"/>
  <c r="AB167" i="20" s="1"/>
  <c r="Q179" i="20"/>
  <c r="R179" i="20" s="1"/>
  <c r="B198" i="2"/>
  <c r="E54" i="1" s="1"/>
  <c r="AD204" i="20"/>
  <c r="AO139" i="20"/>
  <c r="AP139" i="20" s="1"/>
  <c r="X206" i="20"/>
  <c r="Y206" i="20" s="1"/>
  <c r="Z206" i="20" s="1"/>
  <c r="AD206" i="20"/>
  <c r="X191" i="20"/>
  <c r="Y191" i="20" s="1"/>
  <c r="Z191" i="20" s="1"/>
  <c r="AD191" i="20"/>
  <c r="AQ70" i="21"/>
  <c r="U69" i="21"/>
  <c r="V69" i="21" s="1"/>
  <c r="W69" i="21" s="1"/>
  <c r="AO69" i="21"/>
  <c r="AP69" i="21" s="1"/>
  <c r="P19" i="20"/>
  <c r="AD19" i="20" s="1"/>
  <c r="AD76" i="20"/>
  <c r="AF103" i="20"/>
  <c r="AO103" i="20"/>
  <c r="AP103" i="20" s="1"/>
  <c r="AH159" i="20"/>
  <c r="S172" i="20"/>
  <c r="AA206" i="20"/>
  <c r="AB206" i="20" s="1"/>
  <c r="AH179" i="20"/>
  <c r="AD179" i="20"/>
  <c r="T193" i="20"/>
  <c r="BI193" i="20" s="1"/>
  <c r="X167" i="20"/>
  <c r="Y167" i="20" s="1"/>
  <c r="Z167" i="20" s="1"/>
  <c r="S167" i="20"/>
  <c r="T167" i="20" s="1"/>
  <c r="BI167" i="20" s="1"/>
  <c r="AA179" i="20"/>
  <c r="AB179" i="20" s="1"/>
  <c r="AS193" i="20"/>
  <c r="AH204" i="20"/>
  <c r="AF167" i="20"/>
  <c r="Q206" i="20"/>
  <c r="AS206" i="20" s="1"/>
  <c r="AF152" i="20"/>
  <c r="AG152" i="20" s="1"/>
  <c r="AA173" i="20"/>
  <c r="AB173" i="20" s="1"/>
  <c r="X139" i="20"/>
  <c r="Y139" i="20" s="1"/>
  <c r="Z139" i="20" s="1"/>
  <c r="AO196" i="20"/>
  <c r="AP196" i="20" s="1"/>
  <c r="AO151" i="20"/>
  <c r="AP151" i="20" s="1"/>
  <c r="S152" i="20"/>
  <c r="S173" i="20"/>
  <c r="U139" i="20"/>
  <c r="V139" i="20" s="1"/>
  <c r="W139" i="20" s="1"/>
  <c r="U196" i="20"/>
  <c r="V196" i="20" s="1"/>
  <c r="W196" i="20" s="1"/>
  <c r="AD151" i="20"/>
  <c r="AF191" i="20"/>
  <c r="AG191" i="20" s="1"/>
  <c r="S191" i="20"/>
  <c r="AF196" i="20"/>
  <c r="AG196" i="20" s="1"/>
  <c r="AI196" i="20" s="1"/>
  <c r="AD80" i="20"/>
  <c r="AH80" i="20"/>
  <c r="M19" i="20"/>
  <c r="AC19" i="20" s="1"/>
  <c r="AF95" i="20"/>
  <c r="AO152" i="20"/>
  <c r="AP152" i="20" s="1"/>
  <c r="AR143" i="20"/>
  <c r="AO173" i="20"/>
  <c r="AP173" i="20" s="1"/>
  <c r="AA139" i="20"/>
  <c r="AB139" i="20" s="1"/>
  <c r="AF139" i="20"/>
  <c r="AA196" i="20"/>
  <c r="AB196" i="20" s="1"/>
  <c r="AF151" i="20"/>
  <c r="AG151" i="20" s="1"/>
  <c r="AR193" i="20"/>
  <c r="X152" i="20"/>
  <c r="Y152" i="20" s="1"/>
  <c r="Z152" i="20" s="1"/>
  <c r="U152" i="20"/>
  <c r="V152" i="20" s="1"/>
  <c r="W152" i="20" s="1"/>
  <c r="AH152" i="20"/>
  <c r="AD173" i="20"/>
  <c r="AD139" i="20"/>
  <c r="S139" i="20"/>
  <c r="T155" i="20"/>
  <c r="BI155" i="20" s="1"/>
  <c r="AD196" i="20"/>
  <c r="S196" i="20"/>
  <c r="U151" i="20"/>
  <c r="V151" i="20" s="1"/>
  <c r="W151" i="20" s="1"/>
  <c r="AA191" i="20"/>
  <c r="AB191" i="20" s="1"/>
  <c r="AH191" i="20"/>
  <c r="U191" i="20"/>
  <c r="V191" i="20" s="1"/>
  <c r="W191" i="20" s="1"/>
  <c r="AR156" i="20"/>
  <c r="AR116" i="20"/>
  <c r="AO55" i="20"/>
  <c r="AP55" i="20" s="1"/>
  <c r="AD108" i="20"/>
  <c r="AD103" i="20"/>
  <c r="AF76" i="20"/>
  <c r="AF108" i="20"/>
  <c r="AF87" i="20"/>
  <c r="M32" i="20"/>
  <c r="AF32" i="20" s="1"/>
  <c r="AG32" i="20" s="1"/>
  <c r="AA87" i="20"/>
  <c r="AB87" i="20" s="1"/>
  <c r="AA103" i="20"/>
  <c r="AB103" i="20" s="1"/>
  <c r="P39" i="20"/>
  <c r="AM39" i="20" s="1"/>
  <c r="AF159" i="20"/>
  <c r="AD172" i="20"/>
  <c r="AH172" i="20"/>
  <c r="AI172" i="20" s="1"/>
  <c r="AF181" i="20"/>
  <c r="AG181" i="20" s="1"/>
  <c r="AI181" i="20" s="1"/>
  <c r="AF204" i="20"/>
  <c r="AO206" i="20"/>
  <c r="AP206" i="20" s="1"/>
  <c r="AF206" i="20"/>
  <c r="X179" i="20"/>
  <c r="Y179" i="20" s="1"/>
  <c r="Z179" i="20" s="1"/>
  <c r="AO179" i="20"/>
  <c r="AP179" i="20" s="1"/>
  <c r="X181" i="20"/>
  <c r="Y181" i="20" s="1"/>
  <c r="Z181" i="20" s="1"/>
  <c r="U181" i="20"/>
  <c r="V181" i="20" s="1"/>
  <c r="W181" i="20" s="1"/>
  <c r="U206" i="20"/>
  <c r="V206" i="20" s="1"/>
  <c r="W206" i="20" s="1"/>
  <c r="S206" i="20"/>
  <c r="AH167" i="20"/>
  <c r="AO167" i="20"/>
  <c r="AP167" i="20" s="1"/>
  <c r="AD167" i="20"/>
  <c r="AS156" i="20"/>
  <c r="AR183" i="20"/>
  <c r="P12" i="20"/>
  <c r="AO12" i="20" s="1"/>
  <c r="AP12" i="20" s="1"/>
  <c r="AH32" i="20"/>
  <c r="AL170" i="20"/>
  <c r="AL121" i="20"/>
  <c r="AL163" i="20"/>
  <c r="AL128" i="20"/>
  <c r="AL152" i="20"/>
  <c r="AL168" i="20"/>
  <c r="AL143" i="20"/>
  <c r="AN143" i="20" s="1"/>
  <c r="AL159" i="20"/>
  <c r="AL209" i="20"/>
  <c r="AL173" i="20"/>
  <c r="AL192" i="20"/>
  <c r="AL200" i="20"/>
  <c r="AL195" i="20"/>
  <c r="AL177" i="20"/>
  <c r="AL202" i="20"/>
  <c r="AL142" i="20"/>
  <c r="AL132" i="20"/>
  <c r="AL140" i="20"/>
  <c r="AL172" i="20"/>
  <c r="AL139" i="20"/>
  <c r="AL181" i="20"/>
  <c r="AL189" i="20"/>
  <c r="AL165" i="20"/>
  <c r="AL196" i="20"/>
  <c r="AL204" i="20"/>
  <c r="AL169" i="20"/>
  <c r="AL114" i="20"/>
  <c r="AL138" i="20"/>
  <c r="AL154" i="20"/>
  <c r="AL129" i="20"/>
  <c r="AL145" i="20"/>
  <c r="AL112" i="20"/>
  <c r="AL119" i="20"/>
  <c r="AL118" i="20"/>
  <c r="AL158" i="20"/>
  <c r="AL157" i="20"/>
  <c r="AL156" i="20"/>
  <c r="AN156" i="20" s="1"/>
  <c r="AL155" i="20"/>
  <c r="AL190" i="20"/>
  <c r="AL198" i="20"/>
  <c r="AL206" i="20"/>
  <c r="AL162" i="20"/>
  <c r="AL178" i="20"/>
  <c r="AL179" i="20"/>
  <c r="AL160" i="20"/>
  <c r="AL176" i="20"/>
  <c r="AL111" i="20"/>
  <c r="AL135" i="20"/>
  <c r="AL175" i="20"/>
  <c r="AL110" i="20"/>
  <c r="AL134" i="20"/>
  <c r="AL150" i="20"/>
  <c r="AL149" i="20"/>
  <c r="AL164" i="20"/>
  <c r="AL123" i="20"/>
  <c r="AL147" i="20"/>
  <c r="AL167" i="20"/>
  <c r="AL197" i="20"/>
  <c r="AL205" i="20"/>
  <c r="AL180" i="20"/>
  <c r="AL188" i="20"/>
  <c r="AL191" i="20"/>
  <c r="AL199" i="20"/>
  <c r="AL207" i="20"/>
  <c r="AL182" i="20"/>
  <c r="AL84" i="20"/>
  <c r="AL96" i="20"/>
  <c r="AL79" i="20"/>
  <c r="AL95" i="20"/>
  <c r="AL144" i="20"/>
  <c r="AL186" i="20"/>
  <c r="AL194" i="20"/>
  <c r="AL174" i="20"/>
  <c r="AL141" i="20"/>
  <c r="AL183" i="20"/>
  <c r="AN183" i="20" s="1"/>
  <c r="AL122" i="20"/>
  <c r="AL130" i="20"/>
  <c r="AL146" i="20"/>
  <c r="AL113" i="20"/>
  <c r="AL137" i="20"/>
  <c r="AL153" i="20"/>
  <c r="AL187" i="20"/>
  <c r="AL120" i="20"/>
  <c r="AL136" i="20"/>
  <c r="AL127" i="20"/>
  <c r="AL151" i="20"/>
  <c r="AL185" i="20"/>
  <c r="AL193" i="20"/>
  <c r="AN193" i="20" s="1"/>
  <c r="AL201" i="20"/>
  <c r="AL184" i="20"/>
  <c r="AL208" i="20"/>
  <c r="AL203" i="20"/>
  <c r="AL161" i="20"/>
  <c r="AL126" i="20"/>
  <c r="AL166" i="20"/>
  <c r="AL117" i="20"/>
  <c r="AL125" i="20"/>
  <c r="AL133" i="20"/>
  <c r="AL171" i="20"/>
  <c r="AN171" i="20" s="1"/>
  <c r="AL116" i="20"/>
  <c r="AN116" i="20" s="1"/>
  <c r="AL124" i="20"/>
  <c r="AL148" i="20"/>
  <c r="AL115" i="20"/>
  <c r="AL131" i="20"/>
  <c r="AL108" i="20"/>
  <c r="AL103" i="20"/>
  <c r="AL92" i="20"/>
  <c r="AL83" i="20"/>
  <c r="AL101" i="20"/>
  <c r="AL86" i="20"/>
  <c r="AL89" i="20"/>
  <c r="AL82" i="20"/>
  <c r="AL90" i="20"/>
  <c r="AL85" i="20"/>
  <c r="X163" i="20"/>
  <c r="Y163" i="20" s="1"/>
  <c r="Z163" i="20" s="1"/>
  <c r="AM163" i="20"/>
  <c r="AQ163" i="20"/>
  <c r="X195" i="20"/>
  <c r="Y195" i="20" s="1"/>
  <c r="Z195" i="20" s="1"/>
  <c r="AM195" i="20"/>
  <c r="AQ195" i="20"/>
  <c r="X174" i="20"/>
  <c r="Y174" i="20" s="1"/>
  <c r="Z174" i="20" s="1"/>
  <c r="AQ174" i="20"/>
  <c r="AM174" i="20"/>
  <c r="AJ174" i="20"/>
  <c r="AK174" i="20" s="1"/>
  <c r="X157" i="20"/>
  <c r="Y157" i="20" s="1"/>
  <c r="Z157" i="20" s="1"/>
  <c r="AM157" i="20"/>
  <c r="AQ157" i="20"/>
  <c r="AJ157" i="20"/>
  <c r="AK157" i="20" s="1"/>
  <c r="AF165" i="20"/>
  <c r="AG165" i="20" s="1"/>
  <c r="AM165" i="20"/>
  <c r="AQ165" i="20"/>
  <c r="X169" i="20"/>
  <c r="Y169" i="20" s="1"/>
  <c r="Z169" i="20" s="1"/>
  <c r="AM169" i="20"/>
  <c r="AQ169" i="20"/>
  <c r="X187" i="20"/>
  <c r="Y187" i="20" s="1"/>
  <c r="Z187" i="20" s="1"/>
  <c r="AM187" i="20"/>
  <c r="AQ187" i="20"/>
  <c r="AF176" i="20"/>
  <c r="AG176" i="20" s="1"/>
  <c r="AM176" i="20"/>
  <c r="AQ176" i="20"/>
  <c r="AA175" i="20"/>
  <c r="AB175" i="20" s="1"/>
  <c r="AM175" i="20"/>
  <c r="AQ175" i="20"/>
  <c r="AJ149" i="20"/>
  <c r="AK149" i="20" s="1"/>
  <c r="AM149" i="20"/>
  <c r="X200" i="20"/>
  <c r="Y200" i="20" s="1"/>
  <c r="Z200" i="20" s="1"/>
  <c r="AM200" i="20"/>
  <c r="AQ200" i="20"/>
  <c r="X186" i="20"/>
  <c r="Y186" i="20" s="1"/>
  <c r="Z186" i="20" s="1"/>
  <c r="AM186" i="20"/>
  <c r="AQ186" i="20"/>
  <c r="AJ132" i="20"/>
  <c r="AK132" i="20" s="1"/>
  <c r="AM132" i="20"/>
  <c r="X189" i="20"/>
  <c r="Y189" i="20" s="1"/>
  <c r="Z189" i="20" s="1"/>
  <c r="AM189" i="20"/>
  <c r="AQ189" i="20"/>
  <c r="X198" i="20"/>
  <c r="Y198" i="20" s="1"/>
  <c r="Z198" i="20" s="1"/>
  <c r="AM198" i="20"/>
  <c r="AQ198" i="20"/>
  <c r="X178" i="20"/>
  <c r="Y178" i="20" s="1"/>
  <c r="Z178" i="20" s="1"/>
  <c r="AM178" i="20"/>
  <c r="AQ178" i="20"/>
  <c r="X201" i="20"/>
  <c r="Y201" i="20" s="1"/>
  <c r="Z201" i="20" s="1"/>
  <c r="AM201" i="20"/>
  <c r="AQ201" i="20"/>
  <c r="AJ201" i="20"/>
  <c r="AK201" i="20" s="1"/>
  <c r="AM164" i="20"/>
  <c r="AQ164" i="20"/>
  <c r="X197" i="20"/>
  <c r="Y197" i="20" s="1"/>
  <c r="Z197" i="20" s="1"/>
  <c r="AM197" i="20"/>
  <c r="AQ197" i="20"/>
  <c r="X180" i="20"/>
  <c r="Y180" i="20" s="1"/>
  <c r="Z180" i="20" s="1"/>
  <c r="AM180" i="20"/>
  <c r="AJ180" i="20"/>
  <c r="AK180" i="20" s="1"/>
  <c r="AQ180" i="20"/>
  <c r="X182" i="20"/>
  <c r="Y182" i="20" s="1"/>
  <c r="Z182" i="20" s="1"/>
  <c r="AM182" i="20"/>
  <c r="AQ182" i="20"/>
  <c r="X203" i="20"/>
  <c r="Y203" i="20" s="1"/>
  <c r="Z203" i="20" s="1"/>
  <c r="AM203" i="20"/>
  <c r="AQ203" i="20"/>
  <c r="AJ203" i="20"/>
  <c r="AK203" i="20" s="1"/>
  <c r="X166" i="20"/>
  <c r="Y166" i="20" s="1"/>
  <c r="Z166" i="20" s="1"/>
  <c r="AM166" i="20"/>
  <c r="AQ166" i="20"/>
  <c r="AJ166" i="20"/>
  <c r="AK166" i="20" s="1"/>
  <c r="X188" i="20"/>
  <c r="Y188" i="20" s="1"/>
  <c r="Z188" i="20" s="1"/>
  <c r="AM188" i="20"/>
  <c r="AQ188" i="20"/>
  <c r="AL107" i="20"/>
  <c r="AL88" i="20"/>
  <c r="AL100" i="20"/>
  <c r="AL99" i="20"/>
  <c r="Q159" i="20"/>
  <c r="AM159" i="20"/>
  <c r="AQ159" i="20"/>
  <c r="Q172" i="20"/>
  <c r="AM172" i="20"/>
  <c r="AQ172" i="20"/>
  <c r="AM181" i="20"/>
  <c r="AQ181" i="20"/>
  <c r="AM204" i="20"/>
  <c r="AQ204" i="20"/>
  <c r="AJ198" i="20"/>
  <c r="AK198" i="20" s="1"/>
  <c r="AJ178" i="20"/>
  <c r="AK178" i="20" s="1"/>
  <c r="Q151" i="20"/>
  <c r="AM151" i="20"/>
  <c r="AJ164" i="20"/>
  <c r="AK164" i="20" s="1"/>
  <c r="AJ163" i="20"/>
  <c r="AK163" i="20" s="1"/>
  <c r="AJ200" i="20"/>
  <c r="AK200" i="20" s="1"/>
  <c r="AJ186" i="20"/>
  <c r="AK186" i="20" s="1"/>
  <c r="AJ188" i="20"/>
  <c r="AK188" i="20" s="1"/>
  <c r="AJ182" i="20"/>
  <c r="AK182" i="20" s="1"/>
  <c r="U32" i="20"/>
  <c r="V32" i="20" s="1"/>
  <c r="W32" i="20" s="1"/>
  <c r="AL109" i="20"/>
  <c r="P66" i="20"/>
  <c r="AM66" i="20" s="1"/>
  <c r="P74" i="20"/>
  <c r="AM74" i="20" s="1"/>
  <c r="P82" i="20"/>
  <c r="AM82" i="20" s="1"/>
  <c r="P90" i="20"/>
  <c r="S90" i="20" s="1"/>
  <c r="P98" i="20"/>
  <c r="U98" i="20" s="1"/>
  <c r="V98" i="20" s="1"/>
  <c r="W98" i="20" s="1"/>
  <c r="P106" i="20"/>
  <c r="U106" i="20" s="1"/>
  <c r="V106" i="20" s="1"/>
  <c r="W106" i="20" s="1"/>
  <c r="P69" i="20"/>
  <c r="P77" i="20"/>
  <c r="AM77" i="20" s="1"/>
  <c r="P85" i="20"/>
  <c r="AJ85" i="20" s="1"/>
  <c r="AK85" i="20" s="1"/>
  <c r="P93" i="20"/>
  <c r="AO93" i="20" s="1"/>
  <c r="AP93" i="20" s="1"/>
  <c r="P101" i="20"/>
  <c r="AQ101" i="20" s="1"/>
  <c r="P109" i="20"/>
  <c r="AD109" i="20" s="1"/>
  <c r="AL94" i="20"/>
  <c r="AL97" i="20"/>
  <c r="AL98" i="20"/>
  <c r="AL106" i="20"/>
  <c r="AL102" i="20"/>
  <c r="AL93" i="20"/>
  <c r="AL105" i="20"/>
  <c r="AL81" i="20"/>
  <c r="P52" i="20"/>
  <c r="AF52" i="20" s="1"/>
  <c r="AG52" i="20" s="1"/>
  <c r="X168" i="20"/>
  <c r="Y168" i="20" s="1"/>
  <c r="Z168" i="20" s="1"/>
  <c r="AM168" i="20"/>
  <c r="AQ168" i="20"/>
  <c r="AA159" i="20"/>
  <c r="AB159" i="20" s="1"/>
  <c r="X192" i="20"/>
  <c r="Y192" i="20" s="1"/>
  <c r="Z192" i="20" s="1"/>
  <c r="AM192" i="20"/>
  <c r="AQ192" i="20"/>
  <c r="AA202" i="20"/>
  <c r="AB202" i="20" s="1"/>
  <c r="AM202" i="20"/>
  <c r="AQ202" i="20"/>
  <c r="X172" i="20"/>
  <c r="Y172" i="20" s="1"/>
  <c r="Z172" i="20" s="1"/>
  <c r="U172" i="20"/>
  <c r="V172" i="20" s="1"/>
  <c r="W172" i="20" s="1"/>
  <c r="Q181" i="20"/>
  <c r="R181" i="20" s="1"/>
  <c r="AA181" i="20"/>
  <c r="AB181" i="20" s="1"/>
  <c r="X204" i="20"/>
  <c r="Y204" i="20" s="1"/>
  <c r="Z204" i="20" s="1"/>
  <c r="AA204" i="20"/>
  <c r="AB204" i="20" s="1"/>
  <c r="X190" i="20"/>
  <c r="Y190" i="20" s="1"/>
  <c r="Z190" i="20" s="1"/>
  <c r="AM190" i="20"/>
  <c r="AQ190" i="20"/>
  <c r="AJ190" i="20"/>
  <c r="AK190" i="20" s="1"/>
  <c r="AA160" i="20"/>
  <c r="AB160" i="20" s="1"/>
  <c r="AM160" i="20"/>
  <c r="AQ160" i="20"/>
  <c r="X151" i="20"/>
  <c r="Y151" i="20" s="1"/>
  <c r="Z151" i="20" s="1"/>
  <c r="AM184" i="20"/>
  <c r="AQ184" i="20"/>
  <c r="AJ184" i="20"/>
  <c r="AK184" i="20" s="1"/>
  <c r="X170" i="20"/>
  <c r="Y170" i="20" s="1"/>
  <c r="Z170" i="20" s="1"/>
  <c r="AM170" i="20"/>
  <c r="AQ170" i="20"/>
  <c r="X159" i="20"/>
  <c r="Y159" i="20" s="1"/>
  <c r="Z159" i="20" s="1"/>
  <c r="U159" i="20"/>
  <c r="V159" i="20" s="1"/>
  <c r="W159" i="20" s="1"/>
  <c r="X209" i="20"/>
  <c r="Y209" i="20" s="1"/>
  <c r="Z209" i="20" s="1"/>
  <c r="AM209" i="20"/>
  <c r="AQ209" i="20"/>
  <c r="X177" i="20"/>
  <c r="Y177" i="20" s="1"/>
  <c r="Z177" i="20" s="1"/>
  <c r="AM177" i="20"/>
  <c r="AQ177" i="20"/>
  <c r="X194" i="20"/>
  <c r="Y194" i="20" s="1"/>
  <c r="Z194" i="20" s="1"/>
  <c r="AM194" i="20"/>
  <c r="AQ194" i="20"/>
  <c r="X158" i="20"/>
  <c r="Y158" i="20" s="1"/>
  <c r="Z158" i="20" s="1"/>
  <c r="AQ158" i="20"/>
  <c r="AM158" i="20"/>
  <c r="AJ158" i="20"/>
  <c r="AK158" i="20" s="1"/>
  <c r="S181" i="20"/>
  <c r="U204" i="20"/>
  <c r="V204" i="20" s="1"/>
  <c r="W204" i="20" s="1"/>
  <c r="Q204" i="20"/>
  <c r="R204" i="20" s="1"/>
  <c r="T204" i="20" s="1"/>
  <c r="X162" i="20"/>
  <c r="Y162" i="20" s="1"/>
  <c r="Z162" i="20" s="1"/>
  <c r="AM162" i="20"/>
  <c r="AQ162" i="20"/>
  <c r="X185" i="20"/>
  <c r="Y185" i="20" s="1"/>
  <c r="Z185" i="20" s="1"/>
  <c r="AM185" i="20"/>
  <c r="AQ185" i="20"/>
  <c r="AQ148" i="20"/>
  <c r="AM148" i="20"/>
  <c r="X205" i="20"/>
  <c r="Y205" i="20" s="1"/>
  <c r="Z205" i="20" s="1"/>
  <c r="AM205" i="20"/>
  <c r="AQ205" i="20"/>
  <c r="X207" i="20"/>
  <c r="Y207" i="20" s="1"/>
  <c r="Z207" i="20" s="1"/>
  <c r="AM207" i="20"/>
  <c r="AQ207" i="20"/>
  <c r="X208" i="20"/>
  <c r="Y208" i="20" s="1"/>
  <c r="Z208" i="20" s="1"/>
  <c r="AM208" i="20"/>
  <c r="AQ208" i="20"/>
  <c r="AJ208" i="20"/>
  <c r="AK208" i="20" s="1"/>
  <c r="X161" i="20"/>
  <c r="Y161" i="20" s="1"/>
  <c r="Z161" i="20" s="1"/>
  <c r="AM161" i="20"/>
  <c r="AQ161" i="20"/>
  <c r="AJ161" i="20"/>
  <c r="AK161" i="20" s="1"/>
  <c r="AR171" i="20"/>
  <c r="X199" i="20"/>
  <c r="Y199" i="20" s="1"/>
  <c r="Z199" i="20" s="1"/>
  <c r="AM199" i="20"/>
  <c r="AQ199" i="20"/>
  <c r="AO181" i="20"/>
  <c r="AP181" i="20" s="1"/>
  <c r="AO204" i="20"/>
  <c r="AP204" i="20" s="1"/>
  <c r="AO159" i="20"/>
  <c r="AP159" i="20" s="1"/>
  <c r="AO172" i="20"/>
  <c r="AP172" i="20" s="1"/>
  <c r="AL91" i="20"/>
  <c r="P44" i="20"/>
  <c r="S44" i="20" s="1"/>
  <c r="AL104" i="20"/>
  <c r="AL80" i="20"/>
  <c r="AL87" i="20"/>
  <c r="AJ151" i="20"/>
  <c r="AK151" i="20" s="1"/>
  <c r="AQ152" i="20"/>
  <c r="AM152" i="20"/>
  <c r="AF173" i="20"/>
  <c r="AG173" i="20" s="1"/>
  <c r="AM173" i="20"/>
  <c r="AQ173" i="20"/>
  <c r="AM139" i="20"/>
  <c r="AQ139" i="20"/>
  <c r="AM196" i="20"/>
  <c r="AQ196" i="20"/>
  <c r="AJ168" i="20"/>
  <c r="AK168" i="20" s="1"/>
  <c r="AJ159" i="20"/>
  <c r="AK159" i="20" s="1"/>
  <c r="AJ209" i="20"/>
  <c r="AK209" i="20" s="1"/>
  <c r="AJ173" i="20"/>
  <c r="AJ192" i="20"/>
  <c r="AK192" i="20" s="1"/>
  <c r="AJ195" i="20"/>
  <c r="AK195" i="20" s="1"/>
  <c r="AJ177" i="20"/>
  <c r="AK177" i="20" s="1"/>
  <c r="AJ181" i="20"/>
  <c r="AK181" i="20" s="1"/>
  <c r="AJ196" i="20"/>
  <c r="AK196" i="20" s="1"/>
  <c r="AJ169" i="20"/>
  <c r="AK169" i="20" s="1"/>
  <c r="AM206" i="20"/>
  <c r="AQ206" i="20"/>
  <c r="AJ162" i="20"/>
  <c r="AK162" i="20" s="1"/>
  <c r="AF179" i="20"/>
  <c r="AG179" i="20" s="1"/>
  <c r="AM179" i="20"/>
  <c r="AQ179" i="20"/>
  <c r="AJ187" i="20"/>
  <c r="AK187" i="20" s="1"/>
  <c r="AJ176" i="20"/>
  <c r="AK176" i="20" s="1"/>
  <c r="AJ175" i="20"/>
  <c r="AK175" i="20" s="1"/>
  <c r="AM167" i="20"/>
  <c r="AQ167" i="20"/>
  <c r="AJ197" i="20"/>
  <c r="AK197" i="20" s="1"/>
  <c r="AO191" i="20"/>
  <c r="AP191" i="20" s="1"/>
  <c r="AM191" i="20"/>
  <c r="AQ191" i="20"/>
  <c r="AJ194" i="20"/>
  <c r="AK194" i="20" s="1"/>
  <c r="AJ202" i="20"/>
  <c r="AK202" i="20" s="1"/>
  <c r="AJ172" i="20"/>
  <c r="AK172" i="20" s="1"/>
  <c r="AJ189" i="20"/>
  <c r="AK189" i="20" s="1"/>
  <c r="AJ165" i="20"/>
  <c r="AK165" i="20" s="1"/>
  <c r="AJ204" i="20"/>
  <c r="AK204" i="20" s="1"/>
  <c r="AF67" i="20"/>
  <c r="P62" i="20"/>
  <c r="AM62" i="20" s="1"/>
  <c r="P70" i="20"/>
  <c r="AM70" i="20" s="1"/>
  <c r="P78" i="20"/>
  <c r="AM78" i="20" s="1"/>
  <c r="P86" i="20"/>
  <c r="S86" i="20" s="1"/>
  <c r="P94" i="20"/>
  <c r="AO94" i="20" s="1"/>
  <c r="AP94" i="20" s="1"/>
  <c r="P102" i="20"/>
  <c r="AH102" i="20" s="1"/>
  <c r="P73" i="20"/>
  <c r="AM73" i="20" s="1"/>
  <c r="P81" i="20"/>
  <c r="AD81" i="20" s="1"/>
  <c r="P89" i="20"/>
  <c r="AA89" i="20" s="1"/>
  <c r="AB89" i="20" s="1"/>
  <c r="P97" i="20"/>
  <c r="AJ97" i="20" s="1"/>
  <c r="AK97" i="20" s="1"/>
  <c r="P105" i="20"/>
  <c r="AO105" i="20" s="1"/>
  <c r="AP105" i="20" s="1"/>
  <c r="X128" i="20"/>
  <c r="Y128" i="20" s="1"/>
  <c r="Z128" i="20" s="1"/>
  <c r="AQ128" i="20"/>
  <c r="AJ128" i="20"/>
  <c r="AK128" i="20" s="1"/>
  <c r="X141" i="20"/>
  <c r="Y141" i="20" s="1"/>
  <c r="Z141" i="20" s="1"/>
  <c r="AQ141" i="20"/>
  <c r="X140" i="20"/>
  <c r="Y140" i="20" s="1"/>
  <c r="Z140" i="20" s="1"/>
  <c r="AQ140" i="20"/>
  <c r="X113" i="20"/>
  <c r="Y113" i="20" s="1"/>
  <c r="Z113" i="20" s="1"/>
  <c r="AJ113" i="20"/>
  <c r="AK113" i="20" s="1"/>
  <c r="AQ113" i="20"/>
  <c r="X126" i="20"/>
  <c r="Y126" i="20" s="1"/>
  <c r="Z126" i="20" s="1"/>
  <c r="AJ126" i="20"/>
  <c r="AK126" i="20" s="1"/>
  <c r="AQ126" i="20"/>
  <c r="X133" i="20"/>
  <c r="Y133" i="20" s="1"/>
  <c r="Z133" i="20" s="1"/>
  <c r="AQ133" i="20"/>
  <c r="X138" i="20"/>
  <c r="Y138" i="20" s="1"/>
  <c r="Z138" i="20" s="1"/>
  <c r="AQ138" i="20"/>
  <c r="AJ138" i="20"/>
  <c r="AK138" i="20" s="1"/>
  <c r="X129" i="20"/>
  <c r="Y129" i="20" s="1"/>
  <c r="Z129" i="20" s="1"/>
  <c r="AQ129" i="20"/>
  <c r="AJ129" i="20"/>
  <c r="AK129" i="20" s="1"/>
  <c r="X119" i="20"/>
  <c r="Y119" i="20" s="1"/>
  <c r="Z119" i="20" s="1"/>
  <c r="AQ119" i="20"/>
  <c r="AJ119" i="20"/>
  <c r="AK119" i="20" s="1"/>
  <c r="X130" i="20"/>
  <c r="Y130" i="20" s="1"/>
  <c r="Z130" i="20" s="1"/>
  <c r="AJ130" i="20"/>
  <c r="AK130" i="20" s="1"/>
  <c r="AQ130" i="20"/>
  <c r="X137" i="20"/>
  <c r="Y137" i="20" s="1"/>
  <c r="Z137" i="20" s="1"/>
  <c r="AJ137" i="20"/>
  <c r="AK137" i="20" s="1"/>
  <c r="AQ137" i="20"/>
  <c r="X120" i="20"/>
  <c r="Y120" i="20" s="1"/>
  <c r="Z120" i="20" s="1"/>
  <c r="AQ120" i="20"/>
  <c r="X127" i="20"/>
  <c r="Y127" i="20" s="1"/>
  <c r="Z127" i="20" s="1"/>
  <c r="AQ127" i="20"/>
  <c r="AJ127" i="20"/>
  <c r="AK127" i="20" s="1"/>
  <c r="X123" i="20"/>
  <c r="Y123" i="20" s="1"/>
  <c r="Z123" i="20" s="1"/>
  <c r="AQ123" i="20"/>
  <c r="X147" i="20"/>
  <c r="Y147" i="20" s="1"/>
  <c r="Z147" i="20" s="1"/>
  <c r="AJ147" i="20"/>
  <c r="AK147" i="20" s="1"/>
  <c r="AQ147" i="20"/>
  <c r="X150" i="20"/>
  <c r="Y150" i="20" s="1"/>
  <c r="Z150" i="20" s="1"/>
  <c r="AQ150" i="20"/>
  <c r="X117" i="20"/>
  <c r="Y117" i="20" s="1"/>
  <c r="Z117" i="20" s="1"/>
  <c r="AQ117" i="20"/>
  <c r="AO91" i="20"/>
  <c r="AP91" i="20" s="1"/>
  <c r="AM96" i="20"/>
  <c r="AF83" i="20"/>
  <c r="AG83" i="20" s="1"/>
  <c r="AM83" i="20"/>
  <c r="AJ141" i="20"/>
  <c r="AK141" i="20" s="1"/>
  <c r="AJ150" i="20"/>
  <c r="AK150" i="20" s="1"/>
  <c r="AJ133" i="20"/>
  <c r="AK133" i="20" s="1"/>
  <c r="AJ148" i="20"/>
  <c r="AK148" i="20" s="1"/>
  <c r="AJ123" i="20"/>
  <c r="AK123" i="20" s="1"/>
  <c r="X144" i="20"/>
  <c r="Y144" i="20" s="1"/>
  <c r="Z144" i="20" s="1"/>
  <c r="AQ144" i="20"/>
  <c r="AJ144" i="20"/>
  <c r="AK144" i="20" s="1"/>
  <c r="X153" i="20"/>
  <c r="Y153" i="20" s="1"/>
  <c r="Z153" i="20" s="1"/>
  <c r="AJ153" i="20"/>
  <c r="AK153" i="20" s="1"/>
  <c r="AQ153" i="20"/>
  <c r="X135" i="20"/>
  <c r="Y135" i="20" s="1"/>
  <c r="Z135" i="20" s="1"/>
  <c r="AJ135" i="20"/>
  <c r="AK135" i="20" s="1"/>
  <c r="AQ135" i="20"/>
  <c r="X125" i="20"/>
  <c r="Y125" i="20" s="1"/>
  <c r="Z125" i="20" s="1"/>
  <c r="AQ125" i="20"/>
  <c r="X149" i="20"/>
  <c r="Y149" i="20" s="1"/>
  <c r="Z149" i="20" s="1"/>
  <c r="AQ149" i="20"/>
  <c r="X114" i="20"/>
  <c r="Y114" i="20" s="1"/>
  <c r="Z114" i="20" s="1"/>
  <c r="AQ114" i="20"/>
  <c r="AJ114" i="20"/>
  <c r="AK114" i="20" s="1"/>
  <c r="X154" i="20"/>
  <c r="Y154" i="20" s="1"/>
  <c r="Z154" i="20" s="1"/>
  <c r="AQ154" i="20"/>
  <c r="AJ154" i="20"/>
  <c r="AK154" i="20" s="1"/>
  <c r="X121" i="20"/>
  <c r="Y121" i="20" s="1"/>
  <c r="Z121" i="20" s="1"/>
  <c r="AQ121" i="20"/>
  <c r="AJ121" i="20"/>
  <c r="AK121" i="20" s="1"/>
  <c r="X145" i="20"/>
  <c r="Y145" i="20" s="1"/>
  <c r="Z145" i="20" s="1"/>
  <c r="AQ145" i="20"/>
  <c r="AJ145" i="20"/>
  <c r="AK145" i="20" s="1"/>
  <c r="X142" i="20"/>
  <c r="Y142" i="20" s="1"/>
  <c r="Z142" i="20" s="1"/>
  <c r="AQ142" i="20"/>
  <c r="X132" i="20"/>
  <c r="Y132" i="20" s="1"/>
  <c r="Z132" i="20" s="1"/>
  <c r="AQ132" i="20"/>
  <c r="X122" i="20"/>
  <c r="Y122" i="20" s="1"/>
  <c r="Z122" i="20" s="1"/>
  <c r="AQ122" i="20"/>
  <c r="X146" i="20"/>
  <c r="Y146" i="20" s="1"/>
  <c r="Z146" i="20" s="1"/>
  <c r="AJ146" i="20"/>
  <c r="AK146" i="20" s="1"/>
  <c r="AQ146" i="20"/>
  <c r="X136" i="20"/>
  <c r="Y136" i="20" s="1"/>
  <c r="Z136" i="20" s="1"/>
  <c r="AJ136" i="20"/>
  <c r="AK136" i="20" s="1"/>
  <c r="AQ136" i="20"/>
  <c r="X124" i="20"/>
  <c r="Y124" i="20" s="1"/>
  <c r="Z124" i="20" s="1"/>
  <c r="AJ124" i="20"/>
  <c r="AK124" i="20" s="1"/>
  <c r="AQ124" i="20"/>
  <c r="X131" i="20"/>
  <c r="Y131" i="20" s="1"/>
  <c r="Z131" i="20" s="1"/>
  <c r="AQ131" i="20"/>
  <c r="X134" i="20"/>
  <c r="Y134" i="20" s="1"/>
  <c r="Z134" i="20" s="1"/>
  <c r="AQ134" i="20"/>
  <c r="X115" i="20"/>
  <c r="Y115" i="20" s="1"/>
  <c r="Z115" i="20" s="1"/>
  <c r="AQ115" i="20"/>
  <c r="P107" i="20"/>
  <c r="Q107" i="20" s="1"/>
  <c r="AS107" i="20" s="1"/>
  <c r="P104" i="20"/>
  <c r="AF104" i="20" s="1"/>
  <c r="P88" i="20"/>
  <c r="X88" i="20" s="1"/>
  <c r="Y88" i="20" s="1"/>
  <c r="Z88" i="20" s="1"/>
  <c r="AQ100" i="20"/>
  <c r="AR100" i="20" s="1"/>
  <c r="AQ103" i="20"/>
  <c r="AM103" i="20"/>
  <c r="AJ142" i="20"/>
  <c r="AK142" i="20" s="1"/>
  <c r="AJ140" i="20"/>
  <c r="AK140" i="20" s="1"/>
  <c r="AJ122" i="20"/>
  <c r="AK122" i="20" s="1"/>
  <c r="AJ120" i="20"/>
  <c r="AK120" i="20" s="1"/>
  <c r="AJ134" i="20"/>
  <c r="AK134" i="20" s="1"/>
  <c r="AJ117" i="20"/>
  <c r="AK117" i="20" s="1"/>
  <c r="AJ125" i="20"/>
  <c r="AK125" i="20" s="1"/>
  <c r="AJ115" i="20"/>
  <c r="AK115" i="20" s="1"/>
  <c r="AJ131" i="20"/>
  <c r="AK131" i="20" s="1"/>
  <c r="P17" i="20"/>
  <c r="AD17" i="20" s="1"/>
  <c r="B178" i="2"/>
  <c r="B160" i="2"/>
  <c r="B167" i="2"/>
  <c r="AD16" i="20"/>
  <c r="AO9" i="20"/>
  <c r="AP9" i="20" s="1"/>
  <c r="P23" i="20"/>
  <c r="P10" i="20"/>
  <c r="AD10" i="20" s="1"/>
  <c r="P13" i="20"/>
  <c r="AD13" i="20" s="1"/>
  <c r="P14" i="20"/>
  <c r="AD14" i="20" s="1"/>
  <c r="AF9" i="20"/>
  <c r="AG9" i="20" s="1"/>
  <c r="S96" i="20"/>
  <c r="X32" i="20"/>
  <c r="Y32" i="20" s="1"/>
  <c r="Z32" i="20" s="1"/>
  <c r="AF80" i="20"/>
  <c r="AG80" i="20" s="1"/>
  <c r="M28" i="20"/>
  <c r="P36" i="20"/>
  <c r="AF36" i="20" s="1"/>
  <c r="AG36" i="20" s="1"/>
  <c r="Q68" i="20"/>
  <c r="AS68" i="20" s="1"/>
  <c r="X20" i="20"/>
  <c r="Y20" i="20" s="1"/>
  <c r="Z20" i="20" s="1"/>
  <c r="AF71" i="20"/>
  <c r="AG71" i="20" s="1"/>
  <c r="AF79" i="20"/>
  <c r="AI143" i="20"/>
  <c r="AE156" i="20"/>
  <c r="T156" i="20"/>
  <c r="BI156" i="20" s="1"/>
  <c r="AV156" i="20"/>
  <c r="BL156" i="20" s="1"/>
  <c r="AJ27" i="20"/>
  <c r="AK27" i="20" s="1"/>
  <c r="X111" i="20"/>
  <c r="Y111" i="20" s="1"/>
  <c r="Z111" i="20" s="1"/>
  <c r="AQ111" i="20"/>
  <c r="AJ111" i="20"/>
  <c r="AK111" i="20" s="1"/>
  <c r="X112" i="20"/>
  <c r="Y112" i="20" s="1"/>
  <c r="Z112" i="20" s="1"/>
  <c r="AQ112" i="20"/>
  <c r="X110" i="20"/>
  <c r="Y110" i="20" s="1"/>
  <c r="Z110" i="20" s="1"/>
  <c r="AQ110" i="20"/>
  <c r="AJ110" i="20"/>
  <c r="AK110" i="20" s="1"/>
  <c r="AJ112" i="20"/>
  <c r="AK112" i="20" s="1"/>
  <c r="P65" i="20"/>
  <c r="AM65" i="20" s="1"/>
  <c r="AO99" i="20"/>
  <c r="AP99" i="20" s="1"/>
  <c r="P72" i="20"/>
  <c r="S72" i="20" s="1"/>
  <c r="M88" i="20"/>
  <c r="AA199" i="20"/>
  <c r="AB199" i="20" s="1"/>
  <c r="AF188" i="20"/>
  <c r="AG188" i="20" s="1"/>
  <c r="AF35" i="21"/>
  <c r="AG35" i="21" s="1"/>
  <c r="U20" i="20"/>
  <c r="V20" i="20" s="1"/>
  <c r="W20" i="20" s="1"/>
  <c r="AO27" i="20"/>
  <c r="AP27" i="20" s="1"/>
  <c r="M23" i="20"/>
  <c r="AC23" i="20" s="1"/>
  <c r="M20" i="20"/>
  <c r="AF20" i="20" s="1"/>
  <c r="AG20" i="20" s="1"/>
  <c r="S35" i="21"/>
  <c r="AQ27" i="20"/>
  <c r="AO60" i="20"/>
  <c r="AP60" i="20" s="1"/>
  <c r="AF67" i="21"/>
  <c r="AH47" i="21"/>
  <c r="AH82" i="21"/>
  <c r="AM27" i="20"/>
  <c r="AF60" i="20"/>
  <c r="AE183" i="20"/>
  <c r="AE116" i="20"/>
  <c r="AF81" i="21"/>
  <c r="AG81" i="21" s="1"/>
  <c r="AF68" i="21"/>
  <c r="AG68" i="21" s="1"/>
  <c r="AI68" i="21" s="1"/>
  <c r="AH35" i="21"/>
  <c r="AH81" i="21"/>
  <c r="AM56" i="21"/>
  <c r="Q27" i="20"/>
  <c r="AS27" i="20" s="1"/>
  <c r="AC27" i="20"/>
  <c r="AA27" i="20"/>
  <c r="AB27" i="20" s="1"/>
  <c r="AF27" i="20"/>
  <c r="AF24" i="20"/>
  <c r="AC24" i="20"/>
  <c r="AC28" i="20"/>
  <c r="AH83" i="20"/>
  <c r="AF63" i="20"/>
  <c r="AG63" i="20" s="1"/>
  <c r="AF76" i="21"/>
  <c r="AG76" i="21" s="1"/>
  <c r="AH97" i="21"/>
  <c r="AJ51" i="20"/>
  <c r="AK51" i="20" s="1"/>
  <c r="AF51" i="20"/>
  <c r="AQ51" i="20"/>
  <c r="AA185" i="20"/>
  <c r="AB185" i="20" s="1"/>
  <c r="AF98" i="21"/>
  <c r="AG98" i="21" s="1"/>
  <c r="AI98" i="21" s="1"/>
  <c r="AF101" i="21"/>
  <c r="AG101" i="21" s="1"/>
  <c r="AH45" i="21"/>
  <c r="AH105" i="21"/>
  <c r="AA119" i="20"/>
  <c r="AB119" i="20" s="1"/>
  <c r="S55" i="20"/>
  <c r="X83" i="20"/>
  <c r="Y83" i="20" s="1"/>
  <c r="Z83" i="20" s="1"/>
  <c r="P31" i="20"/>
  <c r="AD31" i="20" s="1"/>
  <c r="P33" i="20"/>
  <c r="AD33" i="20" s="1"/>
  <c r="AA63" i="20"/>
  <c r="AB63" i="20" s="1"/>
  <c r="AA200" i="20"/>
  <c r="AB200" i="20" s="1"/>
  <c r="AA198" i="20"/>
  <c r="AB198" i="20" s="1"/>
  <c r="AA203" i="20"/>
  <c r="AB203" i="20" s="1"/>
  <c r="AF90" i="21"/>
  <c r="AG90" i="21" s="1"/>
  <c r="AF106" i="21"/>
  <c r="AG106" i="21" s="1"/>
  <c r="AF45" i="21"/>
  <c r="AG45" i="21" s="1"/>
  <c r="AH90" i="21"/>
  <c r="AH43" i="21"/>
  <c r="AH106" i="21"/>
  <c r="AH83" i="21"/>
  <c r="AH93" i="21"/>
  <c r="AH101" i="21"/>
  <c r="AH109" i="21"/>
  <c r="AD22" i="20"/>
  <c r="AQ22" i="20"/>
  <c r="P25" i="20"/>
  <c r="AD25" i="20" s="1"/>
  <c r="P29" i="20"/>
  <c r="AQ29" i="20" s="1"/>
  <c r="AF12" i="20"/>
  <c r="AG12" i="20" s="1"/>
  <c r="P21" i="20"/>
  <c r="AD21" i="20" s="1"/>
  <c r="P26" i="20"/>
  <c r="AH26" i="20" s="1"/>
  <c r="P18" i="20"/>
  <c r="AD18" i="20" s="1"/>
  <c r="P30" i="20"/>
  <c r="AD30" i="20" s="1"/>
  <c r="AJ22" i="20"/>
  <c r="AK22" i="20" s="1"/>
  <c r="AA58" i="21"/>
  <c r="AB58" i="21" s="1"/>
  <c r="Q11" i="21"/>
  <c r="AS11" i="21" s="1"/>
  <c r="AD63" i="20"/>
  <c r="AH63" i="20"/>
  <c r="Q51" i="20"/>
  <c r="AS51" i="20" s="1"/>
  <c r="AA166" i="20"/>
  <c r="AB166" i="20" s="1"/>
  <c r="AH55" i="20"/>
  <c r="AA55" i="20"/>
  <c r="AB55" i="20" s="1"/>
  <c r="AF194" i="20"/>
  <c r="AF158" i="20"/>
  <c r="AF162" i="20"/>
  <c r="AA137" i="20"/>
  <c r="AB137" i="20" s="1"/>
  <c r="AF120" i="20"/>
  <c r="AF166" i="20"/>
  <c r="AA115" i="20"/>
  <c r="AB115" i="20" s="1"/>
  <c r="AS167" i="20"/>
  <c r="AA188" i="20"/>
  <c r="AB188" i="20" s="1"/>
  <c r="AA22" i="21"/>
  <c r="AB22" i="21" s="1"/>
  <c r="AE22" i="21" s="1"/>
  <c r="AS116" i="20"/>
  <c r="S84" i="21"/>
  <c r="AM15" i="21"/>
  <c r="AQ76" i="21"/>
  <c r="AJ76" i="21"/>
  <c r="AK76" i="21" s="1"/>
  <c r="Q83" i="20"/>
  <c r="AS83" i="20" s="1"/>
  <c r="Q55" i="20"/>
  <c r="AS55" i="20" s="1"/>
  <c r="AA177" i="20"/>
  <c r="AB177" i="20" s="1"/>
  <c r="AF130" i="20"/>
  <c r="AA162" i="20"/>
  <c r="AB162" i="20" s="1"/>
  <c r="AF185" i="20"/>
  <c r="AV185" i="20" s="1"/>
  <c r="BL185" i="20" s="1"/>
  <c r="AA150" i="20"/>
  <c r="AB150" i="20" s="1"/>
  <c r="AA76" i="21"/>
  <c r="AB76" i="21" s="1"/>
  <c r="AE76" i="21" s="1"/>
  <c r="X69" i="21"/>
  <c r="Y69" i="21" s="1"/>
  <c r="Z69" i="21" s="1"/>
  <c r="AA51" i="20"/>
  <c r="AB51" i="20" s="1"/>
  <c r="AM35" i="20"/>
  <c r="AF91" i="20"/>
  <c r="AO51" i="20"/>
  <c r="AP51" i="20" s="1"/>
  <c r="AA112" i="20"/>
  <c r="AB112" i="20" s="1"/>
  <c r="AV143" i="20"/>
  <c r="BL143" i="20" s="1"/>
  <c r="AF142" i="20"/>
  <c r="AG142" i="20" s="1"/>
  <c r="AI156" i="20"/>
  <c r="BF156" i="20" s="1"/>
  <c r="AF136" i="20"/>
  <c r="AA208" i="20"/>
  <c r="AB208" i="20" s="1"/>
  <c r="AF161" i="20"/>
  <c r="AA117" i="20"/>
  <c r="AB117" i="20" s="1"/>
  <c r="T116" i="20"/>
  <c r="BI116" i="20" s="1"/>
  <c r="AQ47" i="21"/>
  <c r="AJ11" i="21"/>
  <c r="AK11" i="21" s="1"/>
  <c r="Q109" i="21"/>
  <c r="R109" i="21" s="1"/>
  <c r="AQ35" i="21"/>
  <c r="S98" i="21"/>
  <c r="S22" i="21"/>
  <c r="Q58" i="21"/>
  <c r="R58" i="21" s="1"/>
  <c r="AM42" i="21"/>
  <c r="U75" i="21"/>
  <c r="V75" i="21" s="1"/>
  <c r="W75" i="21" s="1"/>
  <c r="AF93" i="21"/>
  <c r="AG93" i="21" s="1"/>
  <c r="Q105" i="21"/>
  <c r="R105" i="21" s="1"/>
  <c r="AF55" i="21"/>
  <c r="AG55" i="21" s="1"/>
  <c r="AF43" i="21"/>
  <c r="AG43" i="21" s="1"/>
  <c r="AF53" i="21"/>
  <c r="AG53" i="21" s="1"/>
  <c r="AI53" i="21" s="1"/>
  <c r="AF102" i="21"/>
  <c r="AG102" i="21" s="1"/>
  <c r="AI102" i="21" s="1"/>
  <c r="AH89" i="21"/>
  <c r="AM21" i="21"/>
  <c r="AJ44" i="21"/>
  <c r="AK44" i="21" s="1"/>
  <c r="Q84" i="21"/>
  <c r="R84" i="21" s="1"/>
  <c r="S66" i="21"/>
  <c r="S9" i="21"/>
  <c r="Q89" i="21"/>
  <c r="AS89" i="21" s="1"/>
  <c r="AA66" i="21"/>
  <c r="AB66" i="21" s="1"/>
  <c r="AJ21" i="21"/>
  <c r="AK21" i="21" s="1"/>
  <c r="S53" i="21"/>
  <c r="Q9" i="21"/>
  <c r="AS9" i="21" s="1"/>
  <c r="S44" i="21"/>
  <c r="AQ74" i="21"/>
  <c r="AM74" i="21"/>
  <c r="AQ57" i="21"/>
  <c r="AA53" i="21"/>
  <c r="AB53" i="21" s="1"/>
  <c r="AJ9" i="21"/>
  <c r="AK9" i="21" s="1"/>
  <c r="Q94" i="21"/>
  <c r="R94" i="21" s="1"/>
  <c r="AA70" i="21"/>
  <c r="AB70" i="21" s="1"/>
  <c r="AJ15" i="21"/>
  <c r="AK15" i="21" s="1"/>
  <c r="Q66" i="21"/>
  <c r="R66" i="21" s="1"/>
  <c r="T66" i="21" s="1"/>
  <c r="Q53" i="21"/>
  <c r="AS53" i="21" s="1"/>
  <c r="AQ21" i="21"/>
  <c r="S21" i="21"/>
  <c r="AM9" i="21"/>
  <c r="Q44" i="21"/>
  <c r="AS44" i="21" s="1"/>
  <c r="S70" i="21"/>
  <c r="AM36" i="21"/>
  <c r="S72" i="21"/>
  <c r="AM30" i="21"/>
  <c r="AQ15" i="21"/>
  <c r="AJ68" i="21"/>
  <c r="AK68" i="21" s="1"/>
  <c r="AF83" i="21"/>
  <c r="AG83" i="21" s="1"/>
  <c r="AF97" i="21"/>
  <c r="AG97" i="21" s="1"/>
  <c r="AF105" i="21"/>
  <c r="AG105" i="21" s="1"/>
  <c r="AO109" i="21"/>
  <c r="AP109" i="21" s="1"/>
  <c r="Q82" i="21"/>
  <c r="AS82" i="21" s="1"/>
  <c r="AF89" i="21"/>
  <c r="AG89" i="21" s="1"/>
  <c r="AF66" i="21"/>
  <c r="AG66" i="21" s="1"/>
  <c r="AI66" i="21" s="1"/>
  <c r="AJ53" i="21"/>
  <c r="AK53" i="21" s="1"/>
  <c r="AJ56" i="21"/>
  <c r="AK56" i="21" s="1"/>
  <c r="AA9" i="21"/>
  <c r="AB9" i="21" s="1"/>
  <c r="AA44" i="21"/>
  <c r="AB44" i="21" s="1"/>
  <c r="AF44" i="21"/>
  <c r="AG44" i="21" s="1"/>
  <c r="AI44" i="21" s="1"/>
  <c r="AF84" i="21"/>
  <c r="AG84" i="21" s="1"/>
  <c r="AI84" i="21" s="1"/>
  <c r="Q72" i="21"/>
  <c r="AS72" i="21" s="1"/>
  <c r="AF63" i="21"/>
  <c r="AG63" i="21" s="1"/>
  <c r="AA30" i="21"/>
  <c r="AB30" i="21" s="1"/>
  <c r="AE30" i="21" s="1"/>
  <c r="AF109" i="21"/>
  <c r="AG109" i="21" s="1"/>
  <c r="AA74" i="21"/>
  <c r="AB74" i="21" s="1"/>
  <c r="AQ53" i="21"/>
  <c r="AH56" i="21"/>
  <c r="AQ44" i="21"/>
  <c r="S94" i="21"/>
  <c r="S102" i="21"/>
  <c r="Q70" i="21"/>
  <c r="R70" i="21" s="1"/>
  <c r="AQ36" i="21"/>
  <c r="AH63" i="21"/>
  <c r="AQ30" i="21"/>
  <c r="S68" i="21"/>
  <c r="S74" i="21"/>
  <c r="AJ70" i="21"/>
  <c r="AK70" i="21" s="1"/>
  <c r="AJ59" i="21"/>
  <c r="AK59" i="21" s="1"/>
  <c r="AJ74" i="21"/>
  <c r="AK74" i="21" s="1"/>
  <c r="U89" i="21"/>
  <c r="V89" i="21" s="1"/>
  <c r="W89" i="21" s="1"/>
  <c r="AF57" i="21"/>
  <c r="AG57" i="21" s="1"/>
  <c r="AI57" i="21" s="1"/>
  <c r="AF58" i="21"/>
  <c r="AG58" i="21" s="1"/>
  <c r="AI58" i="21" s="1"/>
  <c r="AF42" i="21"/>
  <c r="AG42" i="21" s="1"/>
  <c r="AH62" i="21"/>
  <c r="AH76" i="21"/>
  <c r="Q22" i="21"/>
  <c r="AS22" i="21" s="1"/>
  <c r="X89" i="21"/>
  <c r="Y89" i="21" s="1"/>
  <c r="Z89" i="21" s="1"/>
  <c r="AO89" i="21"/>
  <c r="AP89" i="21" s="1"/>
  <c r="S83" i="20"/>
  <c r="AD83" i="20"/>
  <c r="AD55" i="20"/>
  <c r="U83" i="20"/>
  <c r="V83" i="20" s="1"/>
  <c r="W83" i="20" s="1"/>
  <c r="AF56" i="20"/>
  <c r="AG56" i="20" s="1"/>
  <c r="AF55" i="20"/>
  <c r="AG55" i="20" s="1"/>
  <c r="AA83" i="20"/>
  <c r="AB83" i="20" s="1"/>
  <c r="AJ55" i="20"/>
  <c r="AK55" i="20" s="1"/>
  <c r="AF99" i="20"/>
  <c r="AQ55" i="20"/>
  <c r="AF119" i="20"/>
  <c r="AG119" i="20" s="1"/>
  <c r="AA209" i="20"/>
  <c r="AB209" i="20" s="1"/>
  <c r="AF200" i="20"/>
  <c r="AG200" i="20" s="1"/>
  <c r="AA186" i="20"/>
  <c r="AB186" i="20" s="1"/>
  <c r="AA132" i="20"/>
  <c r="AB132" i="20" s="1"/>
  <c r="AA189" i="20"/>
  <c r="AB189" i="20" s="1"/>
  <c r="AF198" i="20"/>
  <c r="AG198" i="20" s="1"/>
  <c r="AA122" i="20"/>
  <c r="AB122" i="20" s="1"/>
  <c r="AA146" i="20"/>
  <c r="AB146" i="20" s="1"/>
  <c r="AF178" i="20"/>
  <c r="AF201" i="20"/>
  <c r="AJ14" i="21"/>
  <c r="AK14" i="21" s="1"/>
  <c r="AJ47" i="21"/>
  <c r="AK47" i="21" s="1"/>
  <c r="AJ58" i="21"/>
  <c r="AK58" i="21" s="1"/>
  <c r="S11" i="21"/>
  <c r="AQ67" i="21"/>
  <c r="AH55" i="21"/>
  <c r="Q14" i="21"/>
  <c r="AS14" i="21" s="1"/>
  <c r="AH67" i="21"/>
  <c r="AQ58" i="21"/>
  <c r="S58" i="21"/>
  <c r="AQ11" i="21"/>
  <c r="AM11" i="21"/>
  <c r="AQ42" i="21"/>
  <c r="AQ62" i="21"/>
  <c r="AJ67" i="21"/>
  <c r="AK67" i="21" s="1"/>
  <c r="AL69" i="20"/>
  <c r="AF82" i="21"/>
  <c r="AG82" i="21" s="1"/>
  <c r="AA55" i="21"/>
  <c r="AB55" i="21" s="1"/>
  <c r="AE55" i="21" s="1"/>
  <c r="AF62" i="21"/>
  <c r="AG62" i="21" s="1"/>
  <c r="AA24" i="21"/>
  <c r="AB24" i="21" s="1"/>
  <c r="AE24" i="21" s="1"/>
  <c r="AF94" i="21"/>
  <c r="AG94" i="21" s="1"/>
  <c r="AI94" i="21" s="1"/>
  <c r="AF70" i="21"/>
  <c r="AG70" i="21" s="1"/>
  <c r="AI70" i="21" s="1"/>
  <c r="AA36" i="21"/>
  <c r="AB36" i="21" s="1"/>
  <c r="AF47" i="21"/>
  <c r="AG47" i="21" s="1"/>
  <c r="AF72" i="21"/>
  <c r="AG72" i="21" s="1"/>
  <c r="AI72" i="21" s="1"/>
  <c r="AA67" i="21"/>
  <c r="AB67" i="21" s="1"/>
  <c r="Q68" i="21"/>
  <c r="AS68" i="21" s="1"/>
  <c r="AF59" i="21"/>
  <c r="AF74" i="21"/>
  <c r="AG74" i="21" s="1"/>
  <c r="AI74" i="21" s="1"/>
  <c r="Q24" i="21"/>
  <c r="AS24" i="21" s="1"/>
  <c r="AH36" i="21"/>
  <c r="AA47" i="21"/>
  <c r="AB47" i="21" s="1"/>
  <c r="AE47" i="21" s="1"/>
  <c r="Q67" i="21"/>
  <c r="R67" i="21" s="1"/>
  <c r="T67" i="21" s="1"/>
  <c r="AH42" i="21"/>
  <c r="AL78" i="20"/>
  <c r="AL72" i="20"/>
  <c r="AL75" i="20"/>
  <c r="AL74" i="20"/>
  <c r="AL68" i="20"/>
  <c r="AL76" i="20"/>
  <c r="AL71" i="20"/>
  <c r="AL70" i="20"/>
  <c r="AL73" i="20"/>
  <c r="AL77" i="20"/>
  <c r="AE193" i="20"/>
  <c r="AL64" i="20"/>
  <c r="AL63" i="20"/>
  <c r="AL65" i="20"/>
  <c r="AL60" i="20"/>
  <c r="AL59" i="20"/>
  <c r="AL67" i="20"/>
  <c r="AL62" i="20"/>
  <c r="AL61" i="20"/>
  <c r="AL66" i="20"/>
  <c r="AE143" i="20"/>
  <c r="AE155" i="20"/>
  <c r="AE171" i="20"/>
  <c r="AO90" i="21"/>
  <c r="AP90" i="21" s="1"/>
  <c r="AD90" i="21"/>
  <c r="AO40" i="21"/>
  <c r="AP40" i="21" s="1"/>
  <c r="AD40" i="21"/>
  <c r="AM66" i="21"/>
  <c r="AD66" i="21"/>
  <c r="AM53" i="21"/>
  <c r="AD53" i="21"/>
  <c r="X48" i="21"/>
  <c r="Y48" i="21" s="1"/>
  <c r="Z48" i="21" s="1"/>
  <c r="AD48" i="21"/>
  <c r="X21" i="21"/>
  <c r="Y21" i="21" s="1"/>
  <c r="Z21" i="21" s="1"/>
  <c r="AD21" i="21"/>
  <c r="AE21" i="21" s="1"/>
  <c r="X9" i="21"/>
  <c r="Y9" i="21" s="1"/>
  <c r="Z9" i="21" s="1"/>
  <c r="AD9" i="21"/>
  <c r="AM44" i="21"/>
  <c r="AD44" i="21"/>
  <c r="X96" i="21"/>
  <c r="Y96" i="21" s="1"/>
  <c r="Z96" i="21" s="1"/>
  <c r="AD96" i="21"/>
  <c r="X104" i="21"/>
  <c r="Y104" i="21" s="1"/>
  <c r="Z104" i="21" s="1"/>
  <c r="AD104" i="21"/>
  <c r="X73" i="21"/>
  <c r="Y73" i="21" s="1"/>
  <c r="Z73" i="21" s="1"/>
  <c r="AD73" i="21"/>
  <c r="X84" i="21"/>
  <c r="Y84" i="21" s="1"/>
  <c r="Z84" i="21" s="1"/>
  <c r="AD84" i="21"/>
  <c r="X27" i="21"/>
  <c r="Y27" i="21" s="1"/>
  <c r="Z27" i="21" s="1"/>
  <c r="AD27" i="21"/>
  <c r="X28" i="21"/>
  <c r="Y28" i="21" s="1"/>
  <c r="Z28" i="21" s="1"/>
  <c r="AD28" i="21"/>
  <c r="AO77" i="21"/>
  <c r="AP77" i="21" s="1"/>
  <c r="AD77" i="21"/>
  <c r="AE77" i="21" s="1"/>
  <c r="AO37" i="21"/>
  <c r="AP37" i="21" s="1"/>
  <c r="AD37" i="21"/>
  <c r="AO17" i="21"/>
  <c r="AP17" i="21" s="1"/>
  <c r="AD17" i="21"/>
  <c r="AO91" i="21"/>
  <c r="AP91" i="21" s="1"/>
  <c r="AD91" i="21"/>
  <c r="AO99" i="21"/>
  <c r="AP99" i="21" s="1"/>
  <c r="AD99" i="21"/>
  <c r="AO107" i="21"/>
  <c r="AP107" i="21" s="1"/>
  <c r="AD107" i="21"/>
  <c r="X78" i="21"/>
  <c r="Y78" i="21" s="1"/>
  <c r="Z78" i="21" s="1"/>
  <c r="AD78" i="21"/>
  <c r="AO86" i="21"/>
  <c r="AP86" i="21" s="1"/>
  <c r="AD86" i="21"/>
  <c r="AE86" i="21" s="1"/>
  <c r="AO35" i="21"/>
  <c r="AP35" i="21" s="1"/>
  <c r="AD35" i="21"/>
  <c r="AO34" i="21"/>
  <c r="AP34" i="21" s="1"/>
  <c r="AD34" i="21"/>
  <c r="AO64" i="21"/>
  <c r="AP64" i="21" s="1"/>
  <c r="AD64" i="21"/>
  <c r="AO31" i="21"/>
  <c r="AP31" i="21" s="1"/>
  <c r="AD31" i="21"/>
  <c r="AO41" i="21"/>
  <c r="AP41" i="21" s="1"/>
  <c r="AD41" i="21"/>
  <c r="AO16" i="21"/>
  <c r="AP16" i="21" s="1"/>
  <c r="AD16" i="21"/>
  <c r="AO51" i="21"/>
  <c r="AP51" i="21" s="1"/>
  <c r="AD51" i="21"/>
  <c r="AO98" i="21"/>
  <c r="AP98" i="21" s="1"/>
  <c r="AD98" i="21"/>
  <c r="AO80" i="21"/>
  <c r="AP80" i="21" s="1"/>
  <c r="AD80" i="21"/>
  <c r="AO65" i="21"/>
  <c r="AP65" i="21" s="1"/>
  <c r="AD65" i="21"/>
  <c r="AO38" i="21"/>
  <c r="AP38" i="21" s="1"/>
  <c r="AD38" i="21"/>
  <c r="AO19" i="21"/>
  <c r="AP19" i="21" s="1"/>
  <c r="AD19" i="21"/>
  <c r="AO46" i="21"/>
  <c r="AP46" i="21" s="1"/>
  <c r="AD46" i="21"/>
  <c r="AO81" i="21"/>
  <c r="AP81" i="21" s="1"/>
  <c r="AD81" i="21"/>
  <c r="U85" i="21"/>
  <c r="V85" i="21" s="1"/>
  <c r="W85" i="21" s="1"/>
  <c r="AD85" i="21"/>
  <c r="AO82" i="21"/>
  <c r="AP82" i="21" s="1"/>
  <c r="AD82" i="21"/>
  <c r="AM57" i="21"/>
  <c r="AD57" i="21"/>
  <c r="AO26" i="21"/>
  <c r="AP26" i="21" s="1"/>
  <c r="AD26" i="21"/>
  <c r="X33" i="21"/>
  <c r="Y33" i="21" s="1"/>
  <c r="Z33" i="21" s="1"/>
  <c r="AD33" i="21"/>
  <c r="X10" i="21"/>
  <c r="Y10" i="21" s="1"/>
  <c r="Z10" i="21" s="1"/>
  <c r="AD10" i="21"/>
  <c r="X92" i="21"/>
  <c r="Y92" i="21" s="1"/>
  <c r="Z92" i="21" s="1"/>
  <c r="AD92" i="21"/>
  <c r="X100" i="21"/>
  <c r="Y100" i="21" s="1"/>
  <c r="Z100" i="21" s="1"/>
  <c r="AD100" i="21"/>
  <c r="X108" i="21"/>
  <c r="Y108" i="21" s="1"/>
  <c r="Z108" i="21" s="1"/>
  <c r="AD108" i="21"/>
  <c r="AO79" i="21"/>
  <c r="AP79" i="21" s="1"/>
  <c r="AD79" i="21"/>
  <c r="X87" i="21"/>
  <c r="Y87" i="21" s="1"/>
  <c r="Z87" i="21" s="1"/>
  <c r="AD87" i="21"/>
  <c r="AM67" i="21"/>
  <c r="AD67" i="21"/>
  <c r="AM58" i="21"/>
  <c r="AD58" i="21"/>
  <c r="AO52" i="21"/>
  <c r="AP52" i="21" s="1"/>
  <c r="AD52" i="21"/>
  <c r="AO23" i="21"/>
  <c r="AP23" i="21" s="1"/>
  <c r="AD23" i="21"/>
  <c r="AO11" i="21"/>
  <c r="AP11" i="21" s="1"/>
  <c r="AD11" i="21"/>
  <c r="AE11" i="21" s="1"/>
  <c r="AO42" i="21"/>
  <c r="AP42" i="21" s="1"/>
  <c r="AD42" i="21"/>
  <c r="AO95" i="21"/>
  <c r="AP95" i="21" s="1"/>
  <c r="AD95" i="21"/>
  <c r="AO103" i="21"/>
  <c r="AP103" i="21" s="1"/>
  <c r="AD103" i="21"/>
  <c r="AO71" i="21"/>
  <c r="AP71" i="21" s="1"/>
  <c r="AD71" i="21"/>
  <c r="AO50" i="21"/>
  <c r="AP50" i="21" s="1"/>
  <c r="AD50" i="21"/>
  <c r="AO60" i="21"/>
  <c r="AP60" i="21" s="1"/>
  <c r="AD60" i="21"/>
  <c r="AO56" i="21"/>
  <c r="AP56" i="21" s="1"/>
  <c r="AD56" i="21"/>
  <c r="AO25" i="21"/>
  <c r="AP25" i="21" s="1"/>
  <c r="AD25" i="21"/>
  <c r="AO12" i="21"/>
  <c r="AP12" i="21" s="1"/>
  <c r="AD12" i="21"/>
  <c r="AO32" i="21"/>
  <c r="AP32" i="21" s="1"/>
  <c r="AD32" i="21"/>
  <c r="AO94" i="21"/>
  <c r="AP94" i="21" s="1"/>
  <c r="AD94" i="21"/>
  <c r="AO102" i="21"/>
  <c r="AP102" i="21" s="1"/>
  <c r="AD102" i="21"/>
  <c r="AM70" i="21"/>
  <c r="AD70" i="21"/>
  <c r="AO88" i="21"/>
  <c r="AP88" i="21" s="1"/>
  <c r="AD88" i="21"/>
  <c r="AO36" i="21"/>
  <c r="AP36" i="21" s="1"/>
  <c r="AD36" i="21"/>
  <c r="AO39" i="21"/>
  <c r="AP39" i="21" s="1"/>
  <c r="AD39" i="21"/>
  <c r="AO72" i="21"/>
  <c r="AP72" i="21" s="1"/>
  <c r="AD72" i="21"/>
  <c r="AO61" i="21"/>
  <c r="AP61" i="21" s="1"/>
  <c r="AD61" i="21"/>
  <c r="AO68" i="21"/>
  <c r="AP68" i="21" s="1"/>
  <c r="AD68" i="21"/>
  <c r="AO29" i="21"/>
  <c r="AP29" i="21" s="1"/>
  <c r="AD29" i="21"/>
  <c r="AO13" i="21"/>
  <c r="AP13" i="21" s="1"/>
  <c r="AD13" i="21"/>
  <c r="AO59" i="21"/>
  <c r="AP59" i="21" s="1"/>
  <c r="AD59" i="21"/>
  <c r="AO74" i="21"/>
  <c r="AP74" i="21" s="1"/>
  <c r="AD74" i="21"/>
  <c r="AQ66" i="21"/>
  <c r="AJ66" i="21"/>
  <c r="AK66" i="21" s="1"/>
  <c r="U81" i="21"/>
  <c r="V81" i="21" s="1"/>
  <c r="W81" i="21" s="1"/>
  <c r="AM62" i="21"/>
  <c r="AJ62" i="21"/>
  <c r="AK62" i="21" s="1"/>
  <c r="AA62" i="21"/>
  <c r="AB62" i="21" s="1"/>
  <c r="AE62" i="21" s="1"/>
  <c r="X24" i="21"/>
  <c r="Y24" i="21" s="1"/>
  <c r="Z24" i="21" s="1"/>
  <c r="AM24" i="21"/>
  <c r="AQ24" i="21"/>
  <c r="AJ24" i="21"/>
  <c r="AK24" i="21" s="1"/>
  <c r="X14" i="21"/>
  <c r="Y14" i="21" s="1"/>
  <c r="Z14" i="21" s="1"/>
  <c r="AM14" i="21"/>
  <c r="AQ14" i="21"/>
  <c r="AA14" i="21"/>
  <c r="AB14" i="21" s="1"/>
  <c r="AE14" i="21" s="1"/>
  <c r="X49" i="21"/>
  <c r="Y49" i="21" s="1"/>
  <c r="Z49" i="21" s="1"/>
  <c r="AM49" i="21"/>
  <c r="X47" i="21"/>
  <c r="Y47" i="21" s="1"/>
  <c r="Z47" i="21" s="1"/>
  <c r="AM47" i="21"/>
  <c r="S47" i="21"/>
  <c r="AM55" i="21"/>
  <c r="AQ55" i="21"/>
  <c r="AJ55" i="21"/>
  <c r="AK55" i="21" s="1"/>
  <c r="AO45" i="21"/>
  <c r="AP45" i="21" s="1"/>
  <c r="AM45" i="21"/>
  <c r="AJ45" i="21"/>
  <c r="AK45" i="21" s="1"/>
  <c r="AO20" i="21"/>
  <c r="AP20" i="21" s="1"/>
  <c r="AJ20" i="21"/>
  <c r="AK20" i="21" s="1"/>
  <c r="AO75" i="21"/>
  <c r="AP75" i="21" s="1"/>
  <c r="X75" i="21"/>
  <c r="Y75" i="21" s="1"/>
  <c r="Z75" i="21" s="1"/>
  <c r="AO83" i="21"/>
  <c r="AP83" i="21" s="1"/>
  <c r="U83" i="21"/>
  <c r="V83" i="21" s="1"/>
  <c r="W83" i="21" s="1"/>
  <c r="X83" i="21"/>
  <c r="Y83" i="21" s="1"/>
  <c r="Z83" i="21" s="1"/>
  <c r="AO93" i="21"/>
  <c r="AP93" i="21" s="1"/>
  <c r="U93" i="21"/>
  <c r="V93" i="21" s="1"/>
  <c r="W93" i="21" s="1"/>
  <c r="X93" i="21"/>
  <c r="Y93" i="21" s="1"/>
  <c r="Z93" i="21" s="1"/>
  <c r="AJ93" i="21"/>
  <c r="AK93" i="21" s="1"/>
  <c r="Q93" i="21"/>
  <c r="AO97" i="21"/>
  <c r="AP97" i="21" s="1"/>
  <c r="U97" i="21"/>
  <c r="V97" i="21" s="1"/>
  <c r="W97" i="21" s="1"/>
  <c r="X97" i="21"/>
  <c r="Y97" i="21" s="1"/>
  <c r="Z97" i="21" s="1"/>
  <c r="U101" i="21"/>
  <c r="V101" i="21" s="1"/>
  <c r="W101" i="21" s="1"/>
  <c r="X101" i="21"/>
  <c r="Y101" i="21" s="1"/>
  <c r="Z101" i="21" s="1"/>
  <c r="AO105" i="21"/>
  <c r="AP105" i="21" s="1"/>
  <c r="U105" i="21"/>
  <c r="V105" i="21" s="1"/>
  <c r="W105" i="21" s="1"/>
  <c r="X105" i="21"/>
  <c r="Y105" i="21" s="1"/>
  <c r="Z105" i="21" s="1"/>
  <c r="S105" i="21"/>
  <c r="U109" i="21"/>
  <c r="V109" i="21" s="1"/>
  <c r="W109" i="21" s="1"/>
  <c r="X109" i="21"/>
  <c r="Y109" i="21" s="1"/>
  <c r="Z109" i="21" s="1"/>
  <c r="AJ109" i="21"/>
  <c r="AK109" i="21" s="1"/>
  <c r="AJ100" i="21"/>
  <c r="AK100" i="21" s="1"/>
  <c r="Q55" i="21"/>
  <c r="R55" i="21" s="1"/>
  <c r="S55" i="21"/>
  <c r="Q62" i="21"/>
  <c r="S62" i="21"/>
  <c r="S24" i="21"/>
  <c r="S14" i="21"/>
  <c r="Q47" i="21"/>
  <c r="R47" i="21" s="1"/>
  <c r="AO43" i="21"/>
  <c r="AP43" i="21" s="1"/>
  <c r="AM43" i="21"/>
  <c r="AO63" i="21"/>
  <c r="AP63" i="21" s="1"/>
  <c r="AM63" i="21"/>
  <c r="AJ63" i="21"/>
  <c r="AK63" i="21" s="1"/>
  <c r="AQ63" i="21"/>
  <c r="S63" i="21"/>
  <c r="Q63" i="21"/>
  <c r="AS63" i="21" s="1"/>
  <c r="AA63" i="21"/>
  <c r="AB63" i="21" s="1"/>
  <c r="AE63" i="21" s="1"/>
  <c r="AO30" i="21"/>
  <c r="AP30" i="21" s="1"/>
  <c r="S30" i="21"/>
  <c r="Q30" i="21"/>
  <c r="R30" i="21" s="1"/>
  <c r="AJ30" i="21"/>
  <c r="AK30" i="21" s="1"/>
  <c r="AO15" i="21"/>
  <c r="AP15" i="21" s="1"/>
  <c r="S15" i="21"/>
  <c r="Q15" i="21"/>
  <c r="R15" i="21" s="1"/>
  <c r="AA15" i="21"/>
  <c r="AB15" i="21" s="1"/>
  <c r="AE15" i="21" s="1"/>
  <c r="AO18" i="21"/>
  <c r="AP18" i="21" s="1"/>
  <c r="AJ18" i="21"/>
  <c r="AK18" i="21" s="1"/>
  <c r="AO106" i="21"/>
  <c r="AP106" i="21" s="1"/>
  <c r="Q106" i="21"/>
  <c r="R106" i="21" s="1"/>
  <c r="AM76" i="21"/>
  <c r="S76" i="21"/>
  <c r="Q76" i="21"/>
  <c r="AS76" i="21" s="1"/>
  <c r="AO54" i="21"/>
  <c r="AP54" i="21" s="1"/>
  <c r="AM54" i="21"/>
  <c r="AO22" i="21"/>
  <c r="AP22" i="21" s="1"/>
  <c r="AM22" i="21"/>
  <c r="AQ22" i="21"/>
  <c r="AJ22" i="21"/>
  <c r="AK22" i="21" s="1"/>
  <c r="AO85" i="21"/>
  <c r="AP85" i="21" s="1"/>
  <c r="AO101" i="21"/>
  <c r="AP101" i="21" s="1"/>
  <c r="AO10" i="21"/>
  <c r="AP10" i="21" s="1"/>
  <c r="AO44" i="21"/>
  <c r="AP44" i="21" s="1"/>
  <c r="AO76" i="21"/>
  <c r="AP76" i="21" s="1"/>
  <c r="AO58" i="21"/>
  <c r="AP58" i="21" s="1"/>
  <c r="AO53" i="21"/>
  <c r="AP53" i="21" s="1"/>
  <c r="AO9" i="21"/>
  <c r="AP9" i="21" s="1"/>
  <c r="AR9" i="21" s="1"/>
  <c r="AO92" i="21"/>
  <c r="AP92" i="21" s="1"/>
  <c r="AO96" i="21"/>
  <c r="AP96" i="21" s="1"/>
  <c r="AO100" i="21"/>
  <c r="AP100" i="21" s="1"/>
  <c r="AO104" i="21"/>
  <c r="AP104" i="21" s="1"/>
  <c r="AO108" i="21"/>
  <c r="AP108" i="21" s="1"/>
  <c r="AO84" i="21"/>
  <c r="AP84" i="21" s="1"/>
  <c r="AO49" i="21"/>
  <c r="AP49" i="21" s="1"/>
  <c r="AO47" i="21"/>
  <c r="AP47" i="21" s="1"/>
  <c r="AO87" i="21"/>
  <c r="AP87" i="21" s="1"/>
  <c r="AO66" i="21"/>
  <c r="AP66" i="21" s="1"/>
  <c r="AR66" i="21" s="1"/>
  <c r="AO62" i="21"/>
  <c r="AP62" i="21" s="1"/>
  <c r="AO24" i="21"/>
  <c r="AP24" i="21" s="1"/>
  <c r="AO48" i="21"/>
  <c r="AP48" i="21" s="1"/>
  <c r="AO14" i="21"/>
  <c r="AP14" i="21" s="1"/>
  <c r="AO70" i="21"/>
  <c r="AP70" i="21" s="1"/>
  <c r="AO28" i="21"/>
  <c r="AP28" i="21" s="1"/>
  <c r="AO78" i="21"/>
  <c r="AP78" i="21" s="1"/>
  <c r="AO55" i="21"/>
  <c r="AP55" i="21" s="1"/>
  <c r="AO57" i="21"/>
  <c r="AP57" i="21" s="1"/>
  <c r="AO33" i="21"/>
  <c r="AP33" i="21" s="1"/>
  <c r="AO21" i="21"/>
  <c r="AP21" i="21" s="1"/>
  <c r="AO73" i="21"/>
  <c r="AP73" i="21" s="1"/>
  <c r="AO27" i="21"/>
  <c r="AP27" i="21" s="1"/>
  <c r="AO67" i="21"/>
  <c r="AP67" i="21" s="1"/>
  <c r="AL86" i="21"/>
  <c r="AL82" i="21"/>
  <c r="AL75" i="21"/>
  <c r="AL64" i="21"/>
  <c r="AL62" i="21"/>
  <c r="AL92" i="21"/>
  <c r="AL94" i="21"/>
  <c r="AL96" i="21"/>
  <c r="AL98" i="21"/>
  <c r="AL108" i="21"/>
  <c r="AL70" i="21"/>
  <c r="AL79" i="21"/>
  <c r="AL88" i="21"/>
  <c r="AL84" i="21"/>
  <c r="AL87" i="21"/>
  <c r="AL83" i="21"/>
  <c r="AL67" i="21"/>
  <c r="AL65" i="21"/>
  <c r="AL63" i="21"/>
  <c r="AL61" i="21"/>
  <c r="AL68" i="21"/>
  <c r="AL91" i="21"/>
  <c r="AL93" i="21"/>
  <c r="AL95" i="21"/>
  <c r="AL97" i="21"/>
  <c r="AL99" i="21"/>
  <c r="AL101" i="21"/>
  <c r="AL103" i="21"/>
  <c r="AL105" i="21"/>
  <c r="AL107" i="21"/>
  <c r="AL109" i="21"/>
  <c r="AL71" i="21"/>
  <c r="AL74" i="21"/>
  <c r="AL78" i="21"/>
  <c r="AL90" i="21"/>
  <c r="AL89" i="21"/>
  <c r="AL85" i="21"/>
  <c r="AL81" i="21"/>
  <c r="AL69" i="21"/>
  <c r="AL66" i="21"/>
  <c r="AL60" i="21"/>
  <c r="AL100" i="21"/>
  <c r="AL102" i="21"/>
  <c r="AL104" i="21"/>
  <c r="AL106" i="21"/>
  <c r="AL73" i="21"/>
  <c r="AL76" i="21"/>
  <c r="AL80" i="21"/>
  <c r="AL77" i="21"/>
  <c r="AL72" i="21"/>
  <c r="AL59" i="21"/>
  <c r="X66" i="21"/>
  <c r="Y66" i="21" s="1"/>
  <c r="Z66" i="21" s="1"/>
  <c r="X62" i="21"/>
  <c r="Y62" i="21" s="1"/>
  <c r="Z62" i="21" s="1"/>
  <c r="X53" i="21"/>
  <c r="Y53" i="21" s="1"/>
  <c r="Z53" i="21" s="1"/>
  <c r="X44" i="21"/>
  <c r="Y44" i="21" s="1"/>
  <c r="Z44" i="21" s="1"/>
  <c r="X76" i="21"/>
  <c r="Y76" i="21" s="1"/>
  <c r="Z76" i="21" s="1"/>
  <c r="U90" i="21"/>
  <c r="V90" i="21" s="1"/>
  <c r="W90" i="21" s="1"/>
  <c r="U82" i="21"/>
  <c r="V82" i="21" s="1"/>
  <c r="W82" i="21" s="1"/>
  <c r="U40" i="21"/>
  <c r="V40" i="21" s="1"/>
  <c r="W40" i="21" s="1"/>
  <c r="U57" i="21"/>
  <c r="V57" i="21" s="1"/>
  <c r="W57" i="21" s="1"/>
  <c r="U43" i="21"/>
  <c r="V43" i="21" s="1"/>
  <c r="W43" i="21" s="1"/>
  <c r="U26" i="21"/>
  <c r="V26" i="21" s="1"/>
  <c r="W26" i="21" s="1"/>
  <c r="AH26" i="21"/>
  <c r="AF26" i="21"/>
  <c r="AG26" i="21" s="1"/>
  <c r="U79" i="21"/>
  <c r="V79" i="21" s="1"/>
  <c r="W79" i="21" s="1"/>
  <c r="U67" i="21"/>
  <c r="V67" i="21" s="1"/>
  <c r="W67" i="21" s="1"/>
  <c r="U63" i="21"/>
  <c r="V63" i="21" s="1"/>
  <c r="W63" i="21" s="1"/>
  <c r="U58" i="21"/>
  <c r="V58" i="21" s="1"/>
  <c r="W58" i="21" s="1"/>
  <c r="U30" i="21"/>
  <c r="V30" i="21" s="1"/>
  <c r="W30" i="21" s="1"/>
  <c r="AF30" i="21"/>
  <c r="AG30" i="21" s="1"/>
  <c r="AH30" i="21"/>
  <c r="U52" i="21"/>
  <c r="V52" i="21" s="1"/>
  <c r="W52" i="21" s="1"/>
  <c r="U37" i="21"/>
  <c r="V37" i="21" s="1"/>
  <c r="W37" i="21" s="1"/>
  <c r="U23" i="21"/>
  <c r="V23" i="21" s="1"/>
  <c r="W23" i="21" s="1"/>
  <c r="AF23" i="21"/>
  <c r="AG23" i="21" s="1"/>
  <c r="AH23" i="21"/>
  <c r="U15" i="21"/>
  <c r="V15" i="21" s="1"/>
  <c r="W15" i="21" s="1"/>
  <c r="AH15" i="21"/>
  <c r="AF15" i="21"/>
  <c r="AG15" i="21" s="1"/>
  <c r="U11" i="21"/>
  <c r="V11" i="21" s="1"/>
  <c r="W11" i="21" s="1"/>
  <c r="AH11" i="21"/>
  <c r="AF11" i="21"/>
  <c r="AG11" i="21" s="1"/>
  <c r="U17" i="21"/>
  <c r="V17" i="21" s="1"/>
  <c r="W17" i="21" s="1"/>
  <c r="AF17" i="21"/>
  <c r="AG17" i="21" s="1"/>
  <c r="AH17" i="21"/>
  <c r="U42" i="21"/>
  <c r="V42" i="21" s="1"/>
  <c r="W42" i="21" s="1"/>
  <c r="U91" i="21"/>
  <c r="V91" i="21" s="1"/>
  <c r="W91" i="21" s="1"/>
  <c r="U95" i="21"/>
  <c r="V95" i="21" s="1"/>
  <c r="W95" i="21" s="1"/>
  <c r="U99" i="21"/>
  <c r="V99" i="21" s="1"/>
  <c r="W99" i="21" s="1"/>
  <c r="U103" i="21"/>
  <c r="V103" i="21" s="1"/>
  <c r="W103" i="21" s="1"/>
  <c r="U107" i="21"/>
  <c r="V107" i="21" s="1"/>
  <c r="W107" i="21" s="1"/>
  <c r="U71" i="21"/>
  <c r="V71" i="21" s="1"/>
  <c r="W71" i="21" s="1"/>
  <c r="U86" i="21"/>
  <c r="V86" i="21" s="1"/>
  <c r="W86" i="21" s="1"/>
  <c r="U55" i="21"/>
  <c r="V55" i="21" s="1"/>
  <c r="W55" i="21" s="1"/>
  <c r="U35" i="21"/>
  <c r="V35" i="21" s="1"/>
  <c r="W35" i="21" s="1"/>
  <c r="U50" i="21"/>
  <c r="V50" i="21" s="1"/>
  <c r="W50" i="21" s="1"/>
  <c r="U34" i="21"/>
  <c r="V34" i="21" s="1"/>
  <c r="W34" i="21" s="1"/>
  <c r="AH34" i="21"/>
  <c r="AF34" i="21"/>
  <c r="AG34" i="21" s="1"/>
  <c r="U64" i="21"/>
  <c r="V64" i="21" s="1"/>
  <c r="W64" i="21" s="1"/>
  <c r="U60" i="21"/>
  <c r="V60" i="21" s="1"/>
  <c r="W60" i="21" s="1"/>
  <c r="U31" i="21"/>
  <c r="V31" i="21" s="1"/>
  <c r="W31" i="21" s="1"/>
  <c r="AF31" i="21"/>
  <c r="AG31" i="21" s="1"/>
  <c r="AH31" i="21"/>
  <c r="U56" i="21"/>
  <c r="V56" i="21" s="1"/>
  <c r="W56" i="21" s="1"/>
  <c r="U41" i="21"/>
  <c r="V41" i="21" s="1"/>
  <c r="W41" i="21" s="1"/>
  <c r="U25" i="21"/>
  <c r="V25" i="21" s="1"/>
  <c r="W25" i="21" s="1"/>
  <c r="AH25" i="21"/>
  <c r="AF25" i="21"/>
  <c r="AG25" i="21" s="1"/>
  <c r="U16" i="21"/>
  <c r="V16" i="21" s="1"/>
  <c r="W16" i="21" s="1"/>
  <c r="AH16" i="21"/>
  <c r="AF16" i="21"/>
  <c r="AG16" i="21" s="1"/>
  <c r="U12" i="21"/>
  <c r="V12" i="21" s="1"/>
  <c r="W12" i="21" s="1"/>
  <c r="AH12" i="21"/>
  <c r="AF12" i="21"/>
  <c r="AG12" i="21" s="1"/>
  <c r="U18" i="21"/>
  <c r="V18" i="21" s="1"/>
  <c r="W18" i="21" s="1"/>
  <c r="AF18" i="21"/>
  <c r="AG18" i="21" s="1"/>
  <c r="AH18" i="21"/>
  <c r="U32" i="21"/>
  <c r="V32" i="21" s="1"/>
  <c r="W32" i="21" s="1"/>
  <c r="AH32" i="21"/>
  <c r="AF32" i="21"/>
  <c r="AG32" i="21" s="1"/>
  <c r="U51" i="21"/>
  <c r="V51" i="21" s="1"/>
  <c r="W51" i="21" s="1"/>
  <c r="U94" i="21"/>
  <c r="V94" i="21" s="1"/>
  <c r="W94" i="21" s="1"/>
  <c r="U98" i="21"/>
  <c r="V98" i="21" s="1"/>
  <c r="W98" i="21" s="1"/>
  <c r="U102" i="21"/>
  <c r="V102" i="21" s="1"/>
  <c r="W102" i="21" s="1"/>
  <c r="U106" i="21"/>
  <c r="V106" i="21" s="1"/>
  <c r="W106" i="21" s="1"/>
  <c r="U70" i="21"/>
  <c r="V70" i="21" s="1"/>
  <c r="W70" i="21" s="1"/>
  <c r="U88" i="21"/>
  <c r="V88" i="21" s="1"/>
  <c r="W88" i="21" s="1"/>
  <c r="U80" i="21"/>
  <c r="V80" i="21" s="1"/>
  <c r="W80" i="21" s="1"/>
  <c r="U36" i="21"/>
  <c r="V36" i="21" s="1"/>
  <c r="W36" i="21" s="1"/>
  <c r="U54" i="21"/>
  <c r="V54" i="21" s="1"/>
  <c r="W54" i="21" s="1"/>
  <c r="U39" i="21"/>
  <c r="V39" i="21" s="1"/>
  <c r="W39" i="21" s="1"/>
  <c r="U22" i="21"/>
  <c r="V22" i="21" s="1"/>
  <c r="W22" i="21" s="1"/>
  <c r="AF22" i="21"/>
  <c r="AG22" i="21" s="1"/>
  <c r="AH22" i="21"/>
  <c r="U72" i="21"/>
  <c r="V72" i="21" s="1"/>
  <c r="W72" i="21" s="1"/>
  <c r="U65" i="21"/>
  <c r="V65" i="21" s="1"/>
  <c r="W65" i="21" s="1"/>
  <c r="U61" i="21"/>
  <c r="V61" i="21" s="1"/>
  <c r="W61" i="21" s="1"/>
  <c r="U38" i="21"/>
  <c r="V38" i="21" s="1"/>
  <c r="W38" i="21" s="1"/>
  <c r="U68" i="21"/>
  <c r="V68" i="21" s="1"/>
  <c r="W68" i="21" s="1"/>
  <c r="U45" i="21"/>
  <c r="V45" i="21" s="1"/>
  <c r="W45" i="21" s="1"/>
  <c r="U29" i="21"/>
  <c r="V29" i="21" s="1"/>
  <c r="W29" i="21" s="1"/>
  <c r="AF29" i="21"/>
  <c r="AG29" i="21" s="1"/>
  <c r="AH29" i="21"/>
  <c r="U19" i="21"/>
  <c r="V19" i="21" s="1"/>
  <c r="W19" i="21" s="1"/>
  <c r="AH19" i="21"/>
  <c r="AF19" i="21"/>
  <c r="AG19" i="21" s="1"/>
  <c r="U13" i="21"/>
  <c r="V13" i="21" s="1"/>
  <c r="W13" i="21" s="1"/>
  <c r="AH13" i="21"/>
  <c r="AF13" i="21"/>
  <c r="AG13" i="21" s="1"/>
  <c r="U20" i="21"/>
  <c r="V20" i="21" s="1"/>
  <c r="W20" i="21" s="1"/>
  <c r="AF20" i="21"/>
  <c r="AG20" i="21" s="1"/>
  <c r="AH20" i="21"/>
  <c r="U59" i="21"/>
  <c r="V59" i="21" s="1"/>
  <c r="W59" i="21" s="1"/>
  <c r="U46" i="21"/>
  <c r="V46" i="21" s="1"/>
  <c r="W46" i="21" s="1"/>
  <c r="X91" i="21"/>
  <c r="Y91" i="21" s="1"/>
  <c r="Z91" i="21" s="1"/>
  <c r="X99" i="21"/>
  <c r="Y99" i="21" s="1"/>
  <c r="Z99" i="21" s="1"/>
  <c r="X107" i="21"/>
  <c r="Y107" i="21" s="1"/>
  <c r="Z107" i="21" s="1"/>
  <c r="U74" i="21"/>
  <c r="V74" i="21" s="1"/>
  <c r="W74" i="21" s="1"/>
  <c r="X90" i="21"/>
  <c r="Y90" i="21" s="1"/>
  <c r="Z90" i="21" s="1"/>
  <c r="X82" i="21"/>
  <c r="Y82" i="21" s="1"/>
  <c r="Z82" i="21" s="1"/>
  <c r="X40" i="21"/>
  <c r="Y40" i="21" s="1"/>
  <c r="Z40" i="21" s="1"/>
  <c r="X57" i="21"/>
  <c r="Y57" i="21" s="1"/>
  <c r="Z57" i="21" s="1"/>
  <c r="X43" i="21"/>
  <c r="Y43" i="21" s="1"/>
  <c r="Z43" i="21" s="1"/>
  <c r="X26" i="21"/>
  <c r="Y26" i="21" s="1"/>
  <c r="Z26" i="21" s="1"/>
  <c r="U66" i="21"/>
  <c r="V66" i="21" s="1"/>
  <c r="W66" i="21" s="1"/>
  <c r="U62" i="21"/>
  <c r="V62" i="21" s="1"/>
  <c r="W62" i="21" s="1"/>
  <c r="U53" i="21"/>
  <c r="V53" i="21" s="1"/>
  <c r="W53" i="21" s="1"/>
  <c r="U24" i="21"/>
  <c r="V24" i="21" s="1"/>
  <c r="W24" i="21" s="1"/>
  <c r="AF24" i="21"/>
  <c r="AG24" i="21" s="1"/>
  <c r="AH24" i="21"/>
  <c r="U48" i="21"/>
  <c r="V48" i="21" s="1"/>
  <c r="W48" i="21" s="1"/>
  <c r="U33" i="21"/>
  <c r="V33" i="21" s="1"/>
  <c r="W33" i="21" s="1"/>
  <c r="AH33" i="21"/>
  <c r="AF33" i="21"/>
  <c r="AG33" i="21" s="1"/>
  <c r="U21" i="21"/>
  <c r="V21" i="21" s="1"/>
  <c r="W21" i="21" s="1"/>
  <c r="AF21" i="21"/>
  <c r="AG21" i="21" s="1"/>
  <c r="AH21" i="21"/>
  <c r="Q21" i="21"/>
  <c r="U14" i="21"/>
  <c r="V14" i="21" s="1"/>
  <c r="W14" i="21" s="1"/>
  <c r="AH14" i="21"/>
  <c r="AF14" i="21"/>
  <c r="U9" i="21"/>
  <c r="V9" i="21" s="1"/>
  <c r="W9" i="21" s="1"/>
  <c r="AH9" i="21"/>
  <c r="AF9" i="21"/>
  <c r="U10" i="21"/>
  <c r="V10" i="21" s="1"/>
  <c r="W10" i="21" s="1"/>
  <c r="AF10" i="21"/>
  <c r="AG10" i="21" s="1"/>
  <c r="AH10" i="21"/>
  <c r="U44" i="21"/>
  <c r="V44" i="21" s="1"/>
  <c r="W44" i="21" s="1"/>
  <c r="U92" i="21"/>
  <c r="V92" i="21" s="1"/>
  <c r="W92" i="21" s="1"/>
  <c r="U96" i="21"/>
  <c r="V96" i="21" s="1"/>
  <c r="W96" i="21" s="1"/>
  <c r="U100" i="21"/>
  <c r="V100" i="21" s="1"/>
  <c r="W100" i="21" s="1"/>
  <c r="U104" i="21"/>
  <c r="V104" i="21" s="1"/>
  <c r="W104" i="21" s="1"/>
  <c r="U108" i="21"/>
  <c r="V108" i="21" s="1"/>
  <c r="W108" i="21" s="1"/>
  <c r="U73" i="21"/>
  <c r="V73" i="21" s="1"/>
  <c r="W73" i="21" s="1"/>
  <c r="U84" i="21"/>
  <c r="V84" i="21" s="1"/>
  <c r="W84" i="21" s="1"/>
  <c r="U49" i="21"/>
  <c r="V49" i="21" s="1"/>
  <c r="W49" i="21" s="1"/>
  <c r="U27" i="21"/>
  <c r="V27" i="21" s="1"/>
  <c r="W27" i="21" s="1"/>
  <c r="AF27" i="21"/>
  <c r="AG27" i="21" s="1"/>
  <c r="AH27" i="21"/>
  <c r="U47" i="21"/>
  <c r="V47" i="21" s="1"/>
  <c r="W47" i="21" s="1"/>
  <c r="U28" i="21"/>
  <c r="V28" i="21" s="1"/>
  <c r="W28" i="21" s="1"/>
  <c r="AH28" i="21"/>
  <c r="AF28" i="21"/>
  <c r="AG28" i="21" s="1"/>
  <c r="U87" i="21"/>
  <c r="V87" i="21" s="1"/>
  <c r="W87" i="21" s="1"/>
  <c r="U77" i="21"/>
  <c r="V77" i="21" s="1"/>
  <c r="W77" i="21" s="1"/>
  <c r="X67" i="21"/>
  <c r="Y67" i="21" s="1"/>
  <c r="Z67" i="21" s="1"/>
  <c r="X63" i="21"/>
  <c r="Y63" i="21" s="1"/>
  <c r="Z63" i="21" s="1"/>
  <c r="X58" i="21"/>
  <c r="Y58" i="21" s="1"/>
  <c r="Z58" i="21" s="1"/>
  <c r="X30" i="21"/>
  <c r="Y30" i="21" s="1"/>
  <c r="Z30" i="21" s="1"/>
  <c r="X52" i="21"/>
  <c r="Y52" i="21" s="1"/>
  <c r="Z52" i="21" s="1"/>
  <c r="X37" i="21"/>
  <c r="Y37" i="21" s="1"/>
  <c r="Z37" i="21" s="1"/>
  <c r="X23" i="21"/>
  <c r="Y23" i="21" s="1"/>
  <c r="Z23" i="21" s="1"/>
  <c r="X15" i="21"/>
  <c r="Y15" i="21" s="1"/>
  <c r="Z15" i="21" s="1"/>
  <c r="X11" i="21"/>
  <c r="Y11" i="21" s="1"/>
  <c r="Z11" i="21" s="1"/>
  <c r="X17" i="21"/>
  <c r="Y17" i="21" s="1"/>
  <c r="Z17" i="21" s="1"/>
  <c r="X42" i="21"/>
  <c r="Y42" i="21" s="1"/>
  <c r="Z42" i="21" s="1"/>
  <c r="U78" i="21"/>
  <c r="V78" i="21" s="1"/>
  <c r="W78" i="21" s="1"/>
  <c r="X86" i="21"/>
  <c r="Y86" i="21" s="1"/>
  <c r="Z86" i="21" s="1"/>
  <c r="X55" i="21"/>
  <c r="Y55" i="21" s="1"/>
  <c r="Z55" i="21" s="1"/>
  <c r="X35" i="21"/>
  <c r="Y35" i="21" s="1"/>
  <c r="Z35" i="21" s="1"/>
  <c r="X50" i="21"/>
  <c r="Y50" i="21" s="1"/>
  <c r="Z50" i="21" s="1"/>
  <c r="X34" i="21"/>
  <c r="Y34" i="21" s="1"/>
  <c r="Z34" i="21" s="1"/>
  <c r="X64" i="21"/>
  <c r="Y64" i="21" s="1"/>
  <c r="Z64" i="21" s="1"/>
  <c r="X60" i="21"/>
  <c r="Y60" i="21" s="1"/>
  <c r="Z60" i="21" s="1"/>
  <c r="X31" i="21"/>
  <c r="Y31" i="21" s="1"/>
  <c r="Z31" i="21" s="1"/>
  <c r="X56" i="21"/>
  <c r="Y56" i="21" s="1"/>
  <c r="Z56" i="21" s="1"/>
  <c r="X41" i="21"/>
  <c r="Y41" i="21" s="1"/>
  <c r="Z41" i="21" s="1"/>
  <c r="X25" i="21"/>
  <c r="Y25" i="21" s="1"/>
  <c r="Z25" i="21" s="1"/>
  <c r="X16" i="21"/>
  <c r="Y16" i="21" s="1"/>
  <c r="Z16" i="21" s="1"/>
  <c r="X12" i="21"/>
  <c r="Y12" i="21" s="1"/>
  <c r="Z12" i="21" s="1"/>
  <c r="X18" i="21"/>
  <c r="Y18" i="21" s="1"/>
  <c r="Z18" i="21" s="1"/>
  <c r="X32" i="21"/>
  <c r="Y32" i="21" s="1"/>
  <c r="Z32" i="21" s="1"/>
  <c r="X51" i="21"/>
  <c r="Y51" i="21" s="1"/>
  <c r="Z51" i="21" s="1"/>
  <c r="X94" i="21"/>
  <c r="Y94" i="21" s="1"/>
  <c r="Z94" i="21" s="1"/>
  <c r="X98" i="21"/>
  <c r="Y98" i="21" s="1"/>
  <c r="Z98" i="21" s="1"/>
  <c r="X102" i="21"/>
  <c r="Y102" i="21" s="1"/>
  <c r="Z102" i="21" s="1"/>
  <c r="X106" i="21"/>
  <c r="Y106" i="21" s="1"/>
  <c r="Z106" i="21" s="1"/>
  <c r="X70" i="21"/>
  <c r="Y70" i="21" s="1"/>
  <c r="Z70" i="21" s="1"/>
  <c r="U76" i="21"/>
  <c r="V76" i="21" s="1"/>
  <c r="W76" i="21" s="1"/>
  <c r="X79" i="21"/>
  <c r="Y79" i="21" s="1"/>
  <c r="Z79" i="21" s="1"/>
  <c r="X88" i="21"/>
  <c r="Y88" i="21" s="1"/>
  <c r="Z88" i="21" s="1"/>
  <c r="X80" i="21"/>
  <c r="Y80" i="21" s="1"/>
  <c r="Z80" i="21" s="1"/>
  <c r="X36" i="21"/>
  <c r="Y36" i="21" s="1"/>
  <c r="Z36" i="21" s="1"/>
  <c r="X54" i="21"/>
  <c r="Y54" i="21" s="1"/>
  <c r="Z54" i="21" s="1"/>
  <c r="X39" i="21"/>
  <c r="Y39" i="21" s="1"/>
  <c r="Z39" i="21" s="1"/>
  <c r="X22" i="21"/>
  <c r="Y22" i="21" s="1"/>
  <c r="Z22" i="21" s="1"/>
  <c r="X77" i="21"/>
  <c r="Y77" i="21" s="1"/>
  <c r="Z77" i="21" s="1"/>
  <c r="X72" i="21"/>
  <c r="Y72" i="21" s="1"/>
  <c r="Z72" i="21" s="1"/>
  <c r="X65" i="21"/>
  <c r="Y65" i="21" s="1"/>
  <c r="Z65" i="21" s="1"/>
  <c r="X61" i="21"/>
  <c r="Y61" i="21" s="1"/>
  <c r="Z61" i="21" s="1"/>
  <c r="X38" i="21"/>
  <c r="Y38" i="21" s="1"/>
  <c r="Z38" i="21" s="1"/>
  <c r="X68" i="21"/>
  <c r="Y68" i="21" s="1"/>
  <c r="Z68" i="21" s="1"/>
  <c r="X45" i="21"/>
  <c r="Y45" i="21" s="1"/>
  <c r="Z45" i="21" s="1"/>
  <c r="X29" i="21"/>
  <c r="Y29" i="21" s="1"/>
  <c r="Z29" i="21" s="1"/>
  <c r="X19" i="21"/>
  <c r="Y19" i="21" s="1"/>
  <c r="Z19" i="21" s="1"/>
  <c r="X13" i="21"/>
  <c r="Y13" i="21" s="1"/>
  <c r="Z13" i="21" s="1"/>
  <c r="X20" i="21"/>
  <c r="Y20" i="21" s="1"/>
  <c r="Z20" i="21" s="1"/>
  <c r="X59" i="21"/>
  <c r="Y59" i="21" s="1"/>
  <c r="Z59" i="21" s="1"/>
  <c r="X46" i="21"/>
  <c r="Y46" i="21" s="1"/>
  <c r="Z46" i="21" s="1"/>
  <c r="X95" i="21"/>
  <c r="Y95" i="21" s="1"/>
  <c r="Z95" i="21" s="1"/>
  <c r="X103" i="21"/>
  <c r="Y103" i="21" s="1"/>
  <c r="Z103" i="21" s="1"/>
  <c r="X71" i="21"/>
  <c r="Y71" i="21" s="1"/>
  <c r="Z71" i="21" s="1"/>
  <c r="X74" i="21"/>
  <c r="Y74" i="21" s="1"/>
  <c r="Z74" i="21" s="1"/>
  <c r="Q81" i="21"/>
  <c r="R81" i="21" s="1"/>
  <c r="AJ25" i="21"/>
  <c r="Q98" i="21"/>
  <c r="Q59" i="21"/>
  <c r="AS59" i="21" s="1"/>
  <c r="Q97" i="21"/>
  <c r="Q101" i="21"/>
  <c r="R101" i="21" s="1"/>
  <c r="S81" i="21"/>
  <c r="Q74" i="21"/>
  <c r="R74" i="21" s="1"/>
  <c r="AJ57" i="21"/>
  <c r="AK57" i="21" s="1"/>
  <c r="AQ43" i="21"/>
  <c r="Y81" i="21"/>
  <c r="Z81" i="21" s="1"/>
  <c r="Q83" i="21"/>
  <c r="AS83" i="21" s="1"/>
  <c r="AQ45" i="21"/>
  <c r="S90" i="21"/>
  <c r="S57" i="21"/>
  <c r="AA57" i="21"/>
  <c r="AB57" i="21" s="1"/>
  <c r="S106" i="21"/>
  <c r="S83" i="21"/>
  <c r="S45" i="21"/>
  <c r="AA45" i="21"/>
  <c r="AB45" i="21" s="1"/>
  <c r="S93" i="21"/>
  <c r="S109" i="21"/>
  <c r="Q45" i="21"/>
  <c r="AS45" i="21" s="1"/>
  <c r="Q57" i="21"/>
  <c r="R57" i="21" s="1"/>
  <c r="AM50" i="21"/>
  <c r="AF85" i="21"/>
  <c r="AG85" i="21" s="1"/>
  <c r="AM85" i="21"/>
  <c r="AQ85" i="21"/>
  <c r="AM75" i="21"/>
  <c r="AQ75" i="21"/>
  <c r="AM65" i="21"/>
  <c r="AQ65" i="21"/>
  <c r="AF61" i="21"/>
  <c r="AG61" i="21" s="1"/>
  <c r="AM61" i="21"/>
  <c r="AQ61" i="21"/>
  <c r="AJ61" i="21"/>
  <c r="AK61" i="21" s="1"/>
  <c r="AF46" i="21"/>
  <c r="AG46" i="21" s="1"/>
  <c r="AM46" i="21"/>
  <c r="AF91" i="21"/>
  <c r="AG91" i="21" s="1"/>
  <c r="AM91" i="21"/>
  <c r="AQ91" i="21"/>
  <c r="AM95" i="21"/>
  <c r="AQ95" i="21"/>
  <c r="AF99" i="21"/>
  <c r="AG99" i="21" s="1"/>
  <c r="AM99" i="21"/>
  <c r="AQ99" i="21"/>
  <c r="AM103" i="21"/>
  <c r="AQ103" i="21"/>
  <c r="AF107" i="21"/>
  <c r="AG107" i="21" s="1"/>
  <c r="AM107" i="21"/>
  <c r="AQ107" i="21"/>
  <c r="AM71" i="21"/>
  <c r="AQ71" i="21"/>
  <c r="AJ71" i="21"/>
  <c r="AK71" i="21" s="1"/>
  <c r="AM78" i="21"/>
  <c r="AQ78" i="21"/>
  <c r="AA40" i="21"/>
  <c r="AB40" i="21" s="1"/>
  <c r="AM89" i="21"/>
  <c r="AQ89" i="21"/>
  <c r="AJ89" i="21"/>
  <c r="AK89" i="21" s="1"/>
  <c r="AA89" i="21"/>
  <c r="AB89" i="21" s="1"/>
  <c r="AE89" i="21" s="1"/>
  <c r="AM102" i="21"/>
  <c r="AQ102" i="21"/>
  <c r="AJ102" i="21"/>
  <c r="AK102" i="21" s="1"/>
  <c r="AA102" i="21"/>
  <c r="AB102" i="21" s="1"/>
  <c r="AJ95" i="21"/>
  <c r="AK95" i="21" s="1"/>
  <c r="AM97" i="21"/>
  <c r="AQ97" i="21"/>
  <c r="AJ97" i="21"/>
  <c r="AK97" i="21" s="1"/>
  <c r="AA97" i="21"/>
  <c r="AB97" i="21" s="1"/>
  <c r="AE97" i="21" s="1"/>
  <c r="AM59" i="21"/>
  <c r="AA59" i="21"/>
  <c r="AB59" i="21" s="1"/>
  <c r="AQ59" i="21"/>
  <c r="AJ99" i="21"/>
  <c r="AK99" i="21" s="1"/>
  <c r="AM101" i="21"/>
  <c r="AA101" i="21"/>
  <c r="AB101" i="21" s="1"/>
  <c r="AE101" i="21" s="1"/>
  <c r="AQ101" i="21"/>
  <c r="AM86" i="21"/>
  <c r="AQ86" i="21"/>
  <c r="AJ43" i="21"/>
  <c r="AK43" i="21" s="1"/>
  <c r="AA75" i="21"/>
  <c r="AB75" i="21" s="1"/>
  <c r="AE75" i="21" s="1"/>
  <c r="AM69" i="21"/>
  <c r="AQ69" i="21"/>
  <c r="AF64" i="21"/>
  <c r="AG64" i="21" s="1"/>
  <c r="AM64" i="21"/>
  <c r="AQ64" i="21"/>
  <c r="AJ64" i="21"/>
  <c r="AK64" i="21" s="1"/>
  <c r="AM60" i="21"/>
  <c r="AQ60" i="21"/>
  <c r="AQ56" i="21"/>
  <c r="AJ41" i="21"/>
  <c r="AK41" i="21" s="1"/>
  <c r="Q51" i="21"/>
  <c r="AM51" i="21"/>
  <c r="AM92" i="21"/>
  <c r="AQ92" i="21"/>
  <c r="AM96" i="21"/>
  <c r="AQ96" i="21"/>
  <c r="AM100" i="21"/>
  <c r="AQ100" i="21"/>
  <c r="Q102" i="21"/>
  <c r="AS102" i="21" s="1"/>
  <c r="AM104" i="21"/>
  <c r="AQ104" i="21"/>
  <c r="AM108" i="21"/>
  <c r="AQ108" i="21"/>
  <c r="AM73" i="21"/>
  <c r="AQ73" i="21"/>
  <c r="AM79" i="21"/>
  <c r="AQ79" i="21"/>
  <c r="AJ79" i="21"/>
  <c r="AK79" i="21" s="1"/>
  <c r="AM88" i="21"/>
  <c r="AQ88" i="21"/>
  <c r="AM80" i="21"/>
  <c r="AQ80" i="21"/>
  <c r="AF87" i="21"/>
  <c r="AG87" i="21" s="1"/>
  <c r="AM87" i="21"/>
  <c r="AQ87" i="21"/>
  <c r="AM77" i="21"/>
  <c r="AQ77" i="21"/>
  <c r="S43" i="21"/>
  <c r="AA43" i="21"/>
  <c r="AB43" i="21" s="1"/>
  <c r="S89" i="21"/>
  <c r="S56" i="21"/>
  <c r="AA56" i="21"/>
  <c r="AB56" i="21" s="1"/>
  <c r="S59" i="21"/>
  <c r="S97" i="21"/>
  <c r="S101" i="21"/>
  <c r="AJ86" i="21"/>
  <c r="AK86" i="21" s="1"/>
  <c r="AM82" i="21"/>
  <c r="AQ82" i="21"/>
  <c r="AJ82" i="21"/>
  <c r="AK82" i="21" s="1"/>
  <c r="AA82" i="21"/>
  <c r="AB82" i="21" s="1"/>
  <c r="Q43" i="21"/>
  <c r="AJ75" i="21"/>
  <c r="AK75" i="21" s="1"/>
  <c r="Q56" i="21"/>
  <c r="AJ92" i="21"/>
  <c r="AK92" i="21" s="1"/>
  <c r="AM94" i="21"/>
  <c r="AQ94" i="21"/>
  <c r="AJ94" i="21"/>
  <c r="AK94" i="21" s="1"/>
  <c r="AA94" i="21"/>
  <c r="AB94" i="21" s="1"/>
  <c r="AJ108" i="21"/>
  <c r="AK108" i="21" s="1"/>
  <c r="AJ77" i="21"/>
  <c r="AK77" i="21" s="1"/>
  <c r="AM72" i="21"/>
  <c r="AQ72" i="21"/>
  <c r="AJ72" i="21"/>
  <c r="AK72" i="21" s="1"/>
  <c r="AA72" i="21"/>
  <c r="AB72" i="21" s="1"/>
  <c r="AM90" i="21"/>
  <c r="AA90" i="21"/>
  <c r="AB90" i="21" s="1"/>
  <c r="AQ90" i="21"/>
  <c r="AJ90" i="21"/>
  <c r="AK90" i="21" s="1"/>
  <c r="AJ85" i="21"/>
  <c r="AK85" i="21" s="1"/>
  <c r="AJ96" i="21"/>
  <c r="AK96" i="21" s="1"/>
  <c r="AM106" i="21"/>
  <c r="AA106" i="21"/>
  <c r="AB106" i="21" s="1"/>
  <c r="AQ106" i="21"/>
  <c r="AJ106" i="21"/>
  <c r="AK106" i="21" s="1"/>
  <c r="AJ88" i="21"/>
  <c r="AK88" i="21" s="1"/>
  <c r="AM83" i="21"/>
  <c r="AA83" i="21"/>
  <c r="AB83" i="21" s="1"/>
  <c r="AE83" i="21" s="1"/>
  <c r="AQ83" i="21"/>
  <c r="AJ83" i="21"/>
  <c r="AK83" i="21" s="1"/>
  <c r="AJ101" i="21"/>
  <c r="AK101" i="21" s="1"/>
  <c r="AJ103" i="21"/>
  <c r="AK103" i="21" s="1"/>
  <c r="AM105" i="21"/>
  <c r="AQ105" i="21"/>
  <c r="AJ105" i="21"/>
  <c r="AK105" i="21" s="1"/>
  <c r="AA105" i="21"/>
  <c r="AB105" i="21" s="1"/>
  <c r="AE105" i="21" s="1"/>
  <c r="AJ78" i="21"/>
  <c r="AK78" i="21" s="1"/>
  <c r="AM81" i="21"/>
  <c r="AA81" i="21"/>
  <c r="AB81" i="21" s="1"/>
  <c r="AQ81" i="21"/>
  <c r="AJ81" i="21"/>
  <c r="AK81" i="21" s="1"/>
  <c r="AJ69" i="21"/>
  <c r="AK69" i="21" s="1"/>
  <c r="AJ60" i="21"/>
  <c r="AK60" i="21" s="1"/>
  <c r="AM98" i="21"/>
  <c r="AA98" i="21"/>
  <c r="AB98" i="21" s="1"/>
  <c r="AQ98" i="21"/>
  <c r="AJ98" i="21"/>
  <c r="AK98" i="21" s="1"/>
  <c r="AJ104" i="21"/>
  <c r="AK104" i="21" s="1"/>
  <c r="AJ73" i="21"/>
  <c r="AK73" i="21" s="1"/>
  <c r="AM84" i="21"/>
  <c r="AA84" i="21"/>
  <c r="AB84" i="21" s="1"/>
  <c r="AQ84" i="21"/>
  <c r="AJ84" i="21"/>
  <c r="AK84" i="21" s="1"/>
  <c r="AJ87" i="21"/>
  <c r="AK87" i="21" s="1"/>
  <c r="AJ65" i="21"/>
  <c r="AK65" i="21" s="1"/>
  <c r="AM68" i="21"/>
  <c r="AQ68" i="21"/>
  <c r="AA68" i="21"/>
  <c r="AB68" i="21" s="1"/>
  <c r="AJ91" i="21"/>
  <c r="AK91" i="21" s="1"/>
  <c r="AM93" i="21"/>
  <c r="AA93" i="21"/>
  <c r="AB93" i="21" s="1"/>
  <c r="AE93" i="21" s="1"/>
  <c r="AQ93" i="21"/>
  <c r="AJ107" i="21"/>
  <c r="AK107" i="21" s="1"/>
  <c r="AM109" i="21"/>
  <c r="AA109" i="21"/>
  <c r="AB109" i="21" s="1"/>
  <c r="AE109" i="21" s="1"/>
  <c r="AQ109" i="21"/>
  <c r="AL53" i="20"/>
  <c r="AL40" i="21"/>
  <c r="AL50" i="21"/>
  <c r="AL34" i="21"/>
  <c r="AL31" i="21"/>
  <c r="AL48" i="21"/>
  <c r="AL33" i="21"/>
  <c r="AL16" i="21"/>
  <c r="AL12" i="21"/>
  <c r="AL10" i="21"/>
  <c r="AL32" i="21"/>
  <c r="AL51" i="21"/>
  <c r="AL49" i="21"/>
  <c r="AL27" i="21"/>
  <c r="AL54" i="21"/>
  <c r="AL39" i="21"/>
  <c r="AL38" i="21"/>
  <c r="AL52" i="21"/>
  <c r="AL37" i="21"/>
  <c r="AL23" i="21"/>
  <c r="AL19" i="21"/>
  <c r="AL13" i="21"/>
  <c r="AL17" i="21"/>
  <c r="AL46" i="21"/>
  <c r="AL55" i="21"/>
  <c r="AL35" i="21"/>
  <c r="AL57" i="21"/>
  <c r="AL43" i="21"/>
  <c r="AL26" i="21"/>
  <c r="AL53" i="21"/>
  <c r="AL24" i="21"/>
  <c r="AL56" i="21"/>
  <c r="AL41" i="21"/>
  <c r="AL25" i="21"/>
  <c r="AL21" i="21"/>
  <c r="AL14" i="21"/>
  <c r="AL9" i="21"/>
  <c r="AL18" i="21"/>
  <c r="AL44" i="21"/>
  <c r="AL36" i="21"/>
  <c r="AL47" i="21"/>
  <c r="AL28" i="21"/>
  <c r="AL22" i="21"/>
  <c r="AL58" i="21"/>
  <c r="AL30" i="21"/>
  <c r="AL45" i="21"/>
  <c r="AL29" i="21"/>
  <c r="AL15" i="21"/>
  <c r="AL11" i="21"/>
  <c r="AL20" i="21"/>
  <c r="AL42" i="21"/>
  <c r="R90" i="21"/>
  <c r="AS90" i="21"/>
  <c r="S86" i="21"/>
  <c r="AH86" i="21"/>
  <c r="Q86" i="21"/>
  <c r="S40" i="21"/>
  <c r="AM40" i="21"/>
  <c r="AQ40" i="21"/>
  <c r="AH40" i="21"/>
  <c r="AA85" i="21"/>
  <c r="AB85" i="21" s="1"/>
  <c r="S75" i="21"/>
  <c r="AH75" i="21"/>
  <c r="Q75" i="21"/>
  <c r="S69" i="21"/>
  <c r="Q69" i="21"/>
  <c r="AH69" i="21"/>
  <c r="S60" i="21"/>
  <c r="Q60" i="21"/>
  <c r="AH60" i="21"/>
  <c r="S31" i="21"/>
  <c r="AM31" i="21"/>
  <c r="AQ31" i="21"/>
  <c r="Q31" i="21"/>
  <c r="AA31" i="21"/>
  <c r="AB31" i="21" s="1"/>
  <c r="AJ31" i="21"/>
  <c r="S48" i="21"/>
  <c r="AH48" i="21"/>
  <c r="AJ48" i="21"/>
  <c r="AK48" i="21" s="1"/>
  <c r="AQ48" i="21"/>
  <c r="Q48" i="21"/>
  <c r="AA48" i="21"/>
  <c r="AB48" i="21" s="1"/>
  <c r="S33" i="21"/>
  <c r="AM33" i="21"/>
  <c r="AA33" i="21"/>
  <c r="AB33" i="21" s="1"/>
  <c r="AJ33" i="21"/>
  <c r="AQ33" i="21"/>
  <c r="Q33" i="21"/>
  <c r="S16" i="21"/>
  <c r="AM16" i="21"/>
  <c r="AQ16" i="21"/>
  <c r="Q16" i="21"/>
  <c r="AA16" i="21"/>
  <c r="AB16" i="21" s="1"/>
  <c r="AJ16" i="21"/>
  <c r="S12" i="21"/>
  <c r="AM12" i="21"/>
  <c r="AQ12" i="21"/>
  <c r="Q12" i="21"/>
  <c r="AA12" i="21"/>
  <c r="AB12" i="21" s="1"/>
  <c r="AJ12" i="21"/>
  <c r="AA92" i="21"/>
  <c r="AB92" i="21" s="1"/>
  <c r="S96" i="21"/>
  <c r="AH96" i="21"/>
  <c r="Q96" i="21"/>
  <c r="AA100" i="21"/>
  <c r="AB100" i="21" s="1"/>
  <c r="S104" i="21"/>
  <c r="AH104" i="21"/>
  <c r="Q104" i="21"/>
  <c r="AA108" i="21"/>
  <c r="AB108" i="21" s="1"/>
  <c r="S79" i="21"/>
  <c r="Q79" i="21"/>
  <c r="AH79" i="21"/>
  <c r="AA88" i="21"/>
  <c r="AB88" i="21" s="1"/>
  <c r="S80" i="21"/>
  <c r="AH80" i="21"/>
  <c r="Q80" i="21"/>
  <c r="S49" i="21"/>
  <c r="AQ49" i="21"/>
  <c r="AH49" i="21"/>
  <c r="AJ49" i="21"/>
  <c r="AK49" i="21" s="1"/>
  <c r="AF36" i="21"/>
  <c r="S54" i="21"/>
  <c r="AH54" i="21"/>
  <c r="AJ54" i="21"/>
  <c r="AK54" i="21" s="1"/>
  <c r="AQ54" i="21"/>
  <c r="Q54" i="21"/>
  <c r="AA54" i="21"/>
  <c r="AB54" i="21" s="1"/>
  <c r="AJ39" i="21"/>
  <c r="AK39" i="21" s="1"/>
  <c r="Q39" i="21"/>
  <c r="AA87" i="21"/>
  <c r="AB87" i="21" s="1"/>
  <c r="S77" i="21"/>
  <c r="AH77" i="21"/>
  <c r="Q77" i="21"/>
  <c r="S65" i="21"/>
  <c r="Q65" i="21"/>
  <c r="AH65" i="21"/>
  <c r="S38" i="21"/>
  <c r="AM38" i="21"/>
  <c r="AQ38" i="21"/>
  <c r="AH38" i="21"/>
  <c r="S52" i="21"/>
  <c r="AH52" i="21"/>
  <c r="AJ52" i="21"/>
  <c r="AK52" i="21" s="1"/>
  <c r="AQ52" i="21"/>
  <c r="Q52" i="21"/>
  <c r="AA52" i="21"/>
  <c r="AB52" i="21" s="1"/>
  <c r="AJ37" i="21"/>
  <c r="AK37" i="21" s="1"/>
  <c r="Q37" i="21"/>
  <c r="S23" i="21"/>
  <c r="AM23" i="21"/>
  <c r="AA23" i="21"/>
  <c r="AB23" i="21" s="1"/>
  <c r="AJ23" i="21"/>
  <c r="AQ23" i="21"/>
  <c r="Q23" i="21"/>
  <c r="S19" i="21"/>
  <c r="AM19" i="21"/>
  <c r="AQ19" i="21"/>
  <c r="Q19" i="21"/>
  <c r="AA19" i="21"/>
  <c r="AB19" i="21" s="1"/>
  <c r="AJ19" i="21"/>
  <c r="S13" i="21"/>
  <c r="AM13" i="21"/>
  <c r="AQ13" i="21"/>
  <c r="Q13" i="21"/>
  <c r="AA13" i="21"/>
  <c r="AB13" i="21" s="1"/>
  <c r="AJ13" i="21"/>
  <c r="AA91" i="21"/>
  <c r="AB91" i="21" s="1"/>
  <c r="S95" i="21"/>
  <c r="AH95" i="21"/>
  <c r="Q95" i="21"/>
  <c r="AA99" i="21"/>
  <c r="AB99" i="21" s="1"/>
  <c r="S103" i="21"/>
  <c r="AH103" i="21"/>
  <c r="Q103" i="21"/>
  <c r="AA107" i="21"/>
  <c r="AB107" i="21" s="1"/>
  <c r="S78" i="21"/>
  <c r="Q78" i="21"/>
  <c r="AH78" i="21"/>
  <c r="R183" i="20"/>
  <c r="T183" i="20" s="1"/>
  <c r="BI183" i="20" s="1"/>
  <c r="AS183" i="20"/>
  <c r="AG116" i="20"/>
  <c r="AI116" i="20" s="1"/>
  <c r="AV116" i="20"/>
  <c r="BL116" i="20" s="1"/>
  <c r="AF86" i="21"/>
  <c r="AF40" i="21"/>
  <c r="S26" i="21"/>
  <c r="AM26" i="21"/>
  <c r="AQ26" i="21"/>
  <c r="Q26" i="21"/>
  <c r="AA26" i="21"/>
  <c r="AB26" i="21" s="1"/>
  <c r="AA69" i="21"/>
  <c r="AB69" i="21" s="1"/>
  <c r="AE69" i="21" s="1"/>
  <c r="AA60" i="21"/>
  <c r="AB60" i="21" s="1"/>
  <c r="AF48" i="21"/>
  <c r="S41" i="21"/>
  <c r="AM41" i="21"/>
  <c r="AQ41" i="21"/>
  <c r="AH41" i="21"/>
  <c r="AA51" i="21"/>
  <c r="AB51" i="21" s="1"/>
  <c r="AF96" i="21"/>
  <c r="AF104" i="21"/>
  <c r="AA73" i="21"/>
  <c r="AB73" i="21" s="1"/>
  <c r="AF79" i="21"/>
  <c r="AF80" i="21"/>
  <c r="AA49" i="21"/>
  <c r="AB49" i="21" s="1"/>
  <c r="AF54" i="21"/>
  <c r="AF39" i="21"/>
  <c r="S28" i="21"/>
  <c r="AM28" i="21"/>
  <c r="AQ28" i="21"/>
  <c r="Q28" i="21"/>
  <c r="AA28" i="21"/>
  <c r="AB28" i="21" s="1"/>
  <c r="AA65" i="21"/>
  <c r="AB65" i="21" s="1"/>
  <c r="Q38" i="21"/>
  <c r="AJ38" i="21"/>
  <c r="AK38" i="21" s="1"/>
  <c r="AF52" i="21"/>
  <c r="AF37" i="21"/>
  <c r="S29" i="21"/>
  <c r="AM29" i="21"/>
  <c r="AQ29" i="21"/>
  <c r="Q29" i="21"/>
  <c r="AA29" i="21"/>
  <c r="AB29" i="21" s="1"/>
  <c r="AA71" i="21"/>
  <c r="AB71" i="21" s="1"/>
  <c r="AF78" i="21"/>
  <c r="AA38" i="21"/>
  <c r="AB38" i="21" s="1"/>
  <c r="AA37" i="21"/>
  <c r="AB37" i="21" s="1"/>
  <c r="C79" i="21"/>
  <c r="B79" i="21" s="1"/>
  <c r="B80" i="21" s="1"/>
  <c r="B70" i="21"/>
  <c r="AJ35" i="21"/>
  <c r="AK35" i="21" s="1"/>
  <c r="Q35" i="21"/>
  <c r="S50" i="21"/>
  <c r="AH50" i="21"/>
  <c r="AJ50" i="21"/>
  <c r="AK50" i="21" s="1"/>
  <c r="AQ50" i="21"/>
  <c r="Q50" i="21"/>
  <c r="AA50" i="21"/>
  <c r="AB50" i="21" s="1"/>
  <c r="S34" i="21"/>
  <c r="AM34" i="21"/>
  <c r="AA34" i="21"/>
  <c r="AB34" i="21" s="1"/>
  <c r="AJ34" i="21"/>
  <c r="AQ34" i="21"/>
  <c r="Q34" i="21"/>
  <c r="AK26" i="21"/>
  <c r="S85" i="21"/>
  <c r="AH85" i="21"/>
  <c r="Q85" i="21"/>
  <c r="S64" i="21"/>
  <c r="Q64" i="21"/>
  <c r="AH64" i="21"/>
  <c r="AG56" i="21"/>
  <c r="S10" i="21"/>
  <c r="AM10" i="21"/>
  <c r="AA10" i="21"/>
  <c r="AB10" i="21" s="1"/>
  <c r="AJ10" i="21"/>
  <c r="AQ10" i="21"/>
  <c r="Q10" i="21"/>
  <c r="S32" i="21"/>
  <c r="AM32" i="21"/>
  <c r="AQ32" i="21"/>
  <c r="Q32" i="21"/>
  <c r="AA32" i="21"/>
  <c r="AB32" i="21" s="1"/>
  <c r="AJ32" i="21"/>
  <c r="S51" i="21"/>
  <c r="AQ51" i="21"/>
  <c r="AH51" i="21"/>
  <c r="AJ51" i="21"/>
  <c r="AK51" i="21" s="1"/>
  <c r="S92" i="21"/>
  <c r="AH92" i="21"/>
  <c r="Q92" i="21"/>
  <c r="AA96" i="21"/>
  <c r="AB96" i="21" s="1"/>
  <c r="S100" i="21"/>
  <c r="AH100" i="21"/>
  <c r="Q100" i="21"/>
  <c r="AA104" i="21"/>
  <c r="AB104" i="21" s="1"/>
  <c r="S108" i="21"/>
  <c r="AH108" i="21"/>
  <c r="Q108" i="21"/>
  <c r="S73" i="21"/>
  <c r="Q73" i="21"/>
  <c r="AH73" i="21"/>
  <c r="S88" i="21"/>
  <c r="AH88" i="21"/>
  <c r="Q88" i="21"/>
  <c r="AA80" i="21"/>
  <c r="AB80" i="21" s="1"/>
  <c r="AJ36" i="21"/>
  <c r="AK36" i="21" s="1"/>
  <c r="Q36" i="21"/>
  <c r="S27" i="21"/>
  <c r="AM27" i="21"/>
  <c r="AQ27" i="21"/>
  <c r="Q27" i="21"/>
  <c r="AA27" i="21"/>
  <c r="AB27" i="21" s="1"/>
  <c r="AJ27" i="21"/>
  <c r="S39" i="21"/>
  <c r="AM39" i="21"/>
  <c r="AH39" i="21"/>
  <c r="AQ39" i="21"/>
  <c r="AK28" i="21"/>
  <c r="S87" i="21"/>
  <c r="AH87" i="21"/>
  <c r="Q87" i="21"/>
  <c r="S61" i="21"/>
  <c r="Q61" i="21"/>
  <c r="AH61" i="21"/>
  <c r="S37" i="21"/>
  <c r="AM37" i="21"/>
  <c r="AH37" i="21"/>
  <c r="AQ37" i="21"/>
  <c r="AK29" i="21"/>
  <c r="S17" i="21"/>
  <c r="AM17" i="21"/>
  <c r="AA17" i="21"/>
  <c r="AB17" i="21" s="1"/>
  <c r="AJ17" i="21"/>
  <c r="AQ17" i="21"/>
  <c r="Q17" i="21"/>
  <c r="AJ42" i="21"/>
  <c r="AK42" i="21" s="1"/>
  <c r="Q42" i="21"/>
  <c r="S46" i="21"/>
  <c r="AQ46" i="21"/>
  <c r="AH46" i="21"/>
  <c r="AJ46" i="21"/>
  <c r="AK46" i="21" s="1"/>
  <c r="S91" i="21"/>
  <c r="AH91" i="21"/>
  <c r="Q91" i="21"/>
  <c r="AA95" i="21"/>
  <c r="AB95" i="21" s="1"/>
  <c r="S99" i="21"/>
  <c r="AH99" i="21"/>
  <c r="Q99" i="21"/>
  <c r="AA103" i="21"/>
  <c r="AB103" i="21" s="1"/>
  <c r="S107" i="21"/>
  <c r="AH107" i="21"/>
  <c r="Q107" i="21"/>
  <c r="S71" i="21"/>
  <c r="Q71" i="21"/>
  <c r="AH71" i="21"/>
  <c r="Q40" i="21"/>
  <c r="AJ40" i="21"/>
  <c r="AK40" i="21" s="1"/>
  <c r="AF50" i="21"/>
  <c r="Y85" i="21"/>
  <c r="Z85" i="21" s="1"/>
  <c r="AF75" i="21"/>
  <c r="AF69" i="21"/>
  <c r="AA64" i="21"/>
  <c r="AB64" i="21" s="1"/>
  <c r="AF60" i="21"/>
  <c r="Q41" i="21"/>
  <c r="AA41" i="21"/>
  <c r="AB41" i="21" s="1"/>
  <c r="S25" i="21"/>
  <c r="AM25" i="21"/>
  <c r="AQ25" i="21"/>
  <c r="Q25" i="21"/>
  <c r="AA25" i="21"/>
  <c r="AB25" i="21" s="1"/>
  <c r="S18" i="21"/>
  <c r="AM18" i="21"/>
  <c r="AQ18" i="21"/>
  <c r="Q18" i="21"/>
  <c r="AA18" i="21"/>
  <c r="AB18" i="21" s="1"/>
  <c r="AF51" i="21"/>
  <c r="AF92" i="21"/>
  <c r="AF100" i="21"/>
  <c r="AF108" i="21"/>
  <c r="AF73" i="21"/>
  <c r="AA79" i="21"/>
  <c r="AB79" i="21" s="1"/>
  <c r="AF88" i="21"/>
  <c r="AF49" i="21"/>
  <c r="AF77" i="21"/>
  <c r="AF65" i="21"/>
  <c r="AA61" i="21"/>
  <c r="AB61" i="21" s="1"/>
  <c r="AF38" i="21"/>
  <c r="S20" i="21"/>
  <c r="AM20" i="21"/>
  <c r="AQ20" i="21"/>
  <c r="Q20" i="21"/>
  <c r="AA20" i="21"/>
  <c r="AB20" i="21" s="1"/>
  <c r="AA46" i="21"/>
  <c r="AB46" i="21" s="1"/>
  <c r="AF95" i="21"/>
  <c r="AF103" i="21"/>
  <c r="AF71" i="21"/>
  <c r="AA78" i="21"/>
  <c r="AB78" i="21" s="1"/>
  <c r="AA35" i="21"/>
  <c r="AB35" i="21" s="1"/>
  <c r="AA39" i="21"/>
  <c r="AB39" i="21" s="1"/>
  <c r="Q46" i="21"/>
  <c r="AF41" i="21"/>
  <c r="Q49" i="21"/>
  <c r="AA42" i="21"/>
  <c r="AB42" i="21" s="1"/>
  <c r="AF203" i="20"/>
  <c r="AG203" i="20" s="1"/>
  <c r="AA161" i="20"/>
  <c r="AB161" i="20" s="1"/>
  <c r="AF134" i="20"/>
  <c r="AG134" i="20" s="1"/>
  <c r="AF208" i="20"/>
  <c r="AG208" i="20" s="1"/>
  <c r="AF150" i="20"/>
  <c r="AG150" i="20" s="1"/>
  <c r="AF117" i="20"/>
  <c r="AG117" i="20" s="1"/>
  <c r="AG183" i="20"/>
  <c r="AV183" i="20"/>
  <c r="BL183" i="20" s="1"/>
  <c r="R143" i="20"/>
  <c r="T143" i="20" s="1"/>
  <c r="AS143" i="20"/>
  <c r="R139" i="20"/>
  <c r="AS139" i="20"/>
  <c r="P61" i="20"/>
  <c r="AM61" i="20" s="1"/>
  <c r="AO83" i="20"/>
  <c r="AP83" i="20" s="1"/>
  <c r="AQ83" i="20"/>
  <c r="AO163" i="20"/>
  <c r="AP163" i="20" s="1"/>
  <c r="S163" i="20"/>
  <c r="U163" i="20"/>
  <c r="V163" i="20" s="1"/>
  <c r="W163" i="20" s="1"/>
  <c r="AD163" i="20"/>
  <c r="AF163" i="20"/>
  <c r="AA163" i="20"/>
  <c r="AB163" i="20" s="1"/>
  <c r="AH163" i="20"/>
  <c r="Q163" i="20"/>
  <c r="AF168" i="20"/>
  <c r="S202" i="20"/>
  <c r="U202" i="20"/>
  <c r="V202" i="20" s="1"/>
  <c r="W202" i="20" s="1"/>
  <c r="AD202" i="20"/>
  <c r="AH202" i="20"/>
  <c r="Q202" i="20"/>
  <c r="AO202" i="20"/>
  <c r="AP202" i="20" s="1"/>
  <c r="AF202" i="20"/>
  <c r="AS118" i="20"/>
  <c r="AH174" i="20"/>
  <c r="S174" i="20"/>
  <c r="AD174" i="20"/>
  <c r="U174" i="20"/>
  <c r="V174" i="20" s="1"/>
  <c r="W174" i="20" s="1"/>
  <c r="AA174" i="20"/>
  <c r="AB174" i="20" s="1"/>
  <c r="Q174" i="20"/>
  <c r="AO174" i="20"/>
  <c r="AP174" i="20" s="1"/>
  <c r="AF174" i="20"/>
  <c r="S141" i="20"/>
  <c r="AD141" i="20"/>
  <c r="U141" i="20"/>
  <c r="V141" i="20" s="1"/>
  <c r="W141" i="20" s="1"/>
  <c r="Q141" i="20"/>
  <c r="AA141" i="20"/>
  <c r="AB141" i="20" s="1"/>
  <c r="AH141" i="20"/>
  <c r="AF141" i="20"/>
  <c r="AO141" i="20"/>
  <c r="AP141" i="20" s="1"/>
  <c r="S157" i="20"/>
  <c r="U157" i="20"/>
  <c r="V157" i="20" s="1"/>
  <c r="W157" i="20" s="1"/>
  <c r="AD157" i="20"/>
  <c r="AA157" i="20"/>
  <c r="AB157" i="20" s="1"/>
  <c r="AO157" i="20"/>
  <c r="AP157" i="20" s="1"/>
  <c r="AH157" i="20"/>
  <c r="Q157" i="20"/>
  <c r="AF157" i="20"/>
  <c r="S140" i="20"/>
  <c r="AD140" i="20"/>
  <c r="U140" i="20"/>
  <c r="V140" i="20" s="1"/>
  <c r="W140" i="20" s="1"/>
  <c r="AH140" i="20"/>
  <c r="AF140" i="20"/>
  <c r="AA140" i="20"/>
  <c r="AB140" i="20" s="1"/>
  <c r="AO140" i="20"/>
  <c r="AP140" i="20" s="1"/>
  <c r="Q140" i="20"/>
  <c r="AG155" i="20"/>
  <c r="AI155" i="20" s="1"/>
  <c r="AV155" i="20"/>
  <c r="BL155" i="20" s="1"/>
  <c r="Q165" i="20"/>
  <c r="S165" i="20"/>
  <c r="AD165" i="20"/>
  <c r="U165" i="20"/>
  <c r="V165" i="20" s="1"/>
  <c r="W165" i="20" s="1"/>
  <c r="AO165" i="20"/>
  <c r="AP165" i="20" s="1"/>
  <c r="AA165" i="20"/>
  <c r="AB165" i="20" s="1"/>
  <c r="AH165" i="20"/>
  <c r="S113" i="20"/>
  <c r="U113" i="20"/>
  <c r="V113" i="20" s="1"/>
  <c r="W113" i="20" s="1"/>
  <c r="AD113" i="20"/>
  <c r="AO113" i="20"/>
  <c r="AP113" i="20" s="1"/>
  <c r="AF113" i="20"/>
  <c r="AH113" i="20"/>
  <c r="Q113" i="20"/>
  <c r="AA113" i="20"/>
  <c r="AB113" i="20" s="1"/>
  <c r="S187" i="20"/>
  <c r="U187" i="20"/>
  <c r="V187" i="20" s="1"/>
  <c r="W187" i="20" s="1"/>
  <c r="AD187" i="20"/>
  <c r="AF187" i="20"/>
  <c r="AH187" i="20"/>
  <c r="Q187" i="20"/>
  <c r="AA187" i="20"/>
  <c r="AB187" i="20" s="1"/>
  <c r="AO187" i="20"/>
  <c r="AP187" i="20" s="1"/>
  <c r="Q176" i="20"/>
  <c r="S176" i="20"/>
  <c r="AD176" i="20"/>
  <c r="U176" i="20"/>
  <c r="V176" i="20" s="1"/>
  <c r="W176" i="20" s="1"/>
  <c r="AH176" i="20"/>
  <c r="AA176" i="20"/>
  <c r="AB176" i="20" s="1"/>
  <c r="AO176" i="20"/>
  <c r="AP176" i="20" s="1"/>
  <c r="AH184" i="20"/>
  <c r="S184" i="20"/>
  <c r="U184" i="20"/>
  <c r="V184" i="20" s="1"/>
  <c r="W184" i="20" s="1"/>
  <c r="AD184" i="20"/>
  <c r="AO184" i="20"/>
  <c r="AP184" i="20" s="1"/>
  <c r="Q184" i="20"/>
  <c r="AF184" i="20"/>
  <c r="AA184" i="20"/>
  <c r="AB184" i="20" s="1"/>
  <c r="S110" i="20"/>
  <c r="U110" i="20"/>
  <c r="V110" i="20" s="1"/>
  <c r="W110" i="20" s="1"/>
  <c r="AD110" i="20"/>
  <c r="AF110" i="20"/>
  <c r="Q110" i="20"/>
  <c r="AO110" i="20"/>
  <c r="AP110" i="20" s="1"/>
  <c r="AA110" i="20"/>
  <c r="AB110" i="20" s="1"/>
  <c r="AH110" i="20"/>
  <c r="S126" i="20"/>
  <c r="U126" i="20"/>
  <c r="V126" i="20" s="1"/>
  <c r="W126" i="20" s="1"/>
  <c r="AD126" i="20"/>
  <c r="AH126" i="20"/>
  <c r="AO126" i="20"/>
  <c r="AP126" i="20" s="1"/>
  <c r="AA126" i="20"/>
  <c r="AB126" i="20" s="1"/>
  <c r="Q126" i="20"/>
  <c r="AF126" i="20"/>
  <c r="S125" i="20"/>
  <c r="AD125" i="20"/>
  <c r="U125" i="20"/>
  <c r="V125" i="20" s="1"/>
  <c r="W125" i="20" s="1"/>
  <c r="AA125" i="20"/>
  <c r="AB125" i="20" s="1"/>
  <c r="AO125" i="20"/>
  <c r="AP125" i="20" s="1"/>
  <c r="AF125" i="20"/>
  <c r="AH125" i="20"/>
  <c r="Q125" i="20"/>
  <c r="S133" i="20"/>
  <c r="U133" i="20"/>
  <c r="V133" i="20" s="1"/>
  <c r="W133" i="20" s="1"/>
  <c r="AD133" i="20"/>
  <c r="AF133" i="20"/>
  <c r="AO133" i="20"/>
  <c r="AP133" i="20" s="1"/>
  <c r="AH133" i="20"/>
  <c r="AA133" i="20"/>
  <c r="AB133" i="20" s="1"/>
  <c r="Q133" i="20"/>
  <c r="S149" i="20"/>
  <c r="U149" i="20"/>
  <c r="V149" i="20" s="1"/>
  <c r="W149" i="20" s="1"/>
  <c r="AD149" i="20"/>
  <c r="AA149" i="20"/>
  <c r="AB149" i="20" s="1"/>
  <c r="AO149" i="20"/>
  <c r="AP149" i="20" s="1"/>
  <c r="AH149" i="20"/>
  <c r="AF149" i="20"/>
  <c r="Q149" i="20"/>
  <c r="S119" i="20"/>
  <c r="U119" i="20"/>
  <c r="V119" i="20" s="1"/>
  <c r="W119" i="20" s="1"/>
  <c r="AD119" i="20"/>
  <c r="AO119" i="20"/>
  <c r="AP119" i="20" s="1"/>
  <c r="Q119" i="20"/>
  <c r="AH119" i="20"/>
  <c r="S209" i="20"/>
  <c r="U209" i="20"/>
  <c r="V209" i="20" s="1"/>
  <c r="W209" i="20" s="1"/>
  <c r="AD209" i="20"/>
  <c r="AH209" i="20"/>
  <c r="AO209" i="20"/>
  <c r="AP209" i="20" s="1"/>
  <c r="AF209" i="20"/>
  <c r="Q209" i="20"/>
  <c r="R173" i="20"/>
  <c r="AS173" i="20"/>
  <c r="S200" i="20"/>
  <c r="U200" i="20"/>
  <c r="V200" i="20" s="1"/>
  <c r="W200" i="20" s="1"/>
  <c r="AD200" i="20"/>
  <c r="AH200" i="20"/>
  <c r="AO200" i="20"/>
  <c r="AP200" i="20" s="1"/>
  <c r="Q200" i="20"/>
  <c r="S177" i="20"/>
  <c r="U177" i="20"/>
  <c r="V177" i="20" s="1"/>
  <c r="W177" i="20" s="1"/>
  <c r="AD177" i="20"/>
  <c r="AH177" i="20"/>
  <c r="AO177" i="20"/>
  <c r="AP177" i="20" s="1"/>
  <c r="AF177" i="20"/>
  <c r="Q177" i="20"/>
  <c r="S186" i="20"/>
  <c r="AD186" i="20"/>
  <c r="U186" i="20"/>
  <c r="V186" i="20" s="1"/>
  <c r="W186" i="20" s="1"/>
  <c r="Q186" i="20"/>
  <c r="AH186" i="20"/>
  <c r="AO186" i="20"/>
  <c r="AP186" i="20" s="1"/>
  <c r="AF186" i="20"/>
  <c r="S194" i="20"/>
  <c r="AD194" i="20"/>
  <c r="U194" i="20"/>
  <c r="V194" i="20" s="1"/>
  <c r="W194" i="20" s="1"/>
  <c r="Q194" i="20"/>
  <c r="AO194" i="20"/>
  <c r="AP194" i="20" s="1"/>
  <c r="AH194" i="20"/>
  <c r="AA194" i="20"/>
  <c r="AB194" i="20" s="1"/>
  <c r="S132" i="20"/>
  <c r="AD132" i="20"/>
  <c r="U132" i="20"/>
  <c r="V132" i="20" s="1"/>
  <c r="W132" i="20" s="1"/>
  <c r="Q132" i="20"/>
  <c r="AO132" i="20"/>
  <c r="AP132" i="20" s="1"/>
  <c r="AF132" i="20"/>
  <c r="AH132" i="20"/>
  <c r="X165" i="20"/>
  <c r="Y165" i="20" s="1"/>
  <c r="Z165" i="20" s="1"/>
  <c r="S198" i="20"/>
  <c r="AD198" i="20"/>
  <c r="U198" i="20"/>
  <c r="V198" i="20" s="1"/>
  <c r="W198" i="20" s="1"/>
  <c r="AO198" i="20"/>
  <c r="AP198" i="20" s="1"/>
  <c r="AH198" i="20"/>
  <c r="Q198" i="20"/>
  <c r="S122" i="20"/>
  <c r="U122" i="20"/>
  <c r="V122" i="20" s="1"/>
  <c r="W122" i="20" s="1"/>
  <c r="AD122" i="20"/>
  <c r="AO122" i="20"/>
  <c r="AP122" i="20" s="1"/>
  <c r="AF122" i="20"/>
  <c r="AH122" i="20"/>
  <c r="Q122" i="20"/>
  <c r="S130" i="20"/>
  <c r="AD130" i="20"/>
  <c r="U130" i="20"/>
  <c r="V130" i="20" s="1"/>
  <c r="W130" i="20" s="1"/>
  <c r="Q130" i="20"/>
  <c r="AH130" i="20"/>
  <c r="AO130" i="20"/>
  <c r="AP130" i="20" s="1"/>
  <c r="AA130" i="20"/>
  <c r="AB130" i="20" s="1"/>
  <c r="S146" i="20"/>
  <c r="AD146" i="20"/>
  <c r="U146" i="20"/>
  <c r="V146" i="20" s="1"/>
  <c r="W146" i="20" s="1"/>
  <c r="Q146" i="20"/>
  <c r="AO146" i="20"/>
  <c r="AP146" i="20" s="1"/>
  <c r="AH146" i="20"/>
  <c r="S162" i="20"/>
  <c r="AD162" i="20"/>
  <c r="U162" i="20"/>
  <c r="V162" i="20" s="1"/>
  <c r="W162" i="20" s="1"/>
  <c r="AO162" i="20"/>
  <c r="AP162" i="20" s="1"/>
  <c r="Q162" i="20"/>
  <c r="AH162" i="20"/>
  <c r="S178" i="20"/>
  <c r="AD178" i="20"/>
  <c r="U178" i="20"/>
  <c r="V178" i="20" s="1"/>
  <c r="W178" i="20" s="1"/>
  <c r="Q178" i="20"/>
  <c r="AA178" i="20"/>
  <c r="AB178" i="20" s="1"/>
  <c r="AH178" i="20"/>
  <c r="AO178" i="20"/>
  <c r="AP178" i="20" s="1"/>
  <c r="S137" i="20"/>
  <c r="U137" i="20"/>
  <c r="V137" i="20" s="1"/>
  <c r="W137" i="20" s="1"/>
  <c r="AD137" i="20"/>
  <c r="Q137" i="20"/>
  <c r="AH137" i="20"/>
  <c r="AF137" i="20"/>
  <c r="AO137" i="20"/>
  <c r="AP137" i="20" s="1"/>
  <c r="S120" i="20"/>
  <c r="U120" i="20"/>
  <c r="V120" i="20" s="1"/>
  <c r="W120" i="20" s="1"/>
  <c r="AD120" i="20"/>
  <c r="AH120" i="20"/>
  <c r="AO120" i="20"/>
  <c r="AP120" i="20" s="1"/>
  <c r="AA120" i="20"/>
  <c r="AB120" i="20" s="1"/>
  <c r="Q120" i="20"/>
  <c r="S136" i="20"/>
  <c r="AD136" i="20"/>
  <c r="U136" i="20"/>
  <c r="V136" i="20" s="1"/>
  <c r="W136" i="20" s="1"/>
  <c r="AO136" i="20"/>
  <c r="AP136" i="20" s="1"/>
  <c r="Q136" i="20"/>
  <c r="AH136" i="20"/>
  <c r="AA136" i="20"/>
  <c r="AB136" i="20" s="1"/>
  <c r="X176" i="20"/>
  <c r="Y176" i="20" s="1"/>
  <c r="Z176" i="20" s="1"/>
  <c r="S127" i="20"/>
  <c r="U127" i="20"/>
  <c r="V127" i="20" s="1"/>
  <c r="W127" i="20" s="1"/>
  <c r="AD127" i="20"/>
  <c r="AO127" i="20"/>
  <c r="AP127" i="20" s="1"/>
  <c r="AH127" i="20"/>
  <c r="AF127" i="20"/>
  <c r="AA127" i="20"/>
  <c r="AB127" i="20" s="1"/>
  <c r="Q127" i="20"/>
  <c r="S201" i="20"/>
  <c r="AD201" i="20"/>
  <c r="U201" i="20"/>
  <c r="V201" i="20" s="1"/>
  <c r="W201" i="20" s="1"/>
  <c r="AH201" i="20"/>
  <c r="AO201" i="20"/>
  <c r="AP201" i="20" s="1"/>
  <c r="Q201" i="20"/>
  <c r="AA201" i="20"/>
  <c r="AB201" i="20" s="1"/>
  <c r="AH148" i="20"/>
  <c r="S148" i="20"/>
  <c r="U148" i="20"/>
  <c r="V148" i="20" s="1"/>
  <c r="W148" i="20" s="1"/>
  <c r="AD148" i="20"/>
  <c r="AO148" i="20"/>
  <c r="AP148" i="20" s="1"/>
  <c r="AF148" i="20"/>
  <c r="AA148" i="20"/>
  <c r="AB148" i="20" s="1"/>
  <c r="Q148" i="20"/>
  <c r="S123" i="20"/>
  <c r="AD123" i="20"/>
  <c r="U123" i="20"/>
  <c r="V123" i="20" s="1"/>
  <c r="W123" i="20" s="1"/>
  <c r="AF123" i="20"/>
  <c r="Q123" i="20"/>
  <c r="AO123" i="20"/>
  <c r="AP123" i="20" s="1"/>
  <c r="AA123" i="20"/>
  <c r="AB123" i="20" s="1"/>
  <c r="AH123" i="20"/>
  <c r="S131" i="20"/>
  <c r="AD131" i="20"/>
  <c r="U131" i="20"/>
  <c r="V131" i="20" s="1"/>
  <c r="W131" i="20" s="1"/>
  <c r="AH131" i="20"/>
  <c r="AO131" i="20"/>
  <c r="AP131" i="20" s="1"/>
  <c r="Q131" i="20"/>
  <c r="AF131" i="20"/>
  <c r="AA131" i="20"/>
  <c r="AB131" i="20" s="1"/>
  <c r="S147" i="20"/>
  <c r="AD147" i="20"/>
  <c r="U147" i="20"/>
  <c r="V147" i="20" s="1"/>
  <c r="W147" i="20" s="1"/>
  <c r="AO147" i="20"/>
  <c r="AP147" i="20" s="1"/>
  <c r="AF147" i="20"/>
  <c r="Q147" i="20"/>
  <c r="AH147" i="20"/>
  <c r="AA147" i="20"/>
  <c r="AB147" i="20" s="1"/>
  <c r="S197" i="20"/>
  <c r="U197" i="20"/>
  <c r="V197" i="20" s="1"/>
  <c r="W197" i="20" s="1"/>
  <c r="AD197" i="20"/>
  <c r="AA197" i="20"/>
  <c r="AB197" i="20" s="1"/>
  <c r="AF197" i="20"/>
  <c r="AH197" i="20"/>
  <c r="AO197" i="20"/>
  <c r="AP197" i="20" s="1"/>
  <c r="Q197" i="20"/>
  <c r="S205" i="20"/>
  <c r="AD205" i="20"/>
  <c r="U205" i="20"/>
  <c r="V205" i="20" s="1"/>
  <c r="W205" i="20" s="1"/>
  <c r="AH205" i="20"/>
  <c r="Q205" i="20"/>
  <c r="AA205" i="20"/>
  <c r="AB205" i="20" s="1"/>
  <c r="AF205" i="20"/>
  <c r="AO205" i="20"/>
  <c r="AP205" i="20" s="1"/>
  <c r="S207" i="20"/>
  <c r="AD207" i="20"/>
  <c r="U207" i="20"/>
  <c r="V207" i="20" s="1"/>
  <c r="W207" i="20" s="1"/>
  <c r="AA207" i="20"/>
  <c r="AB207" i="20" s="1"/>
  <c r="AF207" i="20"/>
  <c r="Q207" i="20"/>
  <c r="AH207" i="20"/>
  <c r="AO207" i="20"/>
  <c r="AP207" i="20" s="1"/>
  <c r="S203" i="20"/>
  <c r="U203" i="20"/>
  <c r="V203" i="20" s="1"/>
  <c r="W203" i="20" s="1"/>
  <c r="AD203" i="20"/>
  <c r="Q203" i="20"/>
  <c r="AH203" i="20"/>
  <c r="AO203" i="20"/>
  <c r="AP203" i="20" s="1"/>
  <c r="AA134" i="20"/>
  <c r="AB134" i="20" s="1"/>
  <c r="R171" i="20"/>
  <c r="T171" i="20" s="1"/>
  <c r="AS171" i="20"/>
  <c r="AJ83" i="20"/>
  <c r="AK83" i="20" s="1"/>
  <c r="S128" i="20"/>
  <c r="AD128" i="20"/>
  <c r="U128" i="20"/>
  <c r="V128" i="20" s="1"/>
  <c r="W128" i="20" s="1"/>
  <c r="AO128" i="20"/>
  <c r="AP128" i="20" s="1"/>
  <c r="Q128" i="20"/>
  <c r="AA128" i="20"/>
  <c r="AB128" i="20" s="1"/>
  <c r="AH128" i="20"/>
  <c r="AF128" i="20"/>
  <c r="S144" i="20"/>
  <c r="AD144" i="20"/>
  <c r="U144" i="20"/>
  <c r="V144" i="20" s="1"/>
  <c r="W144" i="20" s="1"/>
  <c r="AH144" i="20"/>
  <c r="AF144" i="20"/>
  <c r="AA144" i="20"/>
  <c r="AB144" i="20" s="1"/>
  <c r="AO144" i="20"/>
  <c r="AP144" i="20" s="1"/>
  <c r="Q144" i="20"/>
  <c r="Q168" i="20"/>
  <c r="S168" i="20"/>
  <c r="U168" i="20"/>
  <c r="V168" i="20" s="1"/>
  <c r="W168" i="20" s="1"/>
  <c r="AD168" i="20"/>
  <c r="AH168" i="20"/>
  <c r="AO168" i="20"/>
  <c r="AP168" i="20" s="1"/>
  <c r="AA168" i="20"/>
  <c r="AB168" i="20" s="1"/>
  <c r="S192" i="20"/>
  <c r="AD192" i="20"/>
  <c r="U192" i="20"/>
  <c r="V192" i="20" s="1"/>
  <c r="W192" i="20" s="1"/>
  <c r="AA192" i="20"/>
  <c r="AB192" i="20" s="1"/>
  <c r="AH192" i="20"/>
  <c r="AO192" i="20"/>
  <c r="AP192" i="20" s="1"/>
  <c r="AF192" i="20"/>
  <c r="Q192" i="20"/>
  <c r="S195" i="20"/>
  <c r="U195" i="20"/>
  <c r="V195" i="20" s="1"/>
  <c r="W195" i="20" s="1"/>
  <c r="AD195" i="20"/>
  <c r="AA195" i="20"/>
  <c r="AB195" i="20" s="1"/>
  <c r="AH195" i="20"/>
  <c r="AF195" i="20"/>
  <c r="Q195" i="20"/>
  <c r="AO195" i="20"/>
  <c r="AP195" i="20" s="1"/>
  <c r="S169" i="20"/>
  <c r="U169" i="20"/>
  <c r="V169" i="20" s="1"/>
  <c r="W169" i="20" s="1"/>
  <c r="AD169" i="20"/>
  <c r="AF169" i="20"/>
  <c r="Q169" i="20"/>
  <c r="AA169" i="20"/>
  <c r="AB169" i="20" s="1"/>
  <c r="AO169" i="20"/>
  <c r="AP169" i="20" s="1"/>
  <c r="AH169" i="20"/>
  <c r="S190" i="20"/>
  <c r="AD190" i="20"/>
  <c r="U190" i="20"/>
  <c r="V190" i="20" s="1"/>
  <c r="W190" i="20" s="1"/>
  <c r="AH190" i="20"/>
  <c r="Q190" i="20"/>
  <c r="AA190" i="20"/>
  <c r="AB190" i="20" s="1"/>
  <c r="AF190" i="20"/>
  <c r="AO190" i="20"/>
  <c r="AP190" i="20" s="1"/>
  <c r="S153" i="20"/>
  <c r="U153" i="20"/>
  <c r="V153" i="20" s="1"/>
  <c r="W153" i="20" s="1"/>
  <c r="AD153" i="20"/>
  <c r="AO153" i="20"/>
  <c r="AP153" i="20" s="1"/>
  <c r="AH153" i="20"/>
  <c r="Q153" i="20"/>
  <c r="AF153" i="20"/>
  <c r="AA153" i="20"/>
  <c r="AB153" i="20" s="1"/>
  <c r="Q160" i="20"/>
  <c r="S160" i="20"/>
  <c r="AD160" i="20"/>
  <c r="U160" i="20"/>
  <c r="V160" i="20" s="1"/>
  <c r="W160" i="20" s="1"/>
  <c r="AH160" i="20"/>
  <c r="AO160" i="20"/>
  <c r="AP160" i="20" s="1"/>
  <c r="AF160" i="20"/>
  <c r="S111" i="20"/>
  <c r="AD111" i="20"/>
  <c r="U111" i="20"/>
  <c r="V111" i="20" s="1"/>
  <c r="W111" i="20" s="1"/>
  <c r="AF111" i="20"/>
  <c r="AH111" i="20"/>
  <c r="AO111" i="20"/>
  <c r="AP111" i="20" s="1"/>
  <c r="AA111" i="20"/>
  <c r="AB111" i="20" s="1"/>
  <c r="Q111" i="20"/>
  <c r="S135" i="20"/>
  <c r="U135" i="20"/>
  <c r="V135" i="20" s="1"/>
  <c r="W135" i="20" s="1"/>
  <c r="AD135" i="20"/>
  <c r="Q135" i="20"/>
  <c r="AO135" i="20"/>
  <c r="AP135" i="20" s="1"/>
  <c r="AF135" i="20"/>
  <c r="AH135" i="20"/>
  <c r="AA135" i="20"/>
  <c r="AB135" i="20" s="1"/>
  <c r="S175" i="20"/>
  <c r="AD175" i="20"/>
  <c r="U175" i="20"/>
  <c r="V175" i="20" s="1"/>
  <c r="W175" i="20" s="1"/>
  <c r="Q175" i="20"/>
  <c r="AH175" i="20"/>
  <c r="AO175" i="20"/>
  <c r="AP175" i="20" s="1"/>
  <c r="AF175" i="20"/>
  <c r="S114" i="20"/>
  <c r="AD114" i="20"/>
  <c r="U114" i="20"/>
  <c r="V114" i="20" s="1"/>
  <c r="W114" i="20" s="1"/>
  <c r="Q114" i="20"/>
  <c r="AF114" i="20"/>
  <c r="AH114" i="20"/>
  <c r="AA114" i="20"/>
  <c r="AB114" i="20" s="1"/>
  <c r="AO114" i="20"/>
  <c r="AP114" i="20" s="1"/>
  <c r="S138" i="20"/>
  <c r="AD138" i="20"/>
  <c r="U138" i="20"/>
  <c r="V138" i="20" s="1"/>
  <c r="W138" i="20" s="1"/>
  <c r="AF138" i="20"/>
  <c r="AH138" i="20"/>
  <c r="Q138" i="20"/>
  <c r="AA138" i="20"/>
  <c r="AB138" i="20" s="1"/>
  <c r="AO138" i="20"/>
  <c r="AP138" i="20" s="1"/>
  <c r="S154" i="20"/>
  <c r="AD154" i="20"/>
  <c r="U154" i="20"/>
  <c r="V154" i="20" s="1"/>
  <c r="W154" i="20" s="1"/>
  <c r="AO154" i="20"/>
  <c r="AP154" i="20" s="1"/>
  <c r="AA154" i="20"/>
  <c r="AB154" i="20" s="1"/>
  <c r="AF154" i="20"/>
  <c r="Q154" i="20"/>
  <c r="AH154" i="20"/>
  <c r="S170" i="20"/>
  <c r="AD170" i="20"/>
  <c r="U170" i="20"/>
  <c r="V170" i="20" s="1"/>
  <c r="W170" i="20" s="1"/>
  <c r="AO170" i="20"/>
  <c r="AP170" i="20" s="1"/>
  <c r="AA170" i="20"/>
  <c r="AB170" i="20" s="1"/>
  <c r="AF170" i="20"/>
  <c r="Q170" i="20"/>
  <c r="AH170" i="20"/>
  <c r="S121" i="20"/>
  <c r="U121" i="20"/>
  <c r="V121" i="20" s="1"/>
  <c r="W121" i="20" s="1"/>
  <c r="AD121" i="20"/>
  <c r="AO121" i="20"/>
  <c r="AP121" i="20" s="1"/>
  <c r="AH121" i="20"/>
  <c r="AF121" i="20"/>
  <c r="AA121" i="20"/>
  <c r="AB121" i="20" s="1"/>
  <c r="Q121" i="20"/>
  <c r="S129" i="20"/>
  <c r="U129" i="20"/>
  <c r="V129" i="20" s="1"/>
  <c r="W129" i="20" s="1"/>
  <c r="AD129" i="20"/>
  <c r="AF129" i="20"/>
  <c r="Q129" i="20"/>
  <c r="AH129" i="20"/>
  <c r="AO129" i="20"/>
  <c r="AP129" i="20" s="1"/>
  <c r="AA129" i="20"/>
  <c r="AB129" i="20" s="1"/>
  <c r="S145" i="20"/>
  <c r="U145" i="20"/>
  <c r="V145" i="20" s="1"/>
  <c r="W145" i="20" s="1"/>
  <c r="AD145" i="20"/>
  <c r="AH145" i="20"/>
  <c r="AO145" i="20"/>
  <c r="AP145" i="20" s="1"/>
  <c r="Q145" i="20"/>
  <c r="AA145" i="20"/>
  <c r="AB145" i="20" s="1"/>
  <c r="AF145" i="20"/>
  <c r="S112" i="20"/>
  <c r="AD112" i="20"/>
  <c r="U112" i="20"/>
  <c r="V112" i="20" s="1"/>
  <c r="W112" i="20" s="1"/>
  <c r="AO112" i="20"/>
  <c r="AP112" i="20" s="1"/>
  <c r="AF112" i="20"/>
  <c r="AH112" i="20"/>
  <c r="Q112" i="20"/>
  <c r="X202" i="20"/>
  <c r="Y202" i="20" s="1"/>
  <c r="Z202" i="20" s="1"/>
  <c r="AG118" i="20"/>
  <c r="AV118" i="20"/>
  <c r="BL118" i="20" s="1"/>
  <c r="S142" i="20"/>
  <c r="U142" i="20"/>
  <c r="V142" i="20" s="1"/>
  <c r="W142" i="20" s="1"/>
  <c r="AD142" i="20"/>
  <c r="AH142" i="20"/>
  <c r="AO142" i="20"/>
  <c r="AP142" i="20" s="1"/>
  <c r="AA142" i="20"/>
  <c r="AB142" i="20" s="1"/>
  <c r="Q142" i="20"/>
  <c r="AH158" i="20"/>
  <c r="S158" i="20"/>
  <c r="AD158" i="20"/>
  <c r="U158" i="20"/>
  <c r="V158" i="20" s="1"/>
  <c r="W158" i="20" s="1"/>
  <c r="AO158" i="20"/>
  <c r="AP158" i="20" s="1"/>
  <c r="Q158" i="20"/>
  <c r="AA158" i="20"/>
  <c r="AB158" i="20" s="1"/>
  <c r="S189" i="20"/>
  <c r="AD189" i="20"/>
  <c r="U189" i="20"/>
  <c r="V189" i="20" s="1"/>
  <c r="W189" i="20" s="1"/>
  <c r="AH189" i="20"/>
  <c r="Q189" i="20"/>
  <c r="AO189" i="20"/>
  <c r="AP189" i="20" s="1"/>
  <c r="AF189" i="20"/>
  <c r="X160" i="20"/>
  <c r="Y160" i="20" s="1"/>
  <c r="Z160" i="20" s="1"/>
  <c r="X175" i="20"/>
  <c r="Y175" i="20" s="1"/>
  <c r="Z175" i="20" s="1"/>
  <c r="S185" i="20"/>
  <c r="U185" i="20"/>
  <c r="V185" i="20" s="1"/>
  <c r="W185" i="20" s="1"/>
  <c r="AD185" i="20"/>
  <c r="AH185" i="20"/>
  <c r="AO185" i="20"/>
  <c r="AP185" i="20" s="1"/>
  <c r="Q185" i="20"/>
  <c r="AG193" i="20"/>
  <c r="AI193" i="20" s="1"/>
  <c r="BF193" i="20" s="1"/>
  <c r="AV193" i="20"/>
  <c r="BL193" i="20" s="1"/>
  <c r="S124" i="20"/>
  <c r="U124" i="20"/>
  <c r="V124" i="20" s="1"/>
  <c r="W124" i="20" s="1"/>
  <c r="AD124" i="20"/>
  <c r="Q124" i="20"/>
  <c r="AA124" i="20"/>
  <c r="AB124" i="20" s="1"/>
  <c r="AO124" i="20"/>
  <c r="AP124" i="20" s="1"/>
  <c r="AH124" i="20"/>
  <c r="AF124" i="20"/>
  <c r="AH164" i="20"/>
  <c r="S164" i="20"/>
  <c r="U164" i="20"/>
  <c r="V164" i="20" s="1"/>
  <c r="W164" i="20" s="1"/>
  <c r="AD164" i="20"/>
  <c r="AO164" i="20"/>
  <c r="AP164" i="20" s="1"/>
  <c r="Q164" i="20"/>
  <c r="AF164" i="20"/>
  <c r="AA164" i="20"/>
  <c r="AB164" i="20" s="1"/>
  <c r="S180" i="20"/>
  <c r="AD180" i="20"/>
  <c r="U180" i="20"/>
  <c r="V180" i="20" s="1"/>
  <c r="W180" i="20" s="1"/>
  <c r="AF180" i="20"/>
  <c r="AH180" i="20"/>
  <c r="AO180" i="20"/>
  <c r="AP180" i="20" s="1"/>
  <c r="AA180" i="20"/>
  <c r="AB180" i="20" s="1"/>
  <c r="Q180" i="20"/>
  <c r="AH182" i="20"/>
  <c r="S182" i="20"/>
  <c r="AD182" i="20"/>
  <c r="U182" i="20"/>
  <c r="V182" i="20" s="1"/>
  <c r="W182" i="20" s="1"/>
  <c r="AO182" i="20"/>
  <c r="AP182" i="20" s="1"/>
  <c r="AF182" i="20"/>
  <c r="AA182" i="20"/>
  <c r="AB182" i="20" s="1"/>
  <c r="Q182" i="20"/>
  <c r="X184" i="20"/>
  <c r="Y184" i="20" s="1"/>
  <c r="Z184" i="20" s="1"/>
  <c r="S208" i="20"/>
  <c r="AD208" i="20"/>
  <c r="U208" i="20"/>
  <c r="V208" i="20" s="1"/>
  <c r="W208" i="20" s="1"/>
  <c r="Q208" i="20"/>
  <c r="AH208" i="20"/>
  <c r="AO208" i="20"/>
  <c r="AP208" i="20" s="1"/>
  <c r="S161" i="20"/>
  <c r="AD161" i="20"/>
  <c r="U161" i="20"/>
  <c r="V161" i="20" s="1"/>
  <c r="W161" i="20" s="1"/>
  <c r="AO161" i="20"/>
  <c r="AP161" i="20" s="1"/>
  <c r="AH161" i="20"/>
  <c r="Q161" i="20"/>
  <c r="S134" i="20"/>
  <c r="U134" i="20"/>
  <c r="V134" i="20" s="1"/>
  <c r="W134" i="20" s="1"/>
  <c r="AD134" i="20"/>
  <c r="Q134" i="20"/>
  <c r="AH134" i="20"/>
  <c r="AO134" i="20"/>
  <c r="AP134" i="20" s="1"/>
  <c r="S150" i="20"/>
  <c r="AD150" i="20"/>
  <c r="U150" i="20"/>
  <c r="V150" i="20" s="1"/>
  <c r="W150" i="20" s="1"/>
  <c r="AH150" i="20"/>
  <c r="AO150" i="20"/>
  <c r="AP150" i="20" s="1"/>
  <c r="Q150" i="20"/>
  <c r="AH166" i="20"/>
  <c r="S166" i="20"/>
  <c r="AD166" i="20"/>
  <c r="U166" i="20"/>
  <c r="V166" i="20" s="1"/>
  <c r="W166" i="20" s="1"/>
  <c r="Q166" i="20"/>
  <c r="AO166" i="20"/>
  <c r="AP166" i="20" s="1"/>
  <c r="S117" i="20"/>
  <c r="U117" i="20"/>
  <c r="V117" i="20" s="1"/>
  <c r="W117" i="20" s="1"/>
  <c r="AD117" i="20"/>
  <c r="AH117" i="20"/>
  <c r="AO117" i="20"/>
  <c r="AP117" i="20" s="1"/>
  <c r="Q117" i="20"/>
  <c r="AG171" i="20"/>
  <c r="AI171" i="20" s="1"/>
  <c r="AV171" i="20"/>
  <c r="BL171" i="20" s="1"/>
  <c r="X148" i="20"/>
  <c r="Y148" i="20" s="1"/>
  <c r="Z148" i="20" s="1"/>
  <c r="X164" i="20"/>
  <c r="Y164" i="20" s="1"/>
  <c r="Z164" i="20" s="1"/>
  <c r="S115" i="20"/>
  <c r="U115" i="20"/>
  <c r="V115" i="20" s="1"/>
  <c r="W115" i="20" s="1"/>
  <c r="AD115" i="20"/>
  <c r="AH115" i="20"/>
  <c r="AO115" i="20"/>
  <c r="AP115" i="20" s="1"/>
  <c r="Q115" i="20"/>
  <c r="AF115" i="20"/>
  <c r="S188" i="20"/>
  <c r="U188" i="20"/>
  <c r="V188" i="20" s="1"/>
  <c r="W188" i="20" s="1"/>
  <c r="AD188" i="20"/>
  <c r="AO188" i="20"/>
  <c r="AP188" i="20" s="1"/>
  <c r="Q188" i="20"/>
  <c r="AH188" i="20"/>
  <c r="R191" i="20"/>
  <c r="AS191" i="20"/>
  <c r="Q199" i="20"/>
  <c r="S199" i="20"/>
  <c r="U199" i="20"/>
  <c r="V199" i="20" s="1"/>
  <c r="W199" i="20" s="1"/>
  <c r="AD199" i="20"/>
  <c r="AO199" i="20"/>
  <c r="AP199" i="20" s="1"/>
  <c r="AH199" i="20"/>
  <c r="AF199" i="20"/>
  <c r="P37" i="20"/>
  <c r="AO37" i="20" s="1"/>
  <c r="AP37" i="20" s="1"/>
  <c r="P54" i="20"/>
  <c r="AQ54" i="20" s="1"/>
  <c r="P49" i="20"/>
  <c r="AM49" i="20" s="1"/>
  <c r="P57" i="20"/>
  <c r="AM57" i="20" s="1"/>
  <c r="P41" i="20"/>
  <c r="AM41" i="20" s="1"/>
  <c r="P38" i="20"/>
  <c r="AO38" i="20" s="1"/>
  <c r="AP38" i="20" s="1"/>
  <c r="P50" i="20"/>
  <c r="AQ50" i="20" s="1"/>
  <c r="P34" i="20"/>
  <c r="AF34" i="20" s="1"/>
  <c r="AG34" i="20" s="1"/>
  <c r="P42" i="20"/>
  <c r="AM42" i="20" s="1"/>
  <c r="P45" i="20"/>
  <c r="AM45" i="20" s="1"/>
  <c r="P46" i="20"/>
  <c r="AJ46" i="20" s="1"/>
  <c r="AK46" i="20" s="1"/>
  <c r="P58" i="20"/>
  <c r="AM58" i="20" s="1"/>
  <c r="P53" i="20"/>
  <c r="AO53" i="20" s="1"/>
  <c r="AP53" i="20" s="1"/>
  <c r="AD67" i="20"/>
  <c r="AH76" i="20"/>
  <c r="S60" i="20"/>
  <c r="AD84" i="20"/>
  <c r="X100" i="20"/>
  <c r="Y100" i="20" s="1"/>
  <c r="Z100" i="20" s="1"/>
  <c r="AA60" i="20"/>
  <c r="AB60" i="20" s="1"/>
  <c r="AA76" i="20"/>
  <c r="AB76" i="20" s="1"/>
  <c r="Q67" i="20"/>
  <c r="AS67" i="20" s="1"/>
  <c r="Q60" i="20"/>
  <c r="AS60" i="20" s="1"/>
  <c r="AF68" i="20"/>
  <c r="AF84" i="20"/>
  <c r="AG84" i="20" s="1"/>
  <c r="AF100" i="20"/>
  <c r="Q108" i="20"/>
  <c r="AS108" i="20" s="1"/>
  <c r="AQ67" i="20"/>
  <c r="AQ71" i="20"/>
  <c r="AO71" i="20"/>
  <c r="AP71" i="20" s="1"/>
  <c r="AQ79" i="20"/>
  <c r="AO79" i="20"/>
  <c r="AP79" i="20" s="1"/>
  <c r="AQ73" i="20"/>
  <c r="AJ71" i="20"/>
  <c r="AK71" i="20" s="1"/>
  <c r="AJ79" i="20"/>
  <c r="AK79" i="20" s="1"/>
  <c r="AQ77" i="20"/>
  <c r="AL54" i="20"/>
  <c r="AL57" i="20"/>
  <c r="AL58" i="20"/>
  <c r="AL46" i="20"/>
  <c r="AL43" i="20"/>
  <c r="AL39" i="20"/>
  <c r="AL40" i="20"/>
  <c r="AL48" i="20"/>
  <c r="AL56" i="20"/>
  <c r="AL51" i="20"/>
  <c r="AL49" i="20"/>
  <c r="AL44" i="20"/>
  <c r="AL52" i="20"/>
  <c r="AL47" i="20"/>
  <c r="AL55" i="20"/>
  <c r="AL45" i="20"/>
  <c r="AL41" i="20"/>
  <c r="AL42" i="20"/>
  <c r="AL50" i="20"/>
  <c r="AO22" i="20"/>
  <c r="AP22" i="20" s="1"/>
  <c r="AQ32" i="20"/>
  <c r="S32" i="20"/>
  <c r="AM32" i="20"/>
  <c r="AJ109" i="20"/>
  <c r="AF22" i="20"/>
  <c r="AG22" i="20" s="1"/>
  <c r="AA22" i="20"/>
  <c r="AB22" i="20" s="1"/>
  <c r="M21" i="20"/>
  <c r="AC21" i="20" s="1"/>
  <c r="M13" i="20"/>
  <c r="AC13" i="20" s="1"/>
  <c r="M26" i="20"/>
  <c r="AQ20" i="20"/>
  <c r="AA20" i="20"/>
  <c r="AB20" i="20" s="1"/>
  <c r="M10" i="20"/>
  <c r="AC10" i="20" s="1"/>
  <c r="M14" i="20"/>
  <c r="AC14" i="20" s="1"/>
  <c r="M31" i="20"/>
  <c r="AC31" i="20" s="1"/>
  <c r="M33" i="20"/>
  <c r="AC33" i="20" s="1"/>
  <c r="M18" i="20"/>
  <c r="AC18" i="20" s="1"/>
  <c r="M17" i="20"/>
  <c r="AC17" i="20" s="1"/>
  <c r="M25" i="20"/>
  <c r="AC25" i="20" s="1"/>
  <c r="M29" i="20"/>
  <c r="AC29" i="20" s="1"/>
  <c r="M30" i="20"/>
  <c r="AQ9" i="20"/>
  <c r="AA9" i="20"/>
  <c r="AB9" i="20" s="1"/>
  <c r="AE9" i="20" s="1"/>
  <c r="Q22" i="20"/>
  <c r="AS22" i="20" s="1"/>
  <c r="AJ9" i="20"/>
  <c r="AK9" i="20" s="1"/>
  <c r="Q9" i="20"/>
  <c r="B68" i="20"/>
  <c r="B69" i="20" s="1"/>
  <c r="S67" i="20"/>
  <c r="S51" i="20"/>
  <c r="S100" i="20"/>
  <c r="AD95" i="20"/>
  <c r="AD91" i="20"/>
  <c r="AD100" i="20"/>
  <c r="AD87" i="20"/>
  <c r="X92" i="20"/>
  <c r="Y92" i="20" s="1"/>
  <c r="Z92" i="20" s="1"/>
  <c r="AD92" i="20"/>
  <c r="U108" i="20"/>
  <c r="V108" i="20" s="1"/>
  <c r="W108" i="20" s="1"/>
  <c r="AD68" i="20"/>
  <c r="AH92" i="20"/>
  <c r="AH108" i="20"/>
  <c r="S27" i="20"/>
  <c r="U76" i="20"/>
  <c r="V76" i="20" s="1"/>
  <c r="W76" i="20" s="1"/>
  <c r="AD56" i="20"/>
  <c r="AD99" i="20"/>
  <c r="AH99" i="20"/>
  <c r="AH40" i="20"/>
  <c r="U60" i="20"/>
  <c r="V60" i="20" s="1"/>
  <c r="W60" i="20" s="1"/>
  <c r="AH60" i="20"/>
  <c r="AD60" i="20"/>
  <c r="AH71" i="20"/>
  <c r="AD71" i="20"/>
  <c r="S71" i="20"/>
  <c r="S84" i="20"/>
  <c r="U22" i="20"/>
  <c r="V22" i="20" s="1"/>
  <c r="W22" i="20" s="1"/>
  <c r="AH22" i="20"/>
  <c r="AD51" i="20"/>
  <c r="U51" i="20"/>
  <c r="V51" i="20" s="1"/>
  <c r="W51" i="20" s="1"/>
  <c r="U67" i="20"/>
  <c r="V67" i="20" s="1"/>
  <c r="W67" i="20" s="1"/>
  <c r="AD79" i="20"/>
  <c r="U79" i="20"/>
  <c r="V79" i="20" s="1"/>
  <c r="W79" i="20" s="1"/>
  <c r="AH27" i="20"/>
  <c r="U27" i="20"/>
  <c r="V27" i="20" s="1"/>
  <c r="W27" i="20" s="1"/>
  <c r="X60" i="20"/>
  <c r="Y60" i="20" s="1"/>
  <c r="Z60" i="20" s="1"/>
  <c r="AH84" i="20"/>
  <c r="U84" i="20"/>
  <c r="V84" i="20" s="1"/>
  <c r="W84" i="20" s="1"/>
  <c r="U55" i="20"/>
  <c r="V55" i="20" s="1"/>
  <c r="W55" i="20" s="1"/>
  <c r="U71" i="20"/>
  <c r="V71" i="20" s="1"/>
  <c r="W71" i="20" s="1"/>
  <c r="X22" i="20"/>
  <c r="Y22" i="20" s="1"/>
  <c r="Z22" i="20" s="1"/>
  <c r="X27" i="20"/>
  <c r="Y27" i="20" s="1"/>
  <c r="Z27" i="20" s="1"/>
  <c r="X84" i="20"/>
  <c r="Y84" i="20" s="1"/>
  <c r="Z84" i="20" s="1"/>
  <c r="AH100" i="20"/>
  <c r="U100" i="20"/>
  <c r="V100" i="20" s="1"/>
  <c r="W100" i="20" s="1"/>
  <c r="X51" i="20"/>
  <c r="Y51" i="20" s="1"/>
  <c r="Z51" i="20" s="1"/>
  <c r="X71" i="20"/>
  <c r="Y71" i="20" s="1"/>
  <c r="Z71" i="20" s="1"/>
  <c r="U103" i="20"/>
  <c r="V103" i="20" s="1"/>
  <c r="W103" i="20" s="1"/>
  <c r="AH10" i="20"/>
  <c r="AH56" i="20"/>
  <c r="X79" i="20"/>
  <c r="Y79" i="20" s="1"/>
  <c r="Z79" i="20" s="1"/>
  <c r="X103" i="20"/>
  <c r="Y103" i="20" s="1"/>
  <c r="Z103" i="20" s="1"/>
  <c r="U9" i="20"/>
  <c r="V9" i="20" s="1"/>
  <c r="W9" i="20" s="1"/>
  <c r="AH68" i="20"/>
  <c r="X55" i="20"/>
  <c r="Y55" i="20" s="1"/>
  <c r="Z55" i="20" s="1"/>
  <c r="X95" i="20"/>
  <c r="Y95" i="20" s="1"/>
  <c r="Z95" i="20" s="1"/>
  <c r="AD59" i="20"/>
  <c r="AH9" i="20"/>
  <c r="AH91" i="20"/>
  <c r="AH51" i="20"/>
  <c r="AH67" i="20"/>
  <c r="AH79" i="20"/>
  <c r="AH95" i="20"/>
  <c r="R103" i="20"/>
  <c r="AH103" i="20"/>
  <c r="AH59" i="20"/>
  <c r="AH87" i="20"/>
  <c r="AL11" i="20"/>
  <c r="AL13" i="20"/>
  <c r="AL15" i="20"/>
  <c r="AL17" i="20"/>
  <c r="AL19" i="20"/>
  <c r="AL21" i="20"/>
  <c r="AL23" i="20"/>
  <c r="AL25" i="20"/>
  <c r="AL27" i="20"/>
  <c r="AL29" i="20"/>
  <c r="AL31" i="20"/>
  <c r="AL33" i="20"/>
  <c r="AL35" i="20"/>
  <c r="AL37" i="20"/>
  <c r="AL10" i="20"/>
  <c r="AL12" i="20"/>
  <c r="AL14" i="20"/>
  <c r="AL16" i="20"/>
  <c r="AL18" i="20"/>
  <c r="AL20" i="20"/>
  <c r="AL22" i="20"/>
  <c r="AL24" i="20"/>
  <c r="AL26" i="20"/>
  <c r="AL28" i="20"/>
  <c r="AL30" i="20"/>
  <c r="AL32" i="20"/>
  <c r="AL34" i="20"/>
  <c r="AL36" i="20"/>
  <c r="AL38" i="20"/>
  <c r="AL9" i="20"/>
  <c r="S20" i="20"/>
  <c r="AM20" i="20"/>
  <c r="S9" i="20"/>
  <c r="AM9" i="20"/>
  <c r="S22" i="20"/>
  <c r="AM22" i="20"/>
  <c r="E84" i="2"/>
  <c r="B70" i="20"/>
  <c r="C79" i="20"/>
  <c r="B79" i="20" s="1"/>
  <c r="B80" i="20" s="1"/>
  <c r="G594" i="17"/>
  <c r="E316" i="2"/>
  <c r="B192" i="2"/>
  <c r="B193" i="2" s="1"/>
  <c r="B187" i="2"/>
  <c r="B188" i="2" s="1"/>
  <c r="E50" i="1" s="1"/>
  <c r="B83" i="2"/>
  <c r="D30" i="1" s="1"/>
  <c r="B84" i="2"/>
  <c r="F83" i="2"/>
  <c r="F84" i="2"/>
  <c r="E83" i="2"/>
  <c r="B179" i="2"/>
  <c r="F267" i="2"/>
  <c r="F178" i="2"/>
  <c r="B128" i="2"/>
  <c r="H133" i="2" s="1"/>
  <c r="B269" i="2"/>
  <c r="J78" i="1" s="1"/>
  <c r="N104" i="2"/>
  <c r="H44" i="17"/>
  <c r="B267" i="2"/>
  <c r="H107" i="17"/>
  <c r="H571" i="17"/>
  <c r="H93" i="17"/>
  <c r="H407" i="17"/>
  <c r="H247" i="17"/>
  <c r="H305" i="17"/>
  <c r="G484" i="17"/>
  <c r="G582" i="17"/>
  <c r="G59" i="17"/>
  <c r="H362" i="17"/>
  <c r="G367" i="17"/>
  <c r="G49" i="17"/>
  <c r="H561" i="17"/>
  <c r="H350" i="17"/>
  <c r="H292" i="17"/>
  <c r="G491" i="17"/>
  <c r="G34" i="17"/>
  <c r="H152" i="17"/>
  <c r="H54" i="17"/>
  <c r="H315" i="17"/>
  <c r="H105" i="17"/>
  <c r="G490" i="17"/>
  <c r="H448" i="17"/>
  <c r="G533" i="17"/>
  <c r="H172" i="17"/>
  <c r="G177" i="17"/>
  <c r="H433" i="17"/>
  <c r="G352" i="17"/>
  <c r="G94" i="17"/>
  <c r="G269" i="17"/>
  <c r="H35" i="17"/>
  <c r="G455" i="17"/>
  <c r="H364" i="17"/>
  <c r="G176" i="17"/>
  <c r="H546" i="17"/>
  <c r="G326" i="17"/>
  <c r="H194" i="17"/>
  <c r="H284" i="17"/>
  <c r="G427" i="17"/>
  <c r="H182" i="17"/>
  <c r="G187" i="17"/>
  <c r="H443" i="17"/>
  <c r="G362" i="17"/>
  <c r="G106" i="17"/>
  <c r="G281" i="17"/>
  <c r="H597" i="17"/>
  <c r="G248" i="17"/>
  <c r="H576" i="17"/>
  <c r="G469" i="17"/>
  <c r="G597" i="17"/>
  <c r="H108" i="17"/>
  <c r="H236" i="17"/>
  <c r="G113" i="17"/>
  <c r="G241" i="17"/>
  <c r="H369" i="17"/>
  <c r="H497" i="17"/>
  <c r="G288" i="17"/>
  <c r="G416" i="17"/>
  <c r="H221" i="17"/>
  <c r="G222" i="17"/>
  <c r="H478" i="17"/>
  <c r="G397" i="17"/>
  <c r="G548" i="17"/>
  <c r="G36" i="17"/>
  <c r="H548" i="17"/>
  <c r="G583" i="17"/>
  <c r="G108" i="17"/>
  <c r="G283" i="17"/>
  <c r="H600" i="17"/>
  <c r="H175" i="17"/>
  <c r="G454" i="17"/>
  <c r="H290" i="17"/>
  <c r="H33" i="17"/>
  <c r="H535" i="17"/>
  <c r="G199" i="17"/>
  <c r="H25" i="17"/>
  <c r="G54" i="17"/>
  <c r="G21" i="17"/>
  <c r="H57" i="17"/>
  <c r="H118" i="17"/>
  <c r="H246" i="17"/>
  <c r="G123" i="17"/>
  <c r="G251" i="17"/>
  <c r="H379" i="17"/>
  <c r="H507" i="17"/>
  <c r="G298" i="17"/>
  <c r="G426" i="17"/>
  <c r="H233" i="17"/>
  <c r="G234" i="17"/>
  <c r="H490" i="17"/>
  <c r="G409" i="17"/>
  <c r="G554" i="17"/>
  <c r="H119" i="17"/>
  <c r="G120" i="17"/>
  <c r="H376" i="17"/>
  <c r="H512" i="17"/>
  <c r="G303" i="17"/>
  <c r="G431" i="17"/>
  <c r="G501" i="17"/>
  <c r="G565" i="17"/>
  <c r="H626" i="17"/>
  <c r="H76" i="17"/>
  <c r="H140" i="17"/>
  <c r="H204" i="17"/>
  <c r="G17" i="17"/>
  <c r="G81" i="17"/>
  <c r="G145" i="17"/>
  <c r="G209" i="17"/>
  <c r="H273" i="17"/>
  <c r="H337" i="17"/>
  <c r="H401" i="17"/>
  <c r="H465" i="17"/>
  <c r="H529" i="17"/>
  <c r="H596" i="17"/>
  <c r="G320" i="17"/>
  <c r="G384" i="17"/>
  <c r="H29" i="17"/>
  <c r="H157" i="17"/>
  <c r="G30" i="17"/>
  <c r="G158" i="17"/>
  <c r="H286" i="17"/>
  <c r="H414" i="17"/>
  <c r="H542" i="17"/>
  <c r="G333" i="17"/>
  <c r="G452" i="17"/>
  <c r="G516" i="17"/>
  <c r="G580" i="17"/>
  <c r="H163" i="17"/>
  <c r="G164" i="17"/>
  <c r="H420" i="17"/>
  <c r="G339" i="17"/>
  <c r="G519" i="17"/>
  <c r="G604" i="17"/>
  <c r="H235" i="17"/>
  <c r="G236" i="17"/>
  <c r="H492" i="17"/>
  <c r="G411" i="17"/>
  <c r="G555" i="17"/>
  <c r="H304" i="17"/>
  <c r="G48" i="17"/>
  <c r="H47" i="17"/>
  <c r="G518" i="17"/>
  <c r="G337" i="17"/>
  <c r="H418" i="17"/>
  <c r="G162" i="17"/>
  <c r="H161" i="17"/>
  <c r="G390" i="17"/>
  <c r="H608" i="17"/>
  <c r="H471" i="17"/>
  <c r="H327" i="17"/>
  <c r="G71" i="17"/>
  <c r="H158" i="17"/>
  <c r="H408" i="17"/>
  <c r="H413" i="17"/>
  <c r="G600" i="17"/>
  <c r="G250" i="17"/>
  <c r="H294" i="17"/>
  <c r="H325" i="17"/>
  <c r="G101" i="17"/>
  <c r="H132" i="2"/>
  <c r="E35" i="1"/>
  <c r="H134" i="2"/>
  <c r="B127" i="2"/>
  <c r="K132" i="2" s="1"/>
  <c r="M132" i="2" s="1"/>
  <c r="E18" i="1"/>
  <c r="H419" i="17"/>
  <c r="G595" i="17"/>
  <c r="H316" i="17"/>
  <c r="H160" i="17"/>
  <c r="H187" i="17"/>
  <c r="H133" i="17"/>
  <c r="H64" i="17"/>
  <c r="G274" i="17"/>
  <c r="G612" i="17"/>
  <c r="G456" i="17"/>
  <c r="H37" i="17"/>
  <c r="H277" i="17"/>
  <c r="H16" i="17"/>
  <c r="H135" i="17"/>
  <c r="H515" i="17"/>
  <c r="G451" i="17"/>
  <c r="H27" i="17"/>
  <c r="G212" i="17"/>
  <c r="G464" i="17"/>
  <c r="H310" i="17"/>
  <c r="H53" i="17"/>
  <c r="H541" i="17"/>
  <c r="H285" i="17"/>
  <c r="G29" i="17"/>
  <c r="H24" i="17"/>
  <c r="G327" i="17"/>
  <c r="H167" i="17"/>
  <c r="H282" i="17"/>
  <c r="H531" i="17"/>
  <c r="H238" i="17"/>
  <c r="H42" i="17"/>
  <c r="H162" i="17"/>
  <c r="H226" i="17"/>
  <c r="G39" i="17"/>
  <c r="G103" i="17"/>
  <c r="G167" i="17"/>
  <c r="G231" i="17"/>
  <c r="H295" i="17"/>
  <c r="H359" i="17"/>
  <c r="H391" i="17"/>
  <c r="H423" i="17"/>
  <c r="H455" i="17"/>
  <c r="H487" i="17"/>
  <c r="H519" i="17"/>
  <c r="H551" i="17"/>
  <c r="H583" i="17"/>
  <c r="G278" i="17"/>
  <c r="G310" i="17"/>
  <c r="G342" i="17"/>
  <c r="G374" i="17"/>
  <c r="G406" i="17"/>
  <c r="G438" i="17"/>
  <c r="H65" i="17"/>
  <c r="H129" i="17"/>
  <c r="H193" i="17"/>
  <c r="H257" i="17"/>
  <c r="G66" i="17"/>
  <c r="G130" i="17"/>
  <c r="G194" i="17"/>
  <c r="G258" i="17"/>
  <c r="H322" i="17"/>
  <c r="H386" i="17"/>
  <c r="H450" i="17"/>
  <c r="H514" i="17"/>
  <c r="H578" i="17"/>
  <c r="G305" i="17"/>
  <c r="G369" i="17"/>
  <c r="G433" i="17"/>
  <c r="G470" i="17"/>
  <c r="G502" i="17"/>
  <c r="G534" i="17"/>
  <c r="G566" i="17"/>
  <c r="G598" i="17"/>
  <c r="H15" i="17"/>
  <c r="H79" i="17"/>
  <c r="H143" i="17"/>
  <c r="H207" i="17"/>
  <c r="G16" i="17"/>
  <c r="G80" i="17"/>
  <c r="G144" i="17"/>
  <c r="G208" i="17"/>
  <c r="H272" i="17"/>
  <c r="H336" i="17"/>
  <c r="H22" i="17"/>
  <c r="H86" i="17"/>
  <c r="H150" i="17"/>
  <c r="H214" i="17"/>
  <c r="G27" i="17"/>
  <c r="G91" i="17"/>
  <c r="G155" i="17"/>
  <c r="G219" i="17"/>
  <c r="H283" i="17"/>
  <c r="H347" i="17"/>
  <c r="H411" i="17"/>
  <c r="H475" i="17"/>
  <c r="H539" i="17"/>
  <c r="G266" i="17"/>
  <c r="G330" i="17"/>
  <c r="G394" i="17"/>
  <c r="H41" i="17"/>
  <c r="H169" i="17"/>
  <c r="G42" i="17"/>
  <c r="G170" i="17"/>
  <c r="H298" i="17"/>
  <c r="H426" i="17"/>
  <c r="H554" i="17"/>
  <c r="G345" i="17"/>
  <c r="G458" i="17"/>
  <c r="G522" i="17"/>
  <c r="G586" i="17"/>
  <c r="H55" i="17"/>
  <c r="H183" i="17"/>
  <c r="G56" i="17"/>
  <c r="G184" i="17"/>
  <c r="H312" i="17"/>
  <c r="H416" i="17"/>
  <c r="H480" i="17"/>
  <c r="H544" i="17"/>
  <c r="G271" i="17"/>
  <c r="G335" i="17"/>
  <c r="G399" i="17"/>
  <c r="G453" i="17"/>
  <c r="G485" i="17"/>
  <c r="G517" i="17"/>
  <c r="G549" i="17"/>
  <c r="G581" i="17"/>
  <c r="G613" i="17"/>
  <c r="H28" i="17"/>
  <c r="H60" i="17"/>
  <c r="H92" i="17"/>
  <c r="H124" i="17"/>
  <c r="H156" i="17"/>
  <c r="H188" i="17"/>
  <c r="H220" i="17"/>
  <c r="H252" i="17"/>
  <c r="G33" i="17"/>
  <c r="G65" i="17"/>
  <c r="G97" i="17"/>
  <c r="G129" i="17"/>
  <c r="G161" i="17"/>
  <c r="G193" i="17"/>
  <c r="G225" i="17"/>
  <c r="G257" i="17"/>
  <c r="H289" i="17"/>
  <c r="H321" i="17"/>
  <c r="H353" i="17"/>
  <c r="H385" i="17"/>
  <c r="H417" i="17"/>
  <c r="H449" i="17"/>
  <c r="H481" i="17"/>
  <c r="H513" i="17"/>
  <c r="H545" i="17"/>
  <c r="H577" i="17"/>
  <c r="G272" i="17"/>
  <c r="G304" i="17"/>
  <c r="G336" i="17"/>
  <c r="G368" i="17"/>
  <c r="G400" i="17"/>
  <c r="G432" i="17"/>
  <c r="H61" i="17"/>
  <c r="H125" i="17"/>
  <c r="H189" i="17"/>
  <c r="H253" i="17"/>
  <c r="G62" i="17"/>
  <c r="G126" i="17"/>
  <c r="G190" i="17"/>
  <c r="G254" i="17"/>
  <c r="H318" i="17"/>
  <c r="H382" i="17"/>
  <c r="H446" i="17"/>
  <c r="H510" i="17"/>
  <c r="H574" i="17"/>
  <c r="G301" i="17"/>
  <c r="G365" i="17"/>
  <c r="G429" i="17"/>
  <c r="G468" i="17"/>
  <c r="G500" i="17"/>
  <c r="G532" i="17"/>
  <c r="G564" i="17"/>
  <c r="G608" i="17"/>
  <c r="H99" i="17"/>
  <c r="H227" i="17"/>
  <c r="G100" i="17"/>
  <c r="G228" i="17"/>
  <c r="H356" i="17"/>
  <c r="H484" i="17"/>
  <c r="G275" i="17"/>
  <c r="G403" i="17"/>
  <c r="G487" i="17"/>
  <c r="G551" i="17"/>
  <c r="H591" i="17"/>
  <c r="H43" i="17"/>
  <c r="H171" i="17"/>
  <c r="G44" i="17"/>
  <c r="G172" i="17"/>
  <c r="H300" i="17"/>
  <c r="H428" i="17"/>
  <c r="H556" i="17"/>
  <c r="G347" i="17"/>
  <c r="G459" i="17"/>
  <c r="G523" i="17"/>
  <c r="G587" i="17"/>
  <c r="H368" i="17"/>
  <c r="G240" i="17"/>
  <c r="G112" i="17"/>
  <c r="H239" i="17"/>
  <c r="H111" i="17"/>
  <c r="H13" i="17"/>
  <c r="G550" i="17"/>
  <c r="G486" i="17"/>
  <c r="G401" i="17"/>
  <c r="G273" i="17"/>
  <c r="H482" i="17"/>
  <c r="H354" i="17"/>
  <c r="G226" i="17"/>
  <c r="G98" i="17"/>
  <c r="H225" i="17"/>
  <c r="H97" i="17"/>
  <c r="G422" i="17"/>
  <c r="G358" i="17"/>
  <c r="G294" i="17"/>
  <c r="H567" i="17"/>
  <c r="H503" i="17"/>
  <c r="H439" i="17"/>
  <c r="H375" i="17"/>
  <c r="G263" i="17"/>
  <c r="G135" i="17"/>
  <c r="H258" i="17"/>
  <c r="H106" i="17"/>
  <c r="H275" i="17"/>
  <c r="G450" i="17"/>
  <c r="G513" i="17"/>
  <c r="G157" i="17"/>
  <c r="G332" i="17"/>
  <c r="H566" i="17"/>
  <c r="G387" i="17"/>
  <c r="H206" i="17"/>
  <c r="G311" i="17"/>
  <c r="H533" i="17"/>
  <c r="G180" i="17"/>
  <c r="G72" i="17"/>
  <c r="G504" i="17"/>
  <c r="G70" i="17"/>
  <c r="B317" i="2"/>
  <c r="G559" i="17"/>
  <c r="H485" i="17"/>
  <c r="H454" i="17"/>
  <c r="H570" i="17"/>
  <c r="H593" i="17"/>
  <c r="H421" i="17"/>
  <c r="H424" i="17"/>
  <c r="G531" i="17"/>
  <c r="H372" i="17"/>
  <c r="H390" i="17"/>
  <c r="H581" i="17"/>
  <c r="G69" i="17"/>
  <c r="G407" i="17"/>
  <c r="H442" i="17"/>
  <c r="G99" i="17"/>
  <c r="G252" i="17"/>
  <c r="G355" i="17"/>
  <c r="G584" i="17"/>
  <c r="H550" i="17"/>
  <c r="G38" i="17"/>
  <c r="G324" i="17"/>
  <c r="H405" i="17"/>
  <c r="G149" i="17"/>
  <c r="H144" i="17"/>
  <c r="G505" i="17"/>
  <c r="H392" i="17"/>
  <c r="G425" i="17"/>
  <c r="G434" i="17"/>
  <c r="G259" i="17"/>
  <c r="G579" i="17"/>
  <c r="H540" i="17"/>
  <c r="G28" i="17"/>
  <c r="G543" i="17"/>
  <c r="H468" i="17"/>
  <c r="H211" i="17"/>
  <c r="G528" i="17"/>
  <c r="G357" i="17"/>
  <c r="H438" i="17"/>
  <c r="G182" i="17"/>
  <c r="H181" i="17"/>
  <c r="G396" i="17"/>
  <c r="G268" i="17"/>
  <c r="H477" i="17"/>
  <c r="H349" i="17"/>
  <c r="G221" i="17"/>
  <c r="G93" i="17"/>
  <c r="H216" i="17"/>
  <c r="H88" i="17"/>
  <c r="G577" i="17"/>
  <c r="G449" i="17"/>
  <c r="H536" i="17"/>
  <c r="G168" i="17"/>
  <c r="G578" i="17"/>
  <c r="H538" i="17"/>
  <c r="G26" i="17"/>
  <c r="G322" i="17"/>
  <c r="H403" i="17"/>
  <c r="G147" i="17"/>
  <c r="G35" i="17"/>
  <c r="H623" i="17"/>
  <c r="H74" i="17"/>
  <c r="H138" i="17"/>
  <c r="H178" i="17"/>
  <c r="H210" i="17"/>
  <c r="H242" i="17"/>
  <c r="G23" i="17"/>
  <c r="G55" i="17"/>
  <c r="G87" i="17"/>
  <c r="G119" i="17"/>
  <c r="G151" i="17"/>
  <c r="G183" i="17"/>
  <c r="G215" i="17"/>
  <c r="G247" i="17"/>
  <c r="H279" i="17"/>
  <c r="H311" i="17"/>
  <c r="H343" i="17"/>
  <c r="K185" i="2"/>
  <c r="E19" i="1"/>
  <c r="B284" i="2"/>
  <c r="B307" i="2" s="1"/>
  <c r="H30" i="17"/>
  <c r="G404" i="17"/>
  <c r="G585" i="17"/>
  <c r="G229" i="17"/>
  <c r="H572" i="17"/>
  <c r="G198" i="17"/>
  <c r="H224" i="17"/>
  <c r="G58" i="17"/>
  <c r="G60" i="17"/>
  <c r="G536" i="17"/>
  <c r="H197" i="17"/>
  <c r="H357" i="17"/>
  <c r="H96" i="17"/>
  <c r="G200" i="17"/>
  <c r="G338" i="17"/>
  <c r="G467" i="17"/>
  <c r="H59" i="17"/>
  <c r="G244" i="17"/>
  <c r="G472" i="17"/>
  <c r="H326" i="17"/>
  <c r="H69" i="17"/>
  <c r="H549" i="17"/>
  <c r="H293" i="17"/>
  <c r="G37" i="17"/>
  <c r="H32" i="17"/>
  <c r="G343" i="17"/>
  <c r="H199" i="17"/>
  <c r="H314" i="17"/>
  <c r="H547" i="17"/>
  <c r="G19" i="17"/>
  <c r="G363" i="17"/>
  <c r="G188" i="17"/>
  <c r="H607" i="17"/>
  <c r="G291" i="17"/>
  <c r="G116" i="17"/>
  <c r="G568" i="17"/>
  <c r="G437" i="17"/>
  <c r="H518" i="17"/>
  <c r="G262" i="17"/>
  <c r="H261" i="17"/>
  <c r="G436" i="17"/>
  <c r="G308" i="17"/>
  <c r="H517" i="17"/>
  <c r="H389" i="17"/>
  <c r="G261" i="17"/>
  <c r="G133" i="17"/>
  <c r="H256" i="17"/>
  <c r="H128" i="17"/>
  <c r="H595" i="17"/>
  <c r="G489" i="17"/>
  <c r="G279" i="17"/>
  <c r="H328" i="17"/>
  <c r="H71" i="17"/>
  <c r="G361" i="17"/>
  <c r="G186" i="17"/>
  <c r="G402" i="17"/>
  <c r="H483" i="17"/>
  <c r="G227" i="17"/>
  <c r="H142" i="17"/>
  <c r="G499" i="17"/>
  <c r="G299" i="17"/>
  <c r="H380" i="17"/>
  <c r="G124" i="17"/>
  <c r="H123" i="17"/>
  <c r="G591" i="17"/>
  <c r="G463" i="17"/>
  <c r="H564" i="17"/>
  <c r="H308" i="17"/>
  <c r="G52" i="17"/>
  <c r="H51" i="17"/>
  <c r="G552" i="17"/>
  <c r="G488" i="17"/>
  <c r="G405" i="17"/>
  <c r="G277" i="17"/>
  <c r="H486" i="17"/>
  <c r="H358" i="17"/>
  <c r="G230" i="17"/>
  <c r="G102" i="17"/>
  <c r="H229" i="17"/>
  <c r="H101" i="17"/>
  <c r="G420" i="17"/>
  <c r="G356" i="17"/>
  <c r="G292" i="17"/>
  <c r="H565" i="17"/>
  <c r="H501" i="17"/>
  <c r="H437" i="17"/>
  <c r="H373" i="17"/>
  <c r="H309" i="17"/>
  <c r="G245" i="17"/>
  <c r="G181" i="17"/>
  <c r="G117" i="17"/>
  <c r="G53" i="17"/>
  <c r="H240" i="17"/>
  <c r="H176" i="17"/>
  <c r="H112" i="17"/>
  <c r="H48" i="17"/>
  <c r="G601" i="17"/>
  <c r="G537" i="17"/>
  <c r="G473" i="17"/>
  <c r="G375" i="17"/>
  <c r="H584" i="17"/>
  <c r="H456" i="17"/>
  <c r="G264" i="17"/>
  <c r="H263" i="17"/>
  <c r="H613" i="17"/>
  <c r="G498" i="17"/>
  <c r="G297" i="17"/>
  <c r="H378" i="17"/>
  <c r="G122" i="17"/>
  <c r="H121" i="17"/>
  <c r="G370" i="17"/>
  <c r="H579" i="17"/>
  <c r="H451" i="17"/>
  <c r="H323" i="17"/>
  <c r="G195" i="17"/>
  <c r="G67" i="17"/>
  <c r="H78" i="17"/>
  <c r="G611" i="17"/>
  <c r="G547" i="17"/>
  <c r="G483" i="17"/>
  <c r="G395" i="17"/>
  <c r="G267" i="17"/>
  <c r="H476" i="17"/>
  <c r="H348" i="17"/>
  <c r="G220" i="17"/>
  <c r="G92" i="17"/>
  <c r="H219" i="17"/>
  <c r="H91" i="17"/>
  <c r="G596" i="17"/>
  <c r="G575" i="17"/>
  <c r="G511" i="17"/>
  <c r="G447" i="17"/>
  <c r="G323" i="17"/>
  <c r="H532" i="17"/>
  <c r="H404" i="17"/>
  <c r="H276" i="17"/>
  <c r="G148" i="17"/>
  <c r="G20" i="17"/>
  <c r="H147" i="17"/>
  <c r="H19" i="17"/>
  <c r="G576" i="17"/>
  <c r="G544" i="17"/>
  <c r="G512" i="17"/>
  <c r="G480" i="17"/>
  <c r="G448" i="17"/>
  <c r="G389" i="17"/>
  <c r="G325" i="17"/>
  <c r="H606" i="17"/>
  <c r="H534" i="17"/>
  <c r="H470" i="17"/>
  <c r="H406" i="17"/>
  <c r="H342" i="17"/>
  <c r="H278" i="17"/>
  <c r="G214" i="17"/>
  <c r="G150" i="17"/>
  <c r="G86" i="17"/>
  <c r="G22" i="17"/>
  <c r="H213" i="17"/>
  <c r="H149" i="17"/>
  <c r="H85" i="17"/>
  <c r="H21" i="17"/>
  <c r="G412" i="17"/>
  <c r="G380" i="17"/>
  <c r="G348" i="17"/>
  <c r="G316" i="17"/>
  <c r="G284" i="17"/>
  <c r="H589" i="17"/>
  <c r="H557" i="17"/>
  <c r="H525" i="17"/>
  <c r="H493" i="17"/>
  <c r="H461" i="17"/>
  <c r="H429" i="17"/>
  <c r="H397" i="17"/>
  <c r="H365" i="17"/>
  <c r="H333" i="17"/>
  <c r="H301" i="17"/>
  <c r="H269" i="17"/>
  <c r="G237" i="17"/>
  <c r="G205" i="17"/>
  <c r="G173" i="17"/>
  <c r="G141" i="17"/>
  <c r="G109" i="17"/>
  <c r="G77" i="17"/>
  <c r="G45" i="17"/>
  <c r="H264" i="17"/>
  <c r="H232" i="17"/>
  <c r="H200" i="17"/>
  <c r="H168" i="17"/>
  <c r="H136" i="17"/>
  <c r="H104" i="17"/>
  <c r="H72" i="17"/>
  <c r="H40" i="17"/>
  <c r="H611" i="17"/>
  <c r="G593" i="17"/>
  <c r="G561" i="17"/>
  <c r="G529" i="17"/>
  <c r="G497" i="17"/>
  <c r="G465" i="17"/>
  <c r="G423" i="17"/>
  <c r="G359" i="17"/>
  <c r="G295" i="17"/>
  <c r="H568" i="17"/>
  <c r="H504" i="17"/>
  <c r="H440" i="17"/>
  <c r="H360" i="17"/>
  <c r="G232" i="17"/>
  <c r="G104" i="17"/>
  <c r="H231" i="17"/>
  <c r="H103" i="17"/>
  <c r="G610" i="17"/>
  <c r="G546" i="17"/>
  <c r="G482" i="17"/>
  <c r="G393" i="17"/>
  <c r="G13" i="17"/>
  <c r="H474" i="17"/>
  <c r="H346" i="17"/>
  <c r="G218" i="17"/>
  <c r="G90" i="17"/>
  <c r="H217" i="17"/>
  <c r="H89" i="17"/>
  <c r="G418" i="17"/>
  <c r="G354" i="17"/>
  <c r="G290" i="17"/>
  <c r="H563" i="17"/>
  <c r="H499" i="17"/>
  <c r="H435" i="17"/>
  <c r="H371" i="17"/>
  <c r="H307" i="17"/>
  <c r="G243" i="17"/>
  <c r="G179" i="17"/>
  <c r="G115" i="17"/>
  <c r="G51" i="17"/>
  <c r="H174" i="17"/>
  <c r="H46" i="17"/>
  <c r="H254" i="17"/>
  <c r="H190" i="17"/>
  <c r="H126" i="17"/>
  <c r="H62" i="17"/>
  <c r="H18" i="17"/>
  <c r="H34" i="17"/>
  <c r="H50" i="17"/>
  <c r="H66" i="17"/>
  <c r="H82" i="17"/>
  <c r="H98" i="17"/>
  <c r="H114" i="17"/>
  <c r="H130" i="17"/>
  <c r="H146" i="17"/>
  <c r="G623" i="17"/>
  <c r="H38" i="17"/>
  <c r="H70" i="17"/>
  <c r="H102" i="17"/>
  <c r="H134" i="17"/>
  <c r="H166" i="17"/>
  <c r="H198" i="17"/>
  <c r="H230" i="17"/>
  <c r="H262" i="17"/>
  <c r="G43" i="17"/>
  <c r="G75" i="17"/>
  <c r="G107" i="17"/>
  <c r="G139" i="17"/>
  <c r="G171" i="17"/>
  <c r="G203" i="17"/>
  <c r="G235" i="17"/>
  <c r="H267" i="17"/>
  <c r="H299" i="17"/>
  <c r="H331" i="17"/>
  <c r="H363" i="17"/>
  <c r="H395" i="17"/>
  <c r="H427" i="17"/>
  <c r="H459" i="17"/>
  <c r="H491" i="17"/>
  <c r="H523" i="17"/>
  <c r="H555" i="17"/>
  <c r="H587" i="17"/>
  <c r="G282" i="17"/>
  <c r="G314" i="17"/>
  <c r="G346" i="17"/>
  <c r="G378" i="17"/>
  <c r="G410" i="17"/>
  <c r="G442" i="17"/>
  <c r="H73" i="17"/>
  <c r="H137" i="17"/>
  <c r="H201" i="17"/>
  <c r="H265" i="17"/>
  <c r="G74" i="17"/>
  <c r="G138" i="17"/>
  <c r="G202" i="17"/>
  <c r="H266" i="17"/>
  <c r="H330" i="17"/>
  <c r="H394" i="17"/>
  <c r="H458" i="17"/>
  <c r="H522" i="17"/>
  <c r="H586" i="17"/>
  <c r="G313" i="17"/>
  <c r="G377" i="17"/>
  <c r="G441" i="17"/>
  <c r="G474" i="17"/>
  <c r="G506" i="17"/>
  <c r="G538" i="17"/>
  <c r="G570" i="17"/>
  <c r="G602" i="17"/>
  <c r="H23" i="17"/>
  <c r="H87" i="17"/>
  <c r="H151" i="17"/>
  <c r="H215" i="17"/>
  <c r="G24" i="17"/>
  <c r="G88" i="17"/>
  <c r="G152" i="17"/>
  <c r="G216" i="17"/>
  <c r="H280" i="17"/>
  <c r="H344" i="17"/>
  <c r="H400" i="17"/>
  <c r="H432" i="17"/>
  <c r="H464" i="17"/>
  <c r="H496" i="17"/>
  <c r="H528" i="17"/>
  <c r="H560" i="17"/>
  <c r="H594" i="17"/>
  <c r="G287" i="17"/>
  <c r="G319" i="17"/>
  <c r="G351" i="17"/>
  <c r="G383" i="17"/>
  <c r="G415" i="17"/>
  <c r="G445" i="17"/>
  <c r="G461" i="17"/>
  <c r="G477" i="17"/>
  <c r="G493" i="17"/>
  <c r="G509" i="17"/>
  <c r="G525" i="17"/>
  <c r="G541" i="17"/>
  <c r="G557" i="17"/>
  <c r="G573" i="17"/>
  <c r="G589" i="17"/>
  <c r="G605" i="17"/>
  <c r="H603" i="17"/>
  <c r="H20" i="17"/>
  <c r="H36" i="17"/>
  <c r="H52" i="17"/>
  <c r="H68" i="17"/>
  <c r="H84" i="17"/>
  <c r="H100" i="17"/>
  <c r="H116" i="17"/>
  <c r="H132" i="17"/>
  <c r="H148" i="17"/>
  <c r="H164" i="17"/>
  <c r="H180" i="17"/>
  <c r="H196" i="17"/>
  <c r="H212" i="17"/>
  <c r="H228" i="17"/>
  <c r="H244" i="17"/>
  <c r="H260" i="17"/>
  <c r="G25" i="17"/>
  <c r="G41" i="17"/>
  <c r="G57" i="17"/>
  <c r="G73" i="17"/>
  <c r="G89" i="17"/>
  <c r="G105" i="17"/>
  <c r="G121" i="17"/>
  <c r="G137" i="17"/>
  <c r="G153" i="17"/>
  <c r="G169" i="17"/>
  <c r="G185" i="17"/>
  <c r="G201" i="17"/>
  <c r="G217" i="17"/>
  <c r="G233" i="17"/>
  <c r="G249" i="17"/>
  <c r="G265" i="17"/>
  <c r="H281" i="17"/>
  <c r="H297" i="17"/>
  <c r="H313" i="17"/>
  <c r="H329" i="17"/>
  <c r="H345" i="17"/>
  <c r="H361" i="17"/>
  <c r="H377" i="17"/>
  <c r="H393" i="17"/>
  <c r="H409" i="17"/>
  <c r="H425" i="17"/>
  <c r="H441" i="17"/>
  <c r="H457" i="17"/>
  <c r="H473" i="17"/>
  <c r="H489" i="17"/>
  <c r="H505" i="17"/>
  <c r="H521" i="17"/>
  <c r="H537" i="17"/>
  <c r="H553" i="17"/>
  <c r="H569" i="17"/>
  <c r="H585" i="17"/>
  <c r="H612" i="17"/>
  <c r="G280" i="17"/>
  <c r="G296" i="17"/>
  <c r="G312" i="17"/>
  <c r="G328" i="17"/>
  <c r="G344" i="17"/>
  <c r="G360" i="17"/>
  <c r="G376" i="17"/>
  <c r="G392" i="17"/>
  <c r="G408" i="17"/>
  <c r="G424" i="17"/>
  <c r="G440" i="17"/>
  <c r="H45" i="17"/>
  <c r="H77" i="17"/>
  <c r="H109" i="17"/>
  <c r="H141" i="17"/>
  <c r="H173" i="17"/>
  <c r="H205" i="17"/>
  <c r="H237" i="17"/>
  <c r="G14" i="17"/>
  <c r="G46" i="17"/>
  <c r="G78" i="17"/>
  <c r="G110" i="17"/>
  <c r="G142" i="17"/>
  <c r="G174" i="17"/>
  <c r="G206" i="17"/>
  <c r="G238" i="17"/>
  <c r="H270" i="17"/>
  <c r="H302" i="17"/>
  <c r="H334" i="17"/>
  <c r="H366" i="17"/>
  <c r="H398" i="17"/>
  <c r="H430" i="17"/>
  <c r="H462" i="17"/>
  <c r="H494" i="17"/>
  <c r="H526" i="17"/>
  <c r="H558" i="17"/>
  <c r="H590" i="17"/>
  <c r="G285" i="17"/>
  <c r="G317" i="17"/>
  <c r="G349" i="17"/>
  <c r="G381" i="17"/>
  <c r="G413" i="17"/>
  <c r="G444" i="17"/>
  <c r="G460" i="17"/>
  <c r="G476" i="17"/>
  <c r="G492" i="17"/>
  <c r="G508" i="17"/>
  <c r="G524" i="17"/>
  <c r="G540" i="17"/>
  <c r="G556" i="17"/>
  <c r="G572" i="17"/>
  <c r="G592" i="17"/>
  <c r="H609" i="17"/>
  <c r="H67" i="17"/>
  <c r="H131" i="17"/>
  <c r="H195" i="17"/>
  <c r="H259" i="17"/>
  <c r="G68" i="17"/>
  <c r="G132" i="17"/>
  <c r="G196" i="17"/>
  <c r="G260" i="17"/>
  <c r="H324" i="17"/>
  <c r="H388" i="17"/>
  <c r="H452" i="17"/>
  <c r="H516" i="17"/>
  <c r="H580" i="17"/>
  <c r="G307" i="17"/>
  <c r="G371" i="17"/>
  <c r="G435" i="17"/>
  <c r="G471" i="17"/>
  <c r="G503" i="17"/>
  <c r="G535" i="17"/>
  <c r="G567" i="17"/>
  <c r="G599" i="17"/>
  <c r="G588" i="17"/>
  <c r="H602" i="17"/>
  <c r="H75" i="17"/>
  <c r="H139" i="17"/>
  <c r="H203" i="17"/>
  <c r="G626" i="17"/>
  <c r="G76" i="17"/>
  <c r="G140" i="17"/>
  <c r="G204" i="17"/>
  <c r="H268" i="17"/>
  <c r="H332" i="17"/>
  <c r="H396" i="17"/>
  <c r="H460" i="17"/>
  <c r="H524" i="17"/>
  <c r="H588" i="17"/>
  <c r="G315" i="17"/>
  <c r="G379" i="17"/>
  <c r="G443" i="17"/>
  <c r="G475" i="17"/>
  <c r="G507" i="17"/>
  <c r="G539" i="17"/>
  <c r="G571" i="17"/>
  <c r="G603" i="17"/>
  <c r="H384" i="17"/>
  <c r="H352" i="17"/>
  <c r="H320" i="17"/>
  <c r="H288" i="17"/>
  <c r="G256" i="17"/>
  <c r="G224" i="17"/>
  <c r="G192" i="17"/>
  <c r="G160" i="17"/>
  <c r="G128" i="17"/>
  <c r="G96" i="17"/>
  <c r="G64" i="17"/>
  <c r="G32" i="17"/>
  <c r="H255" i="17"/>
  <c r="H223" i="17"/>
  <c r="H191" i="17"/>
  <c r="H159" i="17"/>
  <c r="H127" i="17"/>
  <c r="H95" i="17"/>
  <c r="H63" i="17"/>
  <c r="H31" i="17"/>
  <c r="H605" i="17"/>
  <c r="G606" i="17"/>
  <c r="G590" i="17"/>
  <c r="G574" i="17"/>
  <c r="G558" i="17"/>
  <c r="G542" i="17"/>
  <c r="G526" i="17"/>
  <c r="G510" i="17"/>
  <c r="G494" i="17"/>
  <c r="G478" i="17"/>
  <c r="G462" i="17"/>
  <c r="G446" i="17"/>
  <c r="G417" i="17"/>
  <c r="G385" i="17"/>
  <c r="G353" i="17"/>
  <c r="G321" i="17"/>
  <c r="G289" i="17"/>
  <c r="H598" i="17"/>
  <c r="H562" i="17"/>
  <c r="H530" i="17"/>
  <c r="H498" i="17"/>
  <c r="H466" i="17"/>
  <c r="H434" i="17"/>
  <c r="H402" i="17"/>
  <c r="H370" i="17"/>
  <c r="H338" i="17"/>
  <c r="H306" i="17"/>
  <c r="H274" i="17"/>
  <c r="G242" i="17"/>
  <c r="G210" i="17"/>
  <c r="G178" i="17"/>
  <c r="G146" i="17"/>
  <c r="G114" i="17"/>
  <c r="G82" i="17"/>
  <c r="G50" i="17"/>
  <c r="G18" i="17"/>
  <c r="H241" i="17"/>
  <c r="H209" i="17"/>
  <c r="H177" i="17"/>
  <c r="H145" i="17"/>
  <c r="H113" i="17"/>
  <c r="H81" i="17"/>
  <c r="H49" i="17"/>
  <c r="H17" i="17"/>
  <c r="G430" i="17"/>
  <c r="G414" i="17"/>
  <c r="G398" i="17"/>
  <c r="G382" i="17"/>
  <c r="G366" i="17"/>
  <c r="G350" i="17"/>
  <c r="G334" i="17"/>
  <c r="G318" i="17"/>
  <c r="G302" i="17"/>
  <c r="G286" i="17"/>
  <c r="G270" i="17"/>
  <c r="H592" i="17"/>
  <c r="H575" i="17"/>
  <c r="H559" i="17"/>
  <c r="H543" i="17"/>
  <c r="H527" i="17"/>
  <c r="H511" i="17"/>
  <c r="H495" i="17"/>
  <c r="H479" i="17"/>
  <c r="H463" i="17"/>
  <c r="H447" i="17"/>
  <c r="H431" i="17"/>
  <c r="H415" i="17"/>
  <c r="H399" i="17"/>
  <c r="H383" i="17"/>
  <c r="H367" i="17"/>
  <c r="H351" i="17"/>
  <c r="H335" i="17"/>
  <c r="H319" i="17"/>
  <c r="H303" i="17"/>
  <c r="H287" i="17"/>
  <c r="H271" i="17"/>
  <c r="G255" i="17"/>
  <c r="G239" i="17"/>
  <c r="G223" i="17"/>
  <c r="G207" i="17"/>
  <c r="G191" i="17"/>
  <c r="G175" i="17"/>
  <c r="G159" i="17"/>
  <c r="G143" i="17"/>
  <c r="G127" i="17"/>
  <c r="G111" i="17"/>
  <c r="G95" i="17"/>
  <c r="G79" i="17"/>
  <c r="G63" i="17"/>
  <c r="G47" i="17"/>
  <c r="G31" i="17"/>
  <c r="G15" i="17"/>
  <c r="H250" i="17"/>
  <c r="H234" i="17"/>
  <c r="H218" i="17"/>
  <c r="H202" i="17"/>
  <c r="H186" i="17"/>
  <c r="H170" i="17"/>
  <c r="H154" i="17"/>
  <c r="H122" i="17"/>
  <c r="H90" i="17"/>
  <c r="H58" i="17"/>
  <c r="H26" i="17"/>
  <c r="H94" i="17"/>
  <c r="H222" i="17"/>
  <c r="H110" i="17"/>
  <c r="G83" i="17"/>
  <c r="G211" i="17"/>
  <c r="H339" i="17"/>
  <c r="H467" i="17"/>
  <c r="H599" i="17"/>
  <c r="G386" i="17"/>
  <c r="H153" i="17"/>
  <c r="G154" i="17"/>
  <c r="H410" i="17"/>
  <c r="G329" i="17"/>
  <c r="G514" i="17"/>
  <c r="H39" i="17"/>
  <c r="G40" i="17"/>
  <c r="H296" i="17"/>
  <c r="H472" i="17"/>
  <c r="H610" i="17"/>
  <c r="G391" i="17"/>
  <c r="G481" i="17"/>
  <c r="G545" i="17"/>
  <c r="G609" i="17"/>
  <c r="H56" i="17"/>
  <c r="H120" i="17"/>
  <c r="H184" i="17"/>
  <c r="H248" i="17"/>
  <c r="G61" i="17"/>
  <c r="G125" i="17"/>
  <c r="G189" i="17"/>
  <c r="G253" i="17"/>
  <c r="H317" i="17"/>
  <c r="H381" i="17"/>
  <c r="H445" i="17"/>
  <c r="H509" i="17"/>
  <c r="H573" i="17"/>
  <c r="G300" i="17"/>
  <c r="G364" i="17"/>
  <c r="G428" i="17"/>
  <c r="H117" i="17"/>
  <c r="H245" i="17"/>
  <c r="G118" i="17"/>
  <c r="G246" i="17"/>
  <c r="H374" i="17"/>
  <c r="H502" i="17"/>
  <c r="G293" i="17"/>
  <c r="G421" i="17"/>
  <c r="G496" i="17"/>
  <c r="G560" i="17"/>
  <c r="H83" i="17"/>
  <c r="G84" i="17"/>
  <c r="H340" i="17"/>
  <c r="H601" i="17"/>
  <c r="G479" i="17"/>
  <c r="G607" i="17"/>
  <c r="H155" i="17"/>
  <c r="G156" i="17"/>
  <c r="H412" i="17"/>
  <c r="G331" i="17"/>
  <c r="G515" i="17"/>
  <c r="H14" i="17"/>
  <c r="G131" i="17"/>
  <c r="H387" i="17"/>
  <c r="G306" i="17"/>
  <c r="H249" i="17"/>
  <c r="H506" i="17"/>
  <c r="G562" i="17"/>
  <c r="G136" i="17"/>
  <c r="H520" i="17"/>
  <c r="G439" i="17"/>
  <c r="G569" i="17"/>
  <c r="H80" i="17"/>
  <c r="H208" i="17"/>
  <c r="G85" i="17"/>
  <c r="G213" i="17"/>
  <c r="H341" i="17"/>
  <c r="H469" i="17"/>
  <c r="H604" i="17"/>
  <c r="G388" i="17"/>
  <c r="H165" i="17"/>
  <c r="G166" i="17"/>
  <c r="H422" i="17"/>
  <c r="G341" i="17"/>
  <c r="G520" i="17"/>
  <c r="H179" i="17"/>
  <c r="H436" i="17"/>
  <c r="G527" i="17"/>
  <c r="H251" i="17"/>
  <c r="H508" i="17"/>
  <c r="G563" i="17"/>
  <c r="H355" i="17"/>
  <c r="H185" i="17"/>
  <c r="G530" i="17"/>
  <c r="H488" i="17"/>
  <c r="G553" i="17"/>
  <c r="H192" i="17"/>
  <c r="G197" i="17"/>
  <c r="H453" i="17"/>
  <c r="G372" i="17"/>
  <c r="G134" i="17"/>
  <c r="G309" i="17"/>
  <c r="H115" i="17"/>
  <c r="G495" i="17"/>
  <c r="H444" i="17"/>
  <c r="H291" i="17"/>
  <c r="G466" i="17"/>
  <c r="G521" i="17"/>
  <c r="G165" i="17"/>
  <c r="G340" i="17"/>
  <c r="H582" i="17"/>
  <c r="G419" i="17"/>
  <c r="G163" i="17"/>
  <c r="G457" i="17"/>
  <c r="G276" i="17"/>
  <c r="H500" i="17"/>
  <c r="H552" i="17"/>
  <c r="H243" i="17"/>
  <c r="G373" i="17"/>
  <c r="B279" i="2"/>
  <c r="B295" i="2" s="1"/>
  <c r="B150" i="2"/>
  <c r="L102" i="2"/>
  <c r="B103" i="2"/>
  <c r="B117" i="2" s="1"/>
  <c r="L103" i="2"/>
  <c r="P103" i="2" s="1"/>
  <c r="B90" i="2"/>
  <c r="E21" i="1" s="1"/>
  <c r="B161" i="2"/>
  <c r="B91" i="2"/>
  <c r="E22" i="1" s="1"/>
  <c r="K103" i="2"/>
  <c r="K102" i="2"/>
  <c r="F90" i="2"/>
  <c r="F91" i="2"/>
  <c r="B88" i="2"/>
  <c r="H78" i="2"/>
  <c r="E15" i="1"/>
  <c r="X67" i="20" l="1"/>
  <c r="Y67" i="20" s="1"/>
  <c r="Z67" i="20" s="1"/>
  <c r="S92" i="20"/>
  <c r="AJ82" i="20"/>
  <c r="AK82" i="20" s="1"/>
  <c r="AM67" i="20"/>
  <c r="U92" i="20"/>
  <c r="V92" i="20" s="1"/>
  <c r="W92" i="20" s="1"/>
  <c r="AA67" i="20"/>
  <c r="AB67" i="20" s="1"/>
  <c r="AA92" i="20"/>
  <c r="AB92" i="20" s="1"/>
  <c r="AO67" i="20"/>
  <c r="AP67" i="20" s="1"/>
  <c r="Q92" i="20"/>
  <c r="AS92" i="20" s="1"/>
  <c r="U99" i="20"/>
  <c r="V99" i="20" s="1"/>
  <c r="W99" i="20" s="1"/>
  <c r="S99" i="20"/>
  <c r="Q99" i="20"/>
  <c r="AS99" i="20" s="1"/>
  <c r="AJ99" i="20"/>
  <c r="AK99" i="20" s="1"/>
  <c r="X99" i="20"/>
  <c r="Y99" i="20" s="1"/>
  <c r="Z99" i="20" s="1"/>
  <c r="AA99" i="20"/>
  <c r="AB99" i="20" s="1"/>
  <c r="AQ99" i="20"/>
  <c r="AF96" i="20"/>
  <c r="AG96" i="20" s="1"/>
  <c r="AJ72" i="20"/>
  <c r="AK72" i="20" s="1"/>
  <c r="U63" i="20"/>
  <c r="V63" i="20" s="1"/>
  <c r="W63" i="20" s="1"/>
  <c r="AO96" i="20"/>
  <c r="AP96" i="20" s="1"/>
  <c r="AQ96" i="20"/>
  <c r="Q96" i="20"/>
  <c r="AS96" i="20" s="1"/>
  <c r="AO63" i="20"/>
  <c r="AP63" i="20" s="1"/>
  <c r="BE116" i="20"/>
  <c r="AA71" i="20"/>
  <c r="AB71" i="20" s="1"/>
  <c r="AE71" i="20" s="1"/>
  <c r="U96" i="20"/>
  <c r="V96" i="20" s="1"/>
  <c r="W96" i="20" s="1"/>
  <c r="X96" i="20"/>
  <c r="Y96" i="20" s="1"/>
  <c r="Z96" i="20" s="1"/>
  <c r="S63" i="20"/>
  <c r="AH96" i="20"/>
  <c r="AV167" i="20"/>
  <c r="BL167" i="20" s="1"/>
  <c r="AF92" i="20"/>
  <c r="AN118" i="20"/>
  <c r="AA96" i="20"/>
  <c r="AB96" i="20" s="1"/>
  <c r="AE96" i="20" s="1"/>
  <c r="X87" i="20"/>
  <c r="Y87" i="20" s="1"/>
  <c r="Z87" i="20" s="1"/>
  <c r="AM87" i="20"/>
  <c r="U87" i="20"/>
  <c r="V87" i="20" s="1"/>
  <c r="W87" i="20" s="1"/>
  <c r="AQ87" i="20"/>
  <c r="S87" i="20"/>
  <c r="AS155" i="20"/>
  <c r="AJ96" i="20"/>
  <c r="AK96" i="20" s="1"/>
  <c r="AA68" i="20"/>
  <c r="AB68" i="20" s="1"/>
  <c r="AE68" i="20" s="1"/>
  <c r="AO68" i="20"/>
  <c r="AP68" i="20" s="1"/>
  <c r="U68" i="20"/>
  <c r="V68" i="20" s="1"/>
  <c r="W68" i="20" s="1"/>
  <c r="AJ68" i="20"/>
  <c r="AK68" i="20" s="1"/>
  <c r="AJ93" i="20"/>
  <c r="AK93" i="20" s="1"/>
  <c r="S68" i="20"/>
  <c r="X108" i="20"/>
  <c r="Y108" i="20" s="1"/>
  <c r="Z108" i="20" s="1"/>
  <c r="AO108" i="20"/>
  <c r="AP108" i="20" s="1"/>
  <c r="S108" i="20"/>
  <c r="AR155" i="20"/>
  <c r="BF155" i="20" s="1"/>
  <c r="S91" i="20"/>
  <c r="AQ91" i="20"/>
  <c r="AR91" i="20" s="1"/>
  <c r="AN155" i="20"/>
  <c r="BE155" i="20" s="1"/>
  <c r="AV139" i="20"/>
  <c r="BL139" i="20" s="1"/>
  <c r="AV166" i="20"/>
  <c r="BL166" i="20" s="1"/>
  <c r="X91" i="20"/>
  <c r="Y91" i="20" s="1"/>
  <c r="Z91" i="20" s="1"/>
  <c r="U91" i="20"/>
  <c r="V91" i="20" s="1"/>
  <c r="W91" i="20" s="1"/>
  <c r="AA91" i="20"/>
  <c r="AB91" i="20" s="1"/>
  <c r="Q91" i="20"/>
  <c r="AS91" i="20" s="1"/>
  <c r="AJ91" i="20"/>
  <c r="AK91" i="20" s="1"/>
  <c r="AF64" i="20"/>
  <c r="AV172" i="20"/>
  <c r="BL172" i="20" s="1"/>
  <c r="AJ40" i="20"/>
  <c r="AK40" i="20" s="1"/>
  <c r="AQ40" i="20"/>
  <c r="U59" i="20"/>
  <c r="V59" i="20" s="1"/>
  <c r="W59" i="20" s="1"/>
  <c r="AM40" i="20"/>
  <c r="AQ78" i="20"/>
  <c r="AJ78" i="20"/>
  <c r="AK78" i="20" s="1"/>
  <c r="AN78" i="20" s="1"/>
  <c r="AV130" i="20"/>
  <c r="BL130" i="20" s="1"/>
  <c r="AV206" i="20"/>
  <c r="BL206" i="20" s="1"/>
  <c r="AA40" i="20"/>
  <c r="AB40" i="20" s="1"/>
  <c r="S79" i="20"/>
  <c r="AM100" i="20"/>
  <c r="U64" i="20"/>
  <c r="V64" i="20" s="1"/>
  <c r="W64" i="20" s="1"/>
  <c r="Q100" i="20"/>
  <c r="AS100" i="20" s="1"/>
  <c r="Q63" i="20"/>
  <c r="AS63" i="20" s="1"/>
  <c r="Q79" i="20"/>
  <c r="AS79" i="20" s="1"/>
  <c r="AM84" i="20"/>
  <c r="AO84" i="20"/>
  <c r="AP84" i="20" s="1"/>
  <c r="AA100" i="20"/>
  <c r="AB100" i="20" s="1"/>
  <c r="Q56" i="20"/>
  <c r="AS56" i="20" s="1"/>
  <c r="BF143" i="20"/>
  <c r="AQ84" i="20"/>
  <c r="AJ63" i="20"/>
  <c r="AK63" i="20" s="1"/>
  <c r="AN63" i="20" s="1"/>
  <c r="AA84" i="20"/>
  <c r="AB84" i="20" s="1"/>
  <c r="AE84" i="20" s="1"/>
  <c r="AV162" i="20"/>
  <c r="BL162" i="20" s="1"/>
  <c r="X63" i="20"/>
  <c r="Y63" i="20" s="1"/>
  <c r="Z63" i="20" s="1"/>
  <c r="AA79" i="20"/>
  <c r="AB79" i="20" s="1"/>
  <c r="AQ59" i="20"/>
  <c r="Q84" i="20"/>
  <c r="AS84" i="20" s="1"/>
  <c r="Q87" i="20"/>
  <c r="AJ87" i="20"/>
  <c r="AK87" i="20" s="1"/>
  <c r="AJ75" i="20"/>
  <c r="AK75" i="20" s="1"/>
  <c r="AF75" i="20"/>
  <c r="AG75" i="20" s="1"/>
  <c r="AM75" i="20"/>
  <c r="AE118" i="20"/>
  <c r="Q71" i="20"/>
  <c r="AS71" i="20" s="1"/>
  <c r="Q23" i="20"/>
  <c r="AS23" i="20" s="1"/>
  <c r="Q59" i="20"/>
  <c r="AS59" i="20" s="1"/>
  <c r="X40" i="20"/>
  <c r="Y40" i="20" s="1"/>
  <c r="Z40" i="20" s="1"/>
  <c r="U40" i="20"/>
  <c r="V40" i="20" s="1"/>
  <c r="W40" i="20" s="1"/>
  <c r="AA75" i="20"/>
  <c r="AB75" i="20" s="1"/>
  <c r="X64" i="20"/>
  <c r="Y64" i="20" s="1"/>
  <c r="Z64" i="20" s="1"/>
  <c r="AO59" i="20"/>
  <c r="AP59" i="20" s="1"/>
  <c r="X75" i="20"/>
  <c r="Y75" i="20" s="1"/>
  <c r="Z75" i="20" s="1"/>
  <c r="AH64" i="20"/>
  <c r="X59" i="20"/>
  <c r="Y59" i="20" s="1"/>
  <c r="Z59" i="20" s="1"/>
  <c r="AD75" i="20"/>
  <c r="Q75" i="20"/>
  <c r="AS75" i="20" s="1"/>
  <c r="S75" i="20"/>
  <c r="AF59" i="20"/>
  <c r="AG59" i="20" s="1"/>
  <c r="AI59" i="20" s="1"/>
  <c r="AA64" i="20"/>
  <c r="AB64" i="20" s="1"/>
  <c r="T118" i="20"/>
  <c r="BI118" i="20" s="1"/>
  <c r="Q40" i="20"/>
  <c r="AS40" i="20" s="1"/>
  <c r="S40" i="20"/>
  <c r="AF11" i="20"/>
  <c r="AG11" i="20" s="1"/>
  <c r="AD64" i="20"/>
  <c r="S64" i="20"/>
  <c r="U75" i="20"/>
  <c r="V75" i="20" s="1"/>
  <c r="W75" i="20" s="1"/>
  <c r="AH75" i="20"/>
  <c r="AH11" i="20"/>
  <c r="AD40" i="20"/>
  <c r="AO40" i="20"/>
  <c r="AP40" i="20" s="1"/>
  <c r="AO75" i="20"/>
  <c r="AP75" i="20" s="1"/>
  <c r="AR75" i="20" s="1"/>
  <c r="AA59" i="20"/>
  <c r="AB59" i="20" s="1"/>
  <c r="S59" i="20"/>
  <c r="Q64" i="20"/>
  <c r="AS64" i="20" s="1"/>
  <c r="AM64" i="20"/>
  <c r="AJ100" i="20"/>
  <c r="AK100" i="20" s="1"/>
  <c r="AO76" i="20"/>
  <c r="AP76" i="20" s="1"/>
  <c r="AV161" i="20"/>
  <c r="BL161" i="20" s="1"/>
  <c r="S80" i="20"/>
  <c r="Q76" i="20"/>
  <c r="AS76" i="20" s="1"/>
  <c r="AJ76" i="20"/>
  <c r="AK76" i="20" s="1"/>
  <c r="AN76" i="20" s="1"/>
  <c r="BE193" i="20"/>
  <c r="AO80" i="20"/>
  <c r="AP80" i="20" s="1"/>
  <c r="AJ80" i="20"/>
  <c r="AK80" i="20" s="1"/>
  <c r="X76" i="20"/>
  <c r="Y76" i="20" s="1"/>
  <c r="Z76" i="20" s="1"/>
  <c r="S76" i="20"/>
  <c r="AO64" i="20"/>
  <c r="AP64" i="20" s="1"/>
  <c r="AR64" i="20" s="1"/>
  <c r="AQ85" i="20"/>
  <c r="AV178" i="20"/>
  <c r="BL178" i="20" s="1"/>
  <c r="AJ106" i="20"/>
  <c r="AK106" i="20" s="1"/>
  <c r="U80" i="20"/>
  <c r="V80" i="20" s="1"/>
  <c r="W80" i="20" s="1"/>
  <c r="AA80" i="20"/>
  <c r="AB80" i="20" s="1"/>
  <c r="AE80" i="20" s="1"/>
  <c r="AM106" i="20"/>
  <c r="AQ76" i="20"/>
  <c r="X80" i="20"/>
  <c r="Y80" i="20" s="1"/>
  <c r="Z80" i="20" s="1"/>
  <c r="AJ64" i="20"/>
  <c r="AK64" i="20" s="1"/>
  <c r="S56" i="20"/>
  <c r="AA56" i="20"/>
  <c r="AB56" i="20" s="1"/>
  <c r="S95" i="20"/>
  <c r="AJ56" i="20"/>
  <c r="AK56" i="20" s="1"/>
  <c r="AN56" i="20" s="1"/>
  <c r="X56" i="20"/>
  <c r="Y56" i="20" s="1"/>
  <c r="Z56" i="20" s="1"/>
  <c r="AV158" i="20"/>
  <c r="BL158" i="20" s="1"/>
  <c r="U56" i="20"/>
  <c r="V56" i="20" s="1"/>
  <c r="W56" i="20" s="1"/>
  <c r="AO56" i="20"/>
  <c r="AP56" i="20" s="1"/>
  <c r="AO95" i="20"/>
  <c r="AP95" i="20" s="1"/>
  <c r="AJ48" i="20"/>
  <c r="AK48" i="20" s="1"/>
  <c r="AQ56" i="20"/>
  <c r="AM68" i="20"/>
  <c r="AN68" i="20" s="1"/>
  <c r="AQ68" i="20"/>
  <c r="AR68" i="20" s="1"/>
  <c r="AR151" i="20"/>
  <c r="AJ102" i="20"/>
  <c r="AK102" i="20" s="1"/>
  <c r="AV136" i="20"/>
  <c r="BL136" i="20" s="1"/>
  <c r="AQ108" i="20"/>
  <c r="AM108" i="20"/>
  <c r="AJ108" i="20"/>
  <c r="AK108" i="20" s="1"/>
  <c r="AH24" i="20"/>
  <c r="AD24" i="20"/>
  <c r="Q95" i="20"/>
  <c r="AS95" i="20" s="1"/>
  <c r="AV201" i="20"/>
  <c r="BL201" i="20" s="1"/>
  <c r="AV159" i="20"/>
  <c r="BL159" i="20" s="1"/>
  <c r="AA95" i="20"/>
  <c r="AB95" i="20" s="1"/>
  <c r="AE95" i="20" s="1"/>
  <c r="AQ95" i="20"/>
  <c r="AM95" i="20"/>
  <c r="AJ95" i="20"/>
  <c r="AK95" i="20" s="1"/>
  <c r="AJ94" i="20"/>
  <c r="AK94" i="20" s="1"/>
  <c r="AV204" i="20"/>
  <c r="BL204" i="20" s="1"/>
  <c r="AJ105" i="20"/>
  <c r="AK105" i="20" s="1"/>
  <c r="AM80" i="20"/>
  <c r="AQ80" i="20"/>
  <c r="AQ106" i="20"/>
  <c r="AJ59" i="20"/>
  <c r="AK59" i="20" s="1"/>
  <c r="AN59" i="20" s="1"/>
  <c r="AM90" i="20"/>
  <c r="AQ90" i="20"/>
  <c r="AJ90" i="20"/>
  <c r="AK90" i="20" s="1"/>
  <c r="AQ107" i="20"/>
  <c r="AQ63" i="20"/>
  <c r="AR63" i="20" s="1"/>
  <c r="AJ89" i="20"/>
  <c r="AK89" i="20" s="1"/>
  <c r="AQ98" i="20"/>
  <c r="AV120" i="20"/>
  <c r="BL120" i="20" s="1"/>
  <c r="AJ104" i="20"/>
  <c r="AK104" i="20" s="1"/>
  <c r="AM93" i="20"/>
  <c r="AN93" i="20" s="1"/>
  <c r="AQ92" i="20"/>
  <c r="AR92" i="20" s="1"/>
  <c r="AM92" i="20"/>
  <c r="AJ92" i="20"/>
  <c r="AK92" i="20" s="1"/>
  <c r="AQ93" i="20"/>
  <c r="AR93" i="20" s="1"/>
  <c r="AM60" i="20"/>
  <c r="AJ60" i="20"/>
  <c r="AK60" i="20" s="1"/>
  <c r="X35" i="20"/>
  <c r="Y35" i="20" s="1"/>
  <c r="Z35" i="20" s="1"/>
  <c r="B319" i="2"/>
  <c r="B80" i="1" s="1"/>
  <c r="U35" i="20"/>
  <c r="V35" i="20" s="1"/>
  <c r="W35" i="20" s="1"/>
  <c r="AH35" i="20"/>
  <c r="S35" i="20"/>
  <c r="AD35" i="20"/>
  <c r="AA35" i="20"/>
  <c r="AB35" i="20" s="1"/>
  <c r="AD48" i="20"/>
  <c r="AJ35" i="20"/>
  <c r="AK35" i="20" s="1"/>
  <c r="AN35" i="20" s="1"/>
  <c r="AR60" i="20"/>
  <c r="Q48" i="20"/>
  <c r="AS48" i="20" s="1"/>
  <c r="AF35" i="20"/>
  <c r="Q35" i="20"/>
  <c r="AS35" i="20" s="1"/>
  <c r="AQ35" i="20"/>
  <c r="AR35" i="20" s="1"/>
  <c r="AE159" i="20"/>
  <c r="AD43" i="20"/>
  <c r="AO32" i="20"/>
  <c r="AP32" i="20" s="1"/>
  <c r="AR32" i="20" s="1"/>
  <c r="Q32" i="20"/>
  <c r="AS32" i="20" s="1"/>
  <c r="AC32" i="20"/>
  <c r="AJ32" i="20"/>
  <c r="AK32" i="20" s="1"/>
  <c r="AN32" i="20" s="1"/>
  <c r="AA32" i="20"/>
  <c r="AB32" i="20" s="1"/>
  <c r="X43" i="20"/>
  <c r="Y43" i="20" s="1"/>
  <c r="Z43" i="20" s="1"/>
  <c r="AM15" i="20"/>
  <c r="U15" i="20"/>
  <c r="V15" i="20" s="1"/>
  <c r="W15" i="20" s="1"/>
  <c r="AF43" i="20"/>
  <c r="AG43" i="20" s="1"/>
  <c r="AH43" i="20"/>
  <c r="AD47" i="20"/>
  <c r="AE47" i="20" s="1"/>
  <c r="AO24" i="20"/>
  <c r="AP24" i="20" s="1"/>
  <c r="AQ36" i="20"/>
  <c r="AG167" i="20"/>
  <c r="AI167" i="20" s="1"/>
  <c r="BK167" i="20" s="1"/>
  <c r="AF47" i="20"/>
  <c r="AG47" i="20" s="1"/>
  <c r="AO43" i="20"/>
  <c r="AP43" i="20" s="1"/>
  <c r="AR43" i="20" s="1"/>
  <c r="AJ28" i="20"/>
  <c r="AK28" i="20" s="1"/>
  <c r="AQ47" i="20"/>
  <c r="X24" i="20"/>
  <c r="Y24" i="20" s="1"/>
  <c r="Z24" i="20" s="1"/>
  <c r="AA15" i="20"/>
  <c r="AB15" i="20" s="1"/>
  <c r="AE15" i="20" s="1"/>
  <c r="AJ43" i="20"/>
  <c r="AK43" i="20" s="1"/>
  <c r="Q43" i="20"/>
  <c r="AS43" i="20" s="1"/>
  <c r="S43" i="20"/>
  <c r="AJ47" i="20"/>
  <c r="AK47" i="20" s="1"/>
  <c r="AA43" i="20"/>
  <c r="AB43" i="20" s="1"/>
  <c r="AM47" i="20"/>
  <c r="AE191" i="20"/>
  <c r="Q24" i="20"/>
  <c r="AS24" i="20" s="1"/>
  <c r="U43" i="20"/>
  <c r="V43" i="20" s="1"/>
  <c r="W43" i="20" s="1"/>
  <c r="AO15" i="20"/>
  <c r="AP15" i="20" s="1"/>
  <c r="AM43" i="20"/>
  <c r="AO47" i="20"/>
  <c r="AP47" i="20" s="1"/>
  <c r="AM28" i="20"/>
  <c r="AN28" i="20" s="1"/>
  <c r="AM24" i="20"/>
  <c r="AN24" i="20" s="1"/>
  <c r="AJ23" i="20"/>
  <c r="AK23" i="20" s="1"/>
  <c r="AQ62" i="20"/>
  <c r="AA48" i="20"/>
  <c r="AB48" i="20" s="1"/>
  <c r="U47" i="20"/>
  <c r="V47" i="20" s="1"/>
  <c r="W47" i="20" s="1"/>
  <c r="S47" i="20"/>
  <c r="Q47" i="20"/>
  <c r="AS47" i="20" s="1"/>
  <c r="X47" i="20"/>
  <c r="Y47" i="20" s="1"/>
  <c r="Z47" i="20" s="1"/>
  <c r="S48" i="20"/>
  <c r="AF48" i="20"/>
  <c r="AG48" i="20" s="1"/>
  <c r="AH47" i="20"/>
  <c r="AO48" i="20"/>
  <c r="AP48" i="20" s="1"/>
  <c r="AR48" i="20" s="1"/>
  <c r="AQ28" i="20"/>
  <c r="AA24" i="20"/>
  <c r="AB24" i="20" s="1"/>
  <c r="U24" i="20"/>
  <c r="V24" i="20" s="1"/>
  <c r="W24" i="20" s="1"/>
  <c r="S24" i="20"/>
  <c r="X15" i="20"/>
  <c r="Y15" i="20" s="1"/>
  <c r="Z15" i="20" s="1"/>
  <c r="AJ62" i="20"/>
  <c r="AK62" i="20" s="1"/>
  <c r="AN62" i="20" s="1"/>
  <c r="U48" i="20"/>
  <c r="V48" i="20" s="1"/>
  <c r="W48" i="20" s="1"/>
  <c r="AH48" i="20"/>
  <c r="X48" i="20"/>
  <c r="Y48" i="20" s="1"/>
  <c r="Z48" i="20" s="1"/>
  <c r="AM48" i="20"/>
  <c r="AN48" i="20" s="1"/>
  <c r="AQ24" i="20"/>
  <c r="AV24" i="20"/>
  <c r="BL24" i="20" s="1"/>
  <c r="AQ11" i="20"/>
  <c r="AM11" i="20"/>
  <c r="U11" i="20"/>
  <c r="V11" i="20" s="1"/>
  <c r="W11" i="20" s="1"/>
  <c r="AI173" i="20"/>
  <c r="AJ36" i="20"/>
  <c r="AK36" i="20" s="1"/>
  <c r="AH17" i="20"/>
  <c r="X109" i="20"/>
  <c r="Y109" i="20" s="1"/>
  <c r="Z109" i="20" s="1"/>
  <c r="AF109" i="20"/>
  <c r="AG109" i="20" s="1"/>
  <c r="AJ11" i="20"/>
  <c r="AK11" i="20" s="1"/>
  <c r="AO11" i="20"/>
  <c r="AP11" i="20" s="1"/>
  <c r="S11" i="20"/>
  <c r="X77" i="20"/>
  <c r="Y77" i="20" s="1"/>
  <c r="Z77" i="20" s="1"/>
  <c r="S77" i="20"/>
  <c r="S109" i="20"/>
  <c r="AF105" i="20"/>
  <c r="AG105" i="20" s="1"/>
  <c r="AA73" i="20"/>
  <c r="AB73" i="20" s="1"/>
  <c r="Q77" i="20"/>
  <c r="AS77" i="20" s="1"/>
  <c r="AA11" i="20"/>
  <c r="AB11" i="20" s="1"/>
  <c r="AE11" i="20" s="1"/>
  <c r="AV191" i="20"/>
  <c r="BL191" i="20" s="1"/>
  <c r="AR162" i="20"/>
  <c r="AO77" i="20"/>
  <c r="AP77" i="20" s="1"/>
  <c r="AR77" i="20" s="1"/>
  <c r="AS196" i="20"/>
  <c r="AV146" i="20"/>
  <c r="BL146" i="20" s="1"/>
  <c r="AR192" i="20"/>
  <c r="AR55" i="20"/>
  <c r="X11" i="20"/>
  <c r="Y11" i="20" s="1"/>
  <c r="Z11" i="20" s="1"/>
  <c r="AR134" i="20"/>
  <c r="AR158" i="20"/>
  <c r="AS179" i="20"/>
  <c r="AE151" i="20"/>
  <c r="Q11" i="20"/>
  <c r="AS11" i="20" s="1"/>
  <c r="AR103" i="20"/>
  <c r="AH23" i="20"/>
  <c r="AH15" i="20"/>
  <c r="AQ15" i="20"/>
  <c r="AF15" i="20"/>
  <c r="AG15" i="20" s="1"/>
  <c r="S15" i="20"/>
  <c r="AJ15" i="20"/>
  <c r="AK15" i="20" s="1"/>
  <c r="Q15" i="20"/>
  <c r="AS15" i="20" s="1"/>
  <c r="S12" i="20"/>
  <c r="AN139" i="20"/>
  <c r="AE179" i="20"/>
  <c r="S16" i="20"/>
  <c r="AH31" i="20"/>
  <c r="AS152" i="20"/>
  <c r="AD73" i="20"/>
  <c r="AF90" i="20"/>
  <c r="AR87" i="20"/>
  <c r="AE172" i="20"/>
  <c r="S17" i="20"/>
  <c r="AG87" i="20"/>
  <c r="AI87" i="20" s="1"/>
  <c r="U73" i="20"/>
  <c r="V73" i="20" s="1"/>
  <c r="W73" i="20" s="1"/>
  <c r="U105" i="20"/>
  <c r="V105" i="20" s="1"/>
  <c r="W105" i="20" s="1"/>
  <c r="U90" i="20"/>
  <c r="V90" i="20" s="1"/>
  <c r="W90" i="20" s="1"/>
  <c r="S105" i="20"/>
  <c r="AA77" i="20"/>
  <c r="AB77" i="20" s="1"/>
  <c r="AO16" i="20"/>
  <c r="AP16" i="20" s="1"/>
  <c r="AI151" i="20"/>
  <c r="T152" i="20"/>
  <c r="BI152" i="20" s="1"/>
  <c r="AM16" i="20"/>
  <c r="R75" i="20"/>
  <c r="T75" i="20" s="1"/>
  <c r="BI75" i="20" s="1"/>
  <c r="AA36" i="20"/>
  <c r="AB36" i="20" s="1"/>
  <c r="AF16" i="20"/>
  <c r="AG16" i="20" s="1"/>
  <c r="AD36" i="20"/>
  <c r="U36" i="20"/>
  <c r="V36" i="20" s="1"/>
  <c r="W36" i="20" s="1"/>
  <c r="X16" i="20"/>
  <c r="Y16" i="20" s="1"/>
  <c r="Z16" i="20" s="1"/>
  <c r="AD37" i="20"/>
  <c r="U16" i="20"/>
  <c r="V16" i="20" s="1"/>
  <c r="W16" i="20" s="1"/>
  <c r="X39" i="20"/>
  <c r="Y39" i="20" s="1"/>
  <c r="Z39" i="20" s="1"/>
  <c r="Q20" i="20"/>
  <c r="AS20" i="20" s="1"/>
  <c r="T103" i="20"/>
  <c r="BI103" i="20" s="1"/>
  <c r="AH36" i="20"/>
  <c r="AI36" i="20" s="1"/>
  <c r="BK36" i="20" s="1"/>
  <c r="U39" i="20"/>
  <c r="V39" i="20" s="1"/>
  <c r="W39" i="20" s="1"/>
  <c r="AQ16" i="20"/>
  <c r="S36" i="20"/>
  <c r="U28" i="20"/>
  <c r="V28" i="20" s="1"/>
  <c r="W28" i="20" s="1"/>
  <c r="AA28" i="20"/>
  <c r="AB28" i="20" s="1"/>
  <c r="S23" i="20"/>
  <c r="AF23" i="20"/>
  <c r="AG23" i="20" s="1"/>
  <c r="Q16" i="20"/>
  <c r="AS16" i="20" s="1"/>
  <c r="S28" i="20"/>
  <c r="AF19" i="20"/>
  <c r="AG19" i="20" s="1"/>
  <c r="AO28" i="20"/>
  <c r="AP28" i="20" s="1"/>
  <c r="AD39" i="20"/>
  <c r="U12" i="20"/>
  <c r="V12" i="20" s="1"/>
  <c r="W12" i="20" s="1"/>
  <c r="AH33" i="20"/>
  <c r="AH16" i="20"/>
  <c r="AA16" i="20"/>
  <c r="AB16" i="20" s="1"/>
  <c r="AE16" i="20" s="1"/>
  <c r="X23" i="20"/>
  <c r="Y23" i="20" s="1"/>
  <c r="Z23" i="20" s="1"/>
  <c r="AV196" i="20"/>
  <c r="BL196" i="20" s="1"/>
  <c r="AI20" i="20"/>
  <c r="AE181" i="20"/>
  <c r="T179" i="20"/>
  <c r="BI179" i="20" s="1"/>
  <c r="B270" i="2"/>
  <c r="J79" i="1" s="1"/>
  <c r="AH12" i="20"/>
  <c r="AI12" i="20" s="1"/>
  <c r="AD12" i="20"/>
  <c r="AF28" i="20"/>
  <c r="AG28" i="20" s="1"/>
  <c r="AD28" i="20"/>
  <c r="AH28" i="20"/>
  <c r="B121" i="2"/>
  <c r="E27" i="1" s="1"/>
  <c r="AH19" i="20"/>
  <c r="AH13" i="20"/>
  <c r="S93" i="20"/>
  <c r="AH94" i="20"/>
  <c r="Q89" i="20"/>
  <c r="AS89" i="20" s="1"/>
  <c r="Q28" i="20"/>
  <c r="AS28" i="20" s="1"/>
  <c r="AE103" i="20"/>
  <c r="AI191" i="20"/>
  <c r="AR70" i="21"/>
  <c r="BL70" i="21" s="1"/>
  <c r="BF70" i="21" s="1"/>
  <c r="AE196" i="20"/>
  <c r="R96" i="20"/>
  <c r="T96" i="20" s="1"/>
  <c r="BI96" i="20" s="1"/>
  <c r="AQ12" i="20"/>
  <c r="AR12" i="20" s="1"/>
  <c r="AE76" i="20"/>
  <c r="AA39" i="20"/>
  <c r="AB39" i="20" s="1"/>
  <c r="AI179" i="20"/>
  <c r="R80" i="20"/>
  <c r="T173" i="20"/>
  <c r="BI173" i="20" s="1"/>
  <c r="AI80" i="20"/>
  <c r="BK80" i="20" s="1"/>
  <c r="AR206" i="20"/>
  <c r="AI32" i="20"/>
  <c r="BK32" i="20" s="1"/>
  <c r="AE167" i="20"/>
  <c r="B181" i="2"/>
  <c r="E55" i="1" s="1"/>
  <c r="B86" i="2"/>
  <c r="E30" i="1" s="1"/>
  <c r="X10" i="20"/>
  <c r="Y10" i="20" s="1"/>
  <c r="Z10" i="20" s="1"/>
  <c r="U19" i="20"/>
  <c r="V19" i="20" s="1"/>
  <c r="W19" i="20" s="1"/>
  <c r="S39" i="20"/>
  <c r="AJ39" i="20"/>
  <c r="AK39" i="20" s="1"/>
  <c r="AN39" i="20" s="1"/>
  <c r="AQ44" i="20"/>
  <c r="AA19" i="20"/>
  <c r="AB19" i="20" s="1"/>
  <c r="AE19" i="20" s="1"/>
  <c r="U62" i="20"/>
  <c r="V62" i="20" s="1"/>
  <c r="W62" i="20" s="1"/>
  <c r="AA93" i="20"/>
  <c r="AB93" i="20" s="1"/>
  <c r="AQ39" i="20"/>
  <c r="AR203" i="20"/>
  <c r="AR201" i="20"/>
  <c r="AR194" i="20"/>
  <c r="AE173" i="20"/>
  <c r="S94" i="20"/>
  <c r="X74" i="20"/>
  <c r="Y74" i="20" s="1"/>
  <c r="Z74" i="20" s="1"/>
  <c r="X93" i="20"/>
  <c r="Y93" i="20" s="1"/>
  <c r="Z93" i="20" s="1"/>
  <c r="AD74" i="20"/>
  <c r="Q62" i="20"/>
  <c r="AS62" i="20" s="1"/>
  <c r="AO62" i="20"/>
  <c r="AP62" i="20" s="1"/>
  <c r="AR166" i="20"/>
  <c r="AR161" i="20"/>
  <c r="AR208" i="20"/>
  <c r="AE204" i="20"/>
  <c r="AM19" i="20"/>
  <c r="AA62" i="20"/>
  <c r="AB62" i="20" s="1"/>
  <c r="AE160" i="20"/>
  <c r="AS181" i="20"/>
  <c r="AR163" i="20"/>
  <c r="AR139" i="20"/>
  <c r="AR181" i="20"/>
  <c r="BF181" i="20" s="1"/>
  <c r="X19" i="20"/>
  <c r="Y19" i="20" s="1"/>
  <c r="Z19" i="20" s="1"/>
  <c r="X13" i="20"/>
  <c r="Y13" i="20" s="1"/>
  <c r="Z13" i="20" s="1"/>
  <c r="X89" i="20"/>
  <c r="Y89" i="20" s="1"/>
  <c r="Z89" i="20" s="1"/>
  <c r="AD93" i="20"/>
  <c r="AJ19" i="20"/>
  <c r="AK19" i="20" s="1"/>
  <c r="Q19" i="20"/>
  <c r="AS19" i="20" s="1"/>
  <c r="S19" i="20"/>
  <c r="AH88" i="20"/>
  <c r="AH89" i="20"/>
  <c r="X106" i="20"/>
  <c r="Y106" i="20" s="1"/>
  <c r="Z106" i="20" s="1"/>
  <c r="R68" i="20"/>
  <c r="X62" i="20"/>
  <c r="Y62" i="20" s="1"/>
  <c r="Z62" i="20" s="1"/>
  <c r="AO19" i="20"/>
  <c r="AP19" i="20" s="1"/>
  <c r="Q93" i="20"/>
  <c r="AS93" i="20" s="1"/>
  <c r="AQ19" i="20"/>
  <c r="AR187" i="20"/>
  <c r="AI83" i="20"/>
  <c r="BK83" i="20" s="1"/>
  <c r="AA107" i="20"/>
  <c r="AB107" i="20" s="1"/>
  <c r="AR191" i="20"/>
  <c r="R206" i="20"/>
  <c r="T206" i="20" s="1"/>
  <c r="BI206" i="20" s="1"/>
  <c r="AE206" i="20"/>
  <c r="AN167" i="20"/>
  <c r="AR22" i="21"/>
  <c r="AN179" i="20"/>
  <c r="T47" i="21"/>
  <c r="BI47" i="21" s="1"/>
  <c r="R84" i="20"/>
  <c r="T84" i="20" s="1"/>
  <c r="BI84" i="20" s="1"/>
  <c r="AM10" i="20"/>
  <c r="S82" i="20"/>
  <c r="AD70" i="20"/>
  <c r="X104" i="20"/>
  <c r="Y104" i="20" s="1"/>
  <c r="Z104" i="20" s="1"/>
  <c r="AH104" i="20"/>
  <c r="U52" i="20"/>
  <c r="V52" i="20" s="1"/>
  <c r="W52" i="20" s="1"/>
  <c r="AH44" i="20"/>
  <c r="AD82" i="20"/>
  <c r="AO14" i="20"/>
  <c r="AP14" i="20" s="1"/>
  <c r="AR117" i="20"/>
  <c r="AR150" i="20"/>
  <c r="AR142" i="20"/>
  <c r="AR129" i="20"/>
  <c r="AV176" i="20"/>
  <c r="BL176" i="20" s="1"/>
  <c r="AG206" i="20"/>
  <c r="AI206" i="20" s="1"/>
  <c r="BK206" i="20" s="1"/>
  <c r="AR169" i="20"/>
  <c r="AR147" i="20"/>
  <c r="AR137" i="20"/>
  <c r="AR122" i="20"/>
  <c r="AR113" i="20"/>
  <c r="AG204" i="20"/>
  <c r="AI204" i="20" s="1"/>
  <c r="AD23" i="20"/>
  <c r="U23" i="20"/>
  <c r="V23" i="20" s="1"/>
  <c r="W23" i="20" s="1"/>
  <c r="AO97" i="20"/>
  <c r="AP97" i="20" s="1"/>
  <c r="AF97" i="20"/>
  <c r="AV97" i="20" s="1"/>
  <c r="BL97" i="20" s="1"/>
  <c r="AD97" i="20"/>
  <c r="AH97" i="20"/>
  <c r="S97" i="20"/>
  <c r="AM81" i="20"/>
  <c r="S81" i="20"/>
  <c r="AA102" i="20"/>
  <c r="AB102" i="20" s="1"/>
  <c r="AF102" i="20"/>
  <c r="AG102" i="20" s="1"/>
  <c r="AD102" i="20"/>
  <c r="AJ86" i="20"/>
  <c r="AK86" i="20" s="1"/>
  <c r="AO86" i="20"/>
  <c r="AP86" i="20" s="1"/>
  <c r="AF86" i="20"/>
  <c r="AG86" i="20" s="1"/>
  <c r="AA86" i="20"/>
  <c r="AB86" i="20" s="1"/>
  <c r="AD86" i="20"/>
  <c r="AM44" i="20"/>
  <c r="X44" i="20"/>
  <c r="Y44" i="20" s="1"/>
  <c r="Z44" i="20" s="1"/>
  <c r="Q52" i="20"/>
  <c r="AS52" i="20" s="1"/>
  <c r="AO52" i="20"/>
  <c r="AP52" i="20" s="1"/>
  <c r="S52" i="20"/>
  <c r="AM101" i="20"/>
  <c r="Q101" i="20"/>
  <c r="AS101" i="20" s="1"/>
  <c r="AM85" i="20"/>
  <c r="AN85" i="20" s="1"/>
  <c r="AF85" i="20"/>
  <c r="AV85" i="20" s="1"/>
  <c r="BL85" i="20" s="1"/>
  <c r="AM69" i="20"/>
  <c r="AF69" i="20"/>
  <c r="AG69" i="20" s="1"/>
  <c r="AM98" i="20"/>
  <c r="AF98" i="20"/>
  <c r="S98" i="20"/>
  <c r="AI152" i="20"/>
  <c r="BK152" i="20" s="1"/>
  <c r="B163" i="2"/>
  <c r="E46" i="1" s="1"/>
  <c r="S10" i="20"/>
  <c r="AM23" i="20"/>
  <c r="AM14" i="20"/>
  <c r="AH86" i="20"/>
  <c r="X52" i="20"/>
  <c r="Y52" i="20" s="1"/>
  <c r="Z52" i="20" s="1"/>
  <c r="X70" i="20"/>
  <c r="Y70" i="20" s="1"/>
  <c r="Z70" i="20" s="1"/>
  <c r="U102" i="20"/>
  <c r="V102" i="20" s="1"/>
  <c r="W102" i="20" s="1"/>
  <c r="U104" i="20"/>
  <c r="V104" i="20" s="1"/>
  <c r="W104" i="20" s="1"/>
  <c r="AH81" i="20"/>
  <c r="U10" i="20"/>
  <c r="V10" i="20" s="1"/>
  <c r="W10" i="20" s="1"/>
  <c r="AD104" i="20"/>
  <c r="AD52" i="20"/>
  <c r="S104" i="20"/>
  <c r="AG64" i="20"/>
  <c r="AI64" i="20" s="1"/>
  <c r="BF64" i="20" s="1"/>
  <c r="S101" i="20"/>
  <c r="AA97" i="20"/>
  <c r="AB97" i="20" s="1"/>
  <c r="AO10" i="20"/>
  <c r="AP10" i="20" s="1"/>
  <c r="Q102" i="20"/>
  <c r="AS102" i="20" s="1"/>
  <c r="AO102" i="20"/>
  <c r="AP102" i="20" s="1"/>
  <c r="AG139" i="20"/>
  <c r="AI139" i="20" s="1"/>
  <c r="AG159" i="20"/>
  <c r="AI159" i="20" s="1"/>
  <c r="BK159" i="20" s="1"/>
  <c r="AV152" i="20"/>
  <c r="BL152" i="20" s="1"/>
  <c r="AO36" i="20"/>
  <c r="AP36" i="20" s="1"/>
  <c r="AM36" i="20"/>
  <c r="X36" i="20"/>
  <c r="Y36" i="20" s="1"/>
  <c r="Z36" i="20" s="1"/>
  <c r="Q36" i="20"/>
  <c r="AS36" i="20" s="1"/>
  <c r="AE108" i="20"/>
  <c r="AR199" i="20"/>
  <c r="T191" i="20"/>
  <c r="BI191" i="20" s="1"/>
  <c r="AR182" i="20"/>
  <c r="T196" i="20"/>
  <c r="BI196" i="20" s="1"/>
  <c r="AR121" i="20"/>
  <c r="AR114" i="20"/>
  <c r="AR135" i="20"/>
  <c r="AR128" i="20"/>
  <c r="AR127" i="20"/>
  <c r="AR136" i="20"/>
  <c r="AR120" i="20"/>
  <c r="AR178" i="20"/>
  <c r="AR132" i="20"/>
  <c r="AR149" i="20"/>
  <c r="AR125" i="20"/>
  <c r="AR184" i="20"/>
  <c r="AR176" i="20"/>
  <c r="AN110" i="20"/>
  <c r="AN117" i="20"/>
  <c r="AN140" i="20"/>
  <c r="AN103" i="20"/>
  <c r="AN84" i="20"/>
  <c r="AN136" i="20"/>
  <c r="AN121" i="20"/>
  <c r="AN135" i="20"/>
  <c r="AN133" i="20"/>
  <c r="AN141" i="20"/>
  <c r="AN147" i="20"/>
  <c r="AN137" i="20"/>
  <c r="AN129" i="20"/>
  <c r="AN128" i="20"/>
  <c r="AN67" i="20"/>
  <c r="AR196" i="20"/>
  <c r="AR173" i="20"/>
  <c r="AR152" i="20"/>
  <c r="AE139" i="20"/>
  <c r="BE139" i="20" s="1"/>
  <c r="AM12" i="20"/>
  <c r="X73" i="20"/>
  <c r="Y73" i="20" s="1"/>
  <c r="Z73" i="20" s="1"/>
  <c r="X107" i="20"/>
  <c r="Y107" i="20" s="1"/>
  <c r="Z107" i="20" s="1"/>
  <c r="X12" i="20"/>
  <c r="Y12" i="20" s="1"/>
  <c r="Z12" i="20" s="1"/>
  <c r="U93" i="20"/>
  <c r="V93" i="20" s="1"/>
  <c r="W93" i="20" s="1"/>
  <c r="U77" i="20"/>
  <c r="V77" i="20" s="1"/>
  <c r="W77" i="20" s="1"/>
  <c r="X78" i="20"/>
  <c r="Y78" i="20" s="1"/>
  <c r="Z78" i="20" s="1"/>
  <c r="S78" i="20"/>
  <c r="AD77" i="20"/>
  <c r="AH93" i="20"/>
  <c r="AH39" i="20"/>
  <c r="X105" i="20"/>
  <c r="Y105" i="20" s="1"/>
  <c r="Z105" i="20" s="1"/>
  <c r="AD106" i="20"/>
  <c r="AH62" i="20"/>
  <c r="AD62" i="20"/>
  <c r="AH77" i="20"/>
  <c r="S73" i="20"/>
  <c r="S89" i="20"/>
  <c r="AH105" i="20"/>
  <c r="Q73" i="20"/>
  <c r="AS73" i="20" s="1"/>
  <c r="AF94" i="20"/>
  <c r="AG94" i="20" s="1"/>
  <c r="Q78" i="20"/>
  <c r="AS78" i="20" s="1"/>
  <c r="AA12" i="20"/>
  <c r="AB12" i="20" s="1"/>
  <c r="Q12" i="20"/>
  <c r="AS12" i="20" s="1"/>
  <c r="AF93" i="20"/>
  <c r="AG93" i="20" s="1"/>
  <c r="AF77" i="20"/>
  <c r="AG77" i="20" s="1"/>
  <c r="AF74" i="20"/>
  <c r="AG74" i="20" s="1"/>
  <c r="AO39" i="20"/>
  <c r="AP39" i="20" s="1"/>
  <c r="AO89" i="20"/>
  <c r="AP89" i="20" s="1"/>
  <c r="Q39" i="20"/>
  <c r="AS39" i="20" s="1"/>
  <c r="AR188" i="20"/>
  <c r="AR180" i="20"/>
  <c r="AR145" i="20"/>
  <c r="AR175" i="20"/>
  <c r="AE175" i="20"/>
  <c r="AR160" i="20"/>
  <c r="AR168" i="20"/>
  <c r="AR197" i="20"/>
  <c r="AR131" i="20"/>
  <c r="AR148" i="20"/>
  <c r="AR146" i="20"/>
  <c r="AR130" i="20"/>
  <c r="AR209" i="20"/>
  <c r="AR133" i="20"/>
  <c r="AR126" i="20"/>
  <c r="AR165" i="20"/>
  <c r="AR157" i="20"/>
  <c r="BK143" i="20"/>
  <c r="T139" i="20"/>
  <c r="BI139" i="20" s="1"/>
  <c r="AF39" i="20"/>
  <c r="AD107" i="20"/>
  <c r="AN99" i="20"/>
  <c r="AN111" i="20"/>
  <c r="AJ12" i="20"/>
  <c r="AK12" i="20" s="1"/>
  <c r="AR167" i="20"/>
  <c r="AR172" i="20"/>
  <c r="BF172" i="20" s="1"/>
  <c r="AR204" i="20"/>
  <c r="AH107" i="20"/>
  <c r="AH98" i="20"/>
  <c r="AH82" i="20"/>
  <c r="AH52" i="20"/>
  <c r="AI52" i="20" s="1"/>
  <c r="U89" i="20"/>
  <c r="V89" i="20" s="1"/>
  <c r="W89" i="20" s="1"/>
  <c r="X94" i="20"/>
  <c r="Y94" i="20" s="1"/>
  <c r="Z94" i="20" s="1"/>
  <c r="U69" i="20"/>
  <c r="V69" i="20" s="1"/>
  <c r="W69" i="20" s="1"/>
  <c r="U44" i="20"/>
  <c r="V44" i="20" s="1"/>
  <c r="W44" i="20" s="1"/>
  <c r="X98" i="20"/>
  <c r="Y98" i="20" s="1"/>
  <c r="Z98" i="20" s="1"/>
  <c r="U78" i="20"/>
  <c r="V78" i="20" s="1"/>
  <c r="W78" i="20" s="1"/>
  <c r="U82" i="20"/>
  <c r="V82" i="20" s="1"/>
  <c r="W82" i="20" s="1"/>
  <c r="AD88" i="20"/>
  <c r="AD78" i="20"/>
  <c r="AD89" i="20"/>
  <c r="AE89" i="20" s="1"/>
  <c r="AH101" i="20"/>
  <c r="AD101" i="20"/>
  <c r="S62" i="20"/>
  <c r="U13" i="20"/>
  <c r="V13" i="20" s="1"/>
  <c r="W13" i="20" s="1"/>
  <c r="AD44" i="20"/>
  <c r="U94" i="20"/>
  <c r="V94" i="20" s="1"/>
  <c r="W94" i="20" s="1"/>
  <c r="AH69" i="20"/>
  <c r="AH73" i="20"/>
  <c r="AD94" i="20"/>
  <c r="AH78" i="20"/>
  <c r="AD98" i="20"/>
  <c r="AD105" i="20"/>
  <c r="AV83" i="20"/>
  <c r="BL83" i="20" s="1"/>
  <c r="Q105" i="20"/>
  <c r="AS105" i="20" s="1"/>
  <c r="AF89" i="20"/>
  <c r="AF73" i="20"/>
  <c r="AG73" i="20" s="1"/>
  <c r="Q94" i="20"/>
  <c r="AS94" i="20" s="1"/>
  <c r="AF78" i="20"/>
  <c r="AG78" i="20" s="1"/>
  <c r="AF62" i="20"/>
  <c r="AG62" i="20" s="1"/>
  <c r="AF101" i="20"/>
  <c r="AA82" i="20"/>
  <c r="AB82" i="20" s="1"/>
  <c r="AA105" i="20"/>
  <c r="AB105" i="20" s="1"/>
  <c r="AA94" i="20"/>
  <c r="AB94" i="20" s="1"/>
  <c r="AA78" i="20"/>
  <c r="AB78" i="20" s="1"/>
  <c r="AA69" i="20"/>
  <c r="AB69" i="20" s="1"/>
  <c r="Q98" i="20"/>
  <c r="AS98" i="20" s="1"/>
  <c r="AF82" i="20"/>
  <c r="AG82" i="20" s="1"/>
  <c r="AF66" i="20"/>
  <c r="AG66" i="20" s="1"/>
  <c r="AO73" i="20"/>
  <c r="AP73" i="20" s="1"/>
  <c r="AR73" i="20" s="1"/>
  <c r="AO78" i="20"/>
  <c r="AP78" i="20" s="1"/>
  <c r="AR78" i="20" s="1"/>
  <c r="AR124" i="20"/>
  <c r="AS204" i="20"/>
  <c r="AR189" i="20"/>
  <c r="AR195" i="20"/>
  <c r="AR207" i="20"/>
  <c r="AR200" i="20"/>
  <c r="T181" i="20"/>
  <c r="BI181" i="20" s="1"/>
  <c r="AR140" i="20"/>
  <c r="AR174" i="20"/>
  <c r="AR202" i="20"/>
  <c r="AO44" i="20"/>
  <c r="AP44" i="20" s="1"/>
  <c r="AF44" i="20"/>
  <c r="AG44" i="20" s="1"/>
  <c r="AA44" i="20"/>
  <c r="AB44" i="20" s="1"/>
  <c r="AF107" i="20"/>
  <c r="AG107" i="20" s="1"/>
  <c r="Q44" i="20"/>
  <c r="AS44" i="20" s="1"/>
  <c r="AJ44" i="20"/>
  <c r="AK44" i="20" s="1"/>
  <c r="AR179" i="20"/>
  <c r="AR159" i="20"/>
  <c r="AN174" i="20"/>
  <c r="AV56" i="21"/>
  <c r="BM56" i="21" s="1"/>
  <c r="AN82" i="20"/>
  <c r="AN115" i="20"/>
  <c r="AN120" i="20"/>
  <c r="AN114" i="20"/>
  <c r="AN123" i="20"/>
  <c r="AN127" i="20"/>
  <c r="AN113" i="20"/>
  <c r="AN152" i="20"/>
  <c r="BE152" i="20" s="1"/>
  <c r="AN79" i="20"/>
  <c r="AN83" i="20"/>
  <c r="AV76" i="21"/>
  <c r="BM76" i="21" s="1"/>
  <c r="AN112" i="20"/>
  <c r="AN131" i="20"/>
  <c r="AN122" i="20"/>
  <c r="AN142" i="20"/>
  <c r="AN146" i="20"/>
  <c r="AN144" i="20"/>
  <c r="AN150" i="20"/>
  <c r="AN138" i="20"/>
  <c r="AN126" i="20"/>
  <c r="AN191" i="20"/>
  <c r="B135" i="2"/>
  <c r="E29" i="1" s="1"/>
  <c r="AN91" i="20"/>
  <c r="AN192" i="20"/>
  <c r="AN204" i="20"/>
  <c r="AN162" i="20"/>
  <c r="AN158" i="20"/>
  <c r="AV179" i="20"/>
  <c r="BL179" i="20" s="1"/>
  <c r="AN178" i="20"/>
  <c r="AN208" i="20"/>
  <c r="AN186" i="20"/>
  <c r="BE143" i="20"/>
  <c r="BE183" i="20"/>
  <c r="AK173" i="20"/>
  <c r="AN173" i="20" s="1"/>
  <c r="AV173" i="20"/>
  <c r="BL173" i="20" s="1"/>
  <c r="AN194" i="20"/>
  <c r="AJ52" i="20"/>
  <c r="AK52" i="20" s="1"/>
  <c r="AM52" i="20"/>
  <c r="R151" i="20"/>
  <c r="T151" i="20" s="1"/>
  <c r="BI151" i="20" s="1"/>
  <c r="AS151" i="20"/>
  <c r="AN181" i="20"/>
  <c r="AN172" i="20"/>
  <c r="R159" i="20"/>
  <c r="T159" i="20" s="1"/>
  <c r="BI159" i="20" s="1"/>
  <c r="AS159" i="20"/>
  <c r="AN188" i="20"/>
  <c r="AN166" i="20"/>
  <c r="AN203" i="20"/>
  <c r="AN201" i="20"/>
  <c r="AN165" i="20"/>
  <c r="AN199" i="20"/>
  <c r="AN160" i="20"/>
  <c r="AN195" i="20"/>
  <c r="AN209" i="20"/>
  <c r="S88" i="20"/>
  <c r="X69" i="20"/>
  <c r="Y69" i="20" s="1"/>
  <c r="Z69" i="20" s="1"/>
  <c r="X82" i="20"/>
  <c r="Y82" i="20" s="1"/>
  <c r="Z82" i="20" s="1"/>
  <c r="U81" i="20"/>
  <c r="V81" i="20" s="1"/>
  <c r="W81" i="20" s="1"/>
  <c r="X86" i="20"/>
  <c r="Y86" i="20" s="1"/>
  <c r="Z86" i="20" s="1"/>
  <c r="X17" i="20"/>
  <c r="Y17" i="20" s="1"/>
  <c r="Z17" i="20" s="1"/>
  <c r="X72" i="20"/>
  <c r="Y72" i="20" s="1"/>
  <c r="Z72" i="20" s="1"/>
  <c r="U97" i="20"/>
  <c r="V97" i="20" s="1"/>
  <c r="W97" i="20" s="1"/>
  <c r="U65" i="20"/>
  <c r="V65" i="20" s="1"/>
  <c r="W65" i="20" s="1"/>
  <c r="U72" i="20"/>
  <c r="V72" i="20" s="1"/>
  <c r="W72" i="20" s="1"/>
  <c r="U101" i="20"/>
  <c r="V101" i="20" s="1"/>
  <c r="W101" i="20" s="1"/>
  <c r="U107" i="20"/>
  <c r="V107" i="20" s="1"/>
  <c r="W107" i="20" s="1"/>
  <c r="U70" i="20"/>
  <c r="V70" i="20" s="1"/>
  <c r="W70" i="20" s="1"/>
  <c r="X102" i="20"/>
  <c r="Y102" i="20" s="1"/>
  <c r="Z102" i="20" s="1"/>
  <c r="X97" i="20"/>
  <c r="Y97" i="20" s="1"/>
  <c r="Z97" i="20" s="1"/>
  <c r="S69" i="20"/>
  <c r="S102" i="20"/>
  <c r="X101" i="20"/>
  <c r="Y101" i="20" s="1"/>
  <c r="Z101" i="20" s="1"/>
  <c r="S107" i="20"/>
  <c r="U86" i="20"/>
  <c r="V86" i="20" s="1"/>
  <c r="W86" i="20" s="1"/>
  <c r="S66" i="20"/>
  <c r="AA81" i="20"/>
  <c r="AB81" i="20" s="1"/>
  <c r="AE81" i="20" s="1"/>
  <c r="AA98" i="20"/>
  <c r="AB98" i="20" s="1"/>
  <c r="AA66" i="20"/>
  <c r="AB66" i="20" s="1"/>
  <c r="AR9" i="20"/>
  <c r="Q97" i="20"/>
  <c r="AS97" i="20" s="1"/>
  <c r="Q81" i="20"/>
  <c r="AS81" i="20" s="1"/>
  <c r="Q86" i="20"/>
  <c r="AS86" i="20" s="1"/>
  <c r="Q70" i="20"/>
  <c r="AS70" i="20" s="1"/>
  <c r="AA101" i="20"/>
  <c r="AB101" i="20" s="1"/>
  <c r="Q82" i="20"/>
  <c r="AS82" i="20" s="1"/>
  <c r="AA65" i="20"/>
  <c r="AB65" i="20" s="1"/>
  <c r="AJ65" i="20"/>
  <c r="AK65" i="20" s="1"/>
  <c r="AN65" i="20" s="1"/>
  <c r="AQ61" i="20"/>
  <c r="AQ66" i="20"/>
  <c r="AO98" i="20"/>
  <c r="AP98" i="20" s="1"/>
  <c r="AJ70" i="20"/>
  <c r="AK70" i="20" s="1"/>
  <c r="AN70" i="20" s="1"/>
  <c r="AO101" i="20"/>
  <c r="AP101" i="20" s="1"/>
  <c r="AR101" i="20" s="1"/>
  <c r="AQ82" i="20"/>
  <c r="AQ52" i="20"/>
  <c r="AR115" i="20"/>
  <c r="BF171" i="20"/>
  <c r="AV188" i="20"/>
  <c r="BL188" i="20" s="1"/>
  <c r="AR164" i="20"/>
  <c r="AR185" i="20"/>
  <c r="AR170" i="20"/>
  <c r="AR154" i="20"/>
  <c r="AR138" i="20"/>
  <c r="AR153" i="20"/>
  <c r="AR190" i="20"/>
  <c r="AV165" i="20"/>
  <c r="BL165" i="20" s="1"/>
  <c r="AV181" i="20"/>
  <c r="BL181" i="20" s="1"/>
  <c r="AR144" i="20"/>
  <c r="AR205" i="20"/>
  <c r="AR123" i="20"/>
  <c r="AR198" i="20"/>
  <c r="AR186" i="20"/>
  <c r="AR177" i="20"/>
  <c r="AR119" i="20"/>
  <c r="AV151" i="20"/>
  <c r="BL151" i="20" s="1"/>
  <c r="AR141" i="20"/>
  <c r="AE202" i="20"/>
  <c r="BE171" i="20"/>
  <c r="AA52" i="20"/>
  <c r="AB52" i="20" s="1"/>
  <c r="AV194" i="20"/>
  <c r="BL194" i="20" s="1"/>
  <c r="AJ88" i="20"/>
  <c r="AK88" i="20" s="1"/>
  <c r="AJ101" i="20"/>
  <c r="AK101" i="20" s="1"/>
  <c r="AJ98" i="20"/>
  <c r="AK98" i="20" s="1"/>
  <c r="BE156" i="20"/>
  <c r="AR96" i="20"/>
  <c r="AN125" i="20"/>
  <c r="AN134" i="20"/>
  <c r="AN124" i="20"/>
  <c r="AN145" i="20"/>
  <c r="AN154" i="20"/>
  <c r="AN153" i="20"/>
  <c r="AN148" i="20"/>
  <c r="AN96" i="20"/>
  <c r="BE96" i="20" s="1"/>
  <c r="AN130" i="20"/>
  <c r="AN119" i="20"/>
  <c r="AN206" i="20"/>
  <c r="AN161" i="20"/>
  <c r="AN205" i="20"/>
  <c r="AN185" i="20"/>
  <c r="AN177" i="20"/>
  <c r="AN170" i="20"/>
  <c r="AN184" i="20"/>
  <c r="AN190" i="20"/>
  <c r="AN202" i="20"/>
  <c r="AN151" i="20"/>
  <c r="R172" i="20"/>
  <c r="T172" i="20" s="1"/>
  <c r="BI172" i="20" s="1"/>
  <c r="AS172" i="20"/>
  <c r="AN159" i="20"/>
  <c r="AN182" i="20"/>
  <c r="AN180" i="20"/>
  <c r="AN164" i="20"/>
  <c r="AN132" i="20"/>
  <c r="AN149" i="20"/>
  <c r="AN175" i="20"/>
  <c r="AN187" i="20"/>
  <c r="AN169" i="20"/>
  <c r="AN157" i="20"/>
  <c r="AN163" i="20"/>
  <c r="AN207" i="20"/>
  <c r="AN197" i="20"/>
  <c r="AN176" i="20"/>
  <c r="AN198" i="20"/>
  <c r="AN196" i="20"/>
  <c r="AN189" i="20"/>
  <c r="AN200" i="20"/>
  <c r="AN168" i="20"/>
  <c r="AV71" i="20"/>
  <c r="BL71" i="20" s="1"/>
  <c r="U88" i="20"/>
  <c r="V88" i="20" s="1"/>
  <c r="W88" i="20" s="1"/>
  <c r="AM88" i="20"/>
  <c r="AQ88" i="20"/>
  <c r="AO107" i="20"/>
  <c r="AP107" i="20" s="1"/>
  <c r="AR107" i="20" s="1"/>
  <c r="AM107" i="20"/>
  <c r="AQ97" i="20"/>
  <c r="AM97" i="20"/>
  <c r="AN97" i="20" s="1"/>
  <c r="AQ102" i="20"/>
  <c r="AM102" i="20"/>
  <c r="AN102" i="20" s="1"/>
  <c r="AQ86" i="20"/>
  <c r="AM86" i="20"/>
  <c r="AO104" i="20"/>
  <c r="AP104" i="20" s="1"/>
  <c r="AM104" i="20"/>
  <c r="AQ104" i="20"/>
  <c r="Q104" i="20"/>
  <c r="AA104" i="20"/>
  <c r="AB104" i="20" s="1"/>
  <c r="AJ107" i="20"/>
  <c r="AK107" i="20" s="1"/>
  <c r="AQ105" i="20"/>
  <c r="AR105" i="20" s="1"/>
  <c r="AM105" i="20"/>
  <c r="AN105" i="20" s="1"/>
  <c r="AQ89" i="20"/>
  <c r="AM89" i="20"/>
  <c r="AN89" i="20" s="1"/>
  <c r="AQ94" i="20"/>
  <c r="AR94" i="20" s="1"/>
  <c r="AM94" i="20"/>
  <c r="AE64" i="20"/>
  <c r="R82" i="21"/>
  <c r="T82" i="21" s="1"/>
  <c r="BI82" i="21" s="1"/>
  <c r="AI97" i="21"/>
  <c r="AJ13" i="20"/>
  <c r="AK13" i="20" s="1"/>
  <c r="AQ23" i="20"/>
  <c r="AA23" i="20"/>
  <c r="AB23" i="20" s="1"/>
  <c r="AO23" i="20"/>
  <c r="AP23" i="20" s="1"/>
  <c r="AH72" i="20"/>
  <c r="AD41" i="20"/>
  <c r="Q65" i="20"/>
  <c r="AS65" i="20" s="1"/>
  <c r="AO65" i="20"/>
  <c r="AP65" i="20" s="1"/>
  <c r="AO72" i="20"/>
  <c r="AP72" i="20" s="1"/>
  <c r="AR67" i="20"/>
  <c r="U31" i="20"/>
  <c r="V31" i="20" s="1"/>
  <c r="W31" i="20" s="1"/>
  <c r="AE199" i="20"/>
  <c r="AR111" i="20"/>
  <c r="AD72" i="20"/>
  <c r="AC20" i="20"/>
  <c r="AE20" i="20" s="1"/>
  <c r="AJ20" i="20"/>
  <c r="AK20" i="20" s="1"/>
  <c r="AN20" i="20" s="1"/>
  <c r="AO20" i="20"/>
  <c r="AP20" i="20" s="1"/>
  <c r="AR20" i="20" s="1"/>
  <c r="AR99" i="20"/>
  <c r="AM46" i="20"/>
  <c r="AN46" i="20" s="1"/>
  <c r="AJ61" i="20"/>
  <c r="AK61" i="20" s="1"/>
  <c r="AN61" i="20" s="1"/>
  <c r="AR112" i="20"/>
  <c r="AR110" i="20"/>
  <c r="AR27" i="20"/>
  <c r="Q72" i="20"/>
  <c r="AS72" i="20" s="1"/>
  <c r="AM72" i="20"/>
  <c r="AN72" i="20" s="1"/>
  <c r="AQ72" i="20"/>
  <c r="AF72" i="20"/>
  <c r="AA72" i="20"/>
  <c r="AB72" i="20" s="1"/>
  <c r="AC88" i="20"/>
  <c r="AO88" i="20"/>
  <c r="AP88" i="20" s="1"/>
  <c r="AF88" i="20"/>
  <c r="AG88" i="20" s="1"/>
  <c r="AA88" i="20"/>
  <c r="AB88" i="20" s="1"/>
  <c r="Q88" i="20"/>
  <c r="AA26" i="20"/>
  <c r="AB26" i="20" s="1"/>
  <c r="AM30" i="20"/>
  <c r="R11" i="21"/>
  <c r="T11" i="21" s="1"/>
  <c r="BI11" i="21" s="1"/>
  <c r="AM25" i="20"/>
  <c r="AM26" i="20"/>
  <c r="AN27" i="20"/>
  <c r="AO30" i="20"/>
  <c r="AP30" i="20" s="1"/>
  <c r="AQ26" i="20"/>
  <c r="AV117" i="20"/>
  <c r="BL117" i="20" s="1"/>
  <c r="AR67" i="21"/>
  <c r="AR58" i="21"/>
  <c r="BL58" i="21" s="1"/>
  <c r="BF58" i="21" s="1"/>
  <c r="AR42" i="21"/>
  <c r="AI83" i="21"/>
  <c r="AE27" i="20"/>
  <c r="S30" i="20"/>
  <c r="U30" i="20"/>
  <c r="V30" i="20" s="1"/>
  <c r="W30" i="20" s="1"/>
  <c r="AJ25" i="20"/>
  <c r="AK25" i="20" s="1"/>
  <c r="AO26" i="20"/>
  <c r="AP26" i="20" s="1"/>
  <c r="Q33" i="20"/>
  <c r="AS33" i="20" s="1"/>
  <c r="AJ26" i="20"/>
  <c r="AK26" i="20" s="1"/>
  <c r="AQ30" i="20"/>
  <c r="AE150" i="20"/>
  <c r="AE189" i="20"/>
  <c r="AG120" i="20"/>
  <c r="AI120" i="20" s="1"/>
  <c r="AE119" i="20"/>
  <c r="R22" i="21"/>
  <c r="T22" i="21" s="1"/>
  <c r="BI22" i="21" s="1"/>
  <c r="AI35" i="21"/>
  <c r="AI47" i="21"/>
  <c r="AR51" i="20"/>
  <c r="AV67" i="21"/>
  <c r="BM67" i="21" s="1"/>
  <c r="AG67" i="21"/>
  <c r="AI67" i="21" s="1"/>
  <c r="S29" i="20"/>
  <c r="AG24" i="20"/>
  <c r="S31" i="20"/>
  <c r="AV63" i="20"/>
  <c r="BL63" i="20" s="1"/>
  <c r="AJ31" i="20"/>
  <c r="AK31" i="20" s="1"/>
  <c r="AJ18" i="20"/>
  <c r="AK18" i="20" s="1"/>
  <c r="AR22" i="20"/>
  <c r="AE185" i="20"/>
  <c r="AG185" i="20"/>
  <c r="AI185" i="20" s="1"/>
  <c r="AG130" i="20"/>
  <c r="AI130" i="20" s="1"/>
  <c r="AE203" i="20"/>
  <c r="AG194" i="20"/>
  <c r="AI194" i="20" s="1"/>
  <c r="BF194" i="20" s="1"/>
  <c r="AI81" i="21"/>
  <c r="AI82" i="21"/>
  <c r="U53" i="20"/>
  <c r="V53" i="20" s="1"/>
  <c r="W53" i="20" s="1"/>
  <c r="R27" i="20"/>
  <c r="T27" i="20" s="1"/>
  <c r="BI27" i="20" s="1"/>
  <c r="AH50" i="20"/>
  <c r="AH49" i="20"/>
  <c r="AE99" i="20"/>
  <c r="AJ29" i="20"/>
  <c r="AK29" i="20" s="1"/>
  <c r="Q30" i="20"/>
  <c r="AS30" i="20" s="1"/>
  <c r="AC30" i="20"/>
  <c r="AI106" i="21"/>
  <c r="R92" i="20"/>
  <c r="T92" i="20" s="1"/>
  <c r="BI92" i="20" s="1"/>
  <c r="R76" i="20"/>
  <c r="AH37" i="20"/>
  <c r="R91" i="20"/>
  <c r="T91" i="20" s="1"/>
  <c r="BI91" i="20" s="1"/>
  <c r="S50" i="20"/>
  <c r="AH18" i="20"/>
  <c r="U37" i="20"/>
  <c r="V37" i="20" s="1"/>
  <c r="W37" i="20" s="1"/>
  <c r="AH21" i="20"/>
  <c r="AD42" i="20"/>
  <c r="S49" i="20"/>
  <c r="AH42" i="20"/>
  <c r="R60" i="20"/>
  <c r="T60" i="20" s="1"/>
  <c r="BI60" i="20" s="1"/>
  <c r="S37" i="20"/>
  <c r="AH41" i="20"/>
  <c r="U46" i="20"/>
  <c r="V46" i="20" s="1"/>
  <c r="W46" i="20" s="1"/>
  <c r="AA31" i="20"/>
  <c r="AB31" i="20" s="1"/>
  <c r="AE31" i="20" s="1"/>
  <c r="AO17" i="20"/>
  <c r="AP17" i="20" s="1"/>
  <c r="Q31" i="20"/>
  <c r="AA53" i="20"/>
  <c r="AB53" i="20" s="1"/>
  <c r="Q46" i="20"/>
  <c r="AS46" i="20" s="1"/>
  <c r="Q26" i="20"/>
  <c r="AS26" i="20" s="1"/>
  <c r="AC26" i="20"/>
  <c r="AS94" i="21"/>
  <c r="AE58" i="21"/>
  <c r="AI105" i="21"/>
  <c r="S18" i="20"/>
  <c r="AM29" i="20"/>
  <c r="AV22" i="20"/>
  <c r="BL22" i="20" s="1"/>
  <c r="U33" i="20"/>
  <c r="V33" i="20" s="1"/>
  <c r="W33" i="20" s="1"/>
  <c r="R99" i="20"/>
  <c r="T99" i="20" s="1"/>
  <c r="BI99" i="20" s="1"/>
  <c r="X29" i="20"/>
  <c r="Y29" i="20" s="1"/>
  <c r="Z29" i="20" s="1"/>
  <c r="AI63" i="20"/>
  <c r="AA29" i="20"/>
  <c r="AB29" i="20" s="1"/>
  <c r="AO33" i="20"/>
  <c r="AP33" i="20" s="1"/>
  <c r="Q29" i="20"/>
  <c r="AS29" i="20" s="1"/>
  <c r="U18" i="20"/>
  <c r="V18" i="20" s="1"/>
  <c r="W18" i="20" s="1"/>
  <c r="AN51" i="20"/>
  <c r="AE115" i="20"/>
  <c r="AE161" i="20"/>
  <c r="AV208" i="20"/>
  <c r="BL208" i="20" s="1"/>
  <c r="AG161" i="20"/>
  <c r="AI161" i="20" s="1"/>
  <c r="AG201" i="20"/>
  <c r="AI201" i="20" s="1"/>
  <c r="AE137" i="20"/>
  <c r="AE146" i="20"/>
  <c r="AE198" i="20"/>
  <c r="AE132" i="20"/>
  <c r="BK172" i="20"/>
  <c r="AI109" i="21"/>
  <c r="AI93" i="21"/>
  <c r="AE63" i="20"/>
  <c r="AI45" i="21"/>
  <c r="AI90" i="21"/>
  <c r="AI71" i="20"/>
  <c r="AF42" i="20"/>
  <c r="AG42" i="20" s="1"/>
  <c r="AR11" i="21"/>
  <c r="AR76" i="21"/>
  <c r="R59" i="20"/>
  <c r="T59" i="20" s="1"/>
  <c r="BI59" i="20" s="1"/>
  <c r="S26" i="20"/>
  <c r="AD26" i="20"/>
  <c r="R51" i="20"/>
  <c r="T51" i="20" s="1"/>
  <c r="BI51" i="20" s="1"/>
  <c r="X31" i="20"/>
  <c r="Y31" i="20" s="1"/>
  <c r="Z31" i="20" s="1"/>
  <c r="X30" i="20"/>
  <c r="Y30" i="20" s="1"/>
  <c r="Z30" i="20" s="1"/>
  <c r="AH30" i="20"/>
  <c r="X26" i="20"/>
  <c r="Y26" i="20" s="1"/>
  <c r="Z26" i="20" s="1"/>
  <c r="X61" i="20"/>
  <c r="Y61" i="20" s="1"/>
  <c r="Z61" i="20" s="1"/>
  <c r="AF30" i="20"/>
  <c r="AG30" i="20" s="1"/>
  <c r="AF58" i="20"/>
  <c r="AG58" i="20" s="1"/>
  <c r="AA25" i="20"/>
  <c r="AB25" i="20" s="1"/>
  <c r="AE25" i="20" s="1"/>
  <c r="AJ21" i="20"/>
  <c r="AK21" i="20" s="1"/>
  <c r="AE22" i="20"/>
  <c r="AN55" i="20"/>
  <c r="U26" i="20"/>
  <c r="V26" i="20" s="1"/>
  <c r="W26" i="20" s="1"/>
  <c r="AE166" i="20"/>
  <c r="AE134" i="20"/>
  <c r="AI208" i="20"/>
  <c r="BF208" i="20" s="1"/>
  <c r="AG166" i="20"/>
  <c r="AI166" i="20" s="1"/>
  <c r="BF166" i="20" s="1"/>
  <c r="AG162" i="20"/>
  <c r="AI162" i="20" s="1"/>
  <c r="AE162" i="20"/>
  <c r="AE186" i="20"/>
  <c r="AE177" i="20"/>
  <c r="AE200" i="20"/>
  <c r="AG158" i="20"/>
  <c r="AI158" i="20" s="1"/>
  <c r="AI101" i="21"/>
  <c r="AS58" i="21"/>
  <c r="AI55" i="20"/>
  <c r="BF55" i="20" s="1"/>
  <c r="AI43" i="21"/>
  <c r="AF17" i="20"/>
  <c r="AG17" i="20" s="1"/>
  <c r="AF14" i="20"/>
  <c r="AF10" i="20"/>
  <c r="AG10" i="20" s="1"/>
  <c r="AI10" i="20" s="1"/>
  <c r="AJ17" i="20"/>
  <c r="AK17" i="20" s="1"/>
  <c r="AO13" i="20"/>
  <c r="AP13" i="20" s="1"/>
  <c r="AO21" i="20"/>
  <c r="AP21" i="20" s="1"/>
  <c r="AJ34" i="20"/>
  <c r="AK34" i="20" s="1"/>
  <c r="AD34" i="20"/>
  <c r="AF18" i="20"/>
  <c r="AG18" i="20" s="1"/>
  <c r="AF13" i="20"/>
  <c r="AG13" i="20" s="1"/>
  <c r="AF21" i="20"/>
  <c r="AG21" i="20" s="1"/>
  <c r="R55" i="20"/>
  <c r="T55" i="20" s="1"/>
  <c r="BI55" i="20" s="1"/>
  <c r="R67" i="20"/>
  <c r="T67" i="20" s="1"/>
  <c r="BI67" i="20" s="1"/>
  <c r="AH46" i="20"/>
  <c r="X50" i="20"/>
  <c r="Y50" i="20" s="1"/>
  <c r="Z50" i="20" s="1"/>
  <c r="U61" i="20"/>
  <c r="V61" i="20" s="1"/>
  <c r="W61" i="20" s="1"/>
  <c r="U49" i="20"/>
  <c r="V49" i="20" s="1"/>
  <c r="W49" i="20" s="1"/>
  <c r="U42" i="20"/>
  <c r="V42" i="20" s="1"/>
  <c r="W42" i="20" s="1"/>
  <c r="U41" i="20"/>
  <c r="V41" i="20" s="1"/>
  <c r="W41" i="20" s="1"/>
  <c r="X46" i="20"/>
  <c r="Y46" i="20" s="1"/>
  <c r="Z46" i="20" s="1"/>
  <c r="X53" i="20"/>
  <c r="Y53" i="20" s="1"/>
  <c r="Z53" i="20" s="1"/>
  <c r="AD49" i="20"/>
  <c r="X49" i="20"/>
  <c r="Y49" i="20" s="1"/>
  <c r="Z49" i="20" s="1"/>
  <c r="X42" i="20"/>
  <c r="Y42" i="20" s="1"/>
  <c r="Z42" i="20" s="1"/>
  <c r="AD53" i="20"/>
  <c r="X41" i="20"/>
  <c r="Y41" i="20" s="1"/>
  <c r="Z41" i="20" s="1"/>
  <c r="AD46" i="20"/>
  <c r="AD50" i="20"/>
  <c r="AH53" i="20"/>
  <c r="R108" i="20"/>
  <c r="S46" i="20"/>
  <c r="S42" i="20"/>
  <c r="AA42" i="20"/>
  <c r="AB42" i="20" s="1"/>
  <c r="AA46" i="20"/>
  <c r="AB46" i="20" s="1"/>
  <c r="AF49" i="20"/>
  <c r="AG49" i="20" s="1"/>
  <c r="AF37" i="20"/>
  <c r="AG37" i="20" s="1"/>
  <c r="Q61" i="20"/>
  <c r="AS61" i="20" s="1"/>
  <c r="AJ37" i="20"/>
  <c r="AK37" i="20" s="1"/>
  <c r="AA61" i="20"/>
  <c r="AB61" i="20" s="1"/>
  <c r="AO41" i="20"/>
  <c r="AP41" i="20" s="1"/>
  <c r="AE188" i="20"/>
  <c r="AV150" i="20"/>
  <c r="BL150" i="20" s="1"/>
  <c r="AV119" i="20"/>
  <c r="BL119" i="20" s="1"/>
  <c r="AV198" i="20"/>
  <c r="BL198" i="20" s="1"/>
  <c r="AV200" i="20"/>
  <c r="BL200" i="20" s="1"/>
  <c r="AS105" i="21"/>
  <c r="AR35" i="21"/>
  <c r="R83" i="20"/>
  <c r="T83" i="20" s="1"/>
  <c r="BI83" i="20" s="1"/>
  <c r="AH54" i="20"/>
  <c r="AE59" i="20"/>
  <c r="AD54" i="20"/>
  <c r="S58" i="20"/>
  <c r="AA57" i="20"/>
  <c r="AB57" i="20" s="1"/>
  <c r="AV203" i="20"/>
  <c r="BL203" i="20" s="1"/>
  <c r="AE112" i="20"/>
  <c r="AV142" i="20"/>
  <c r="BL142" i="20" s="1"/>
  <c r="AG136" i="20"/>
  <c r="AI136" i="20" s="1"/>
  <c r="BF136" i="20" s="1"/>
  <c r="AS106" i="21"/>
  <c r="AS109" i="21"/>
  <c r="AR47" i="21"/>
  <c r="AR44" i="21"/>
  <c r="BL44" i="21" s="1"/>
  <c r="BF44" i="21" s="1"/>
  <c r="AR15" i="21"/>
  <c r="AR30" i="21"/>
  <c r="AR74" i="21"/>
  <c r="BL74" i="21" s="1"/>
  <c r="BF74" i="21" s="1"/>
  <c r="AR36" i="21"/>
  <c r="AI62" i="21"/>
  <c r="T84" i="21"/>
  <c r="BI84" i="21" s="1"/>
  <c r="Q41" i="20"/>
  <c r="AS41" i="20" s="1"/>
  <c r="Q53" i="20"/>
  <c r="AS53" i="20" s="1"/>
  <c r="Q50" i="20"/>
  <c r="AS50" i="20" s="1"/>
  <c r="AA41" i="20"/>
  <c r="AB41" i="20" s="1"/>
  <c r="Q49" i="20"/>
  <c r="AS49" i="20" s="1"/>
  <c r="Q42" i="20"/>
  <c r="AS42" i="20" s="1"/>
  <c r="Q37" i="20"/>
  <c r="AS37" i="20" s="1"/>
  <c r="AQ49" i="20"/>
  <c r="X37" i="20"/>
  <c r="Y37" i="20" s="1"/>
  <c r="Z37" i="20" s="1"/>
  <c r="S53" i="20"/>
  <c r="AM37" i="20"/>
  <c r="AF53" i="20"/>
  <c r="AG53" i="20" s="1"/>
  <c r="R40" i="20"/>
  <c r="T40" i="20" s="1"/>
  <c r="U58" i="20"/>
  <c r="V58" i="20" s="1"/>
  <c r="W58" i="20" s="1"/>
  <c r="U57" i="20"/>
  <c r="V57" i="20" s="1"/>
  <c r="W57" i="20" s="1"/>
  <c r="U45" i="20"/>
  <c r="V45" i="20" s="1"/>
  <c r="W45" i="20" s="1"/>
  <c r="AI84" i="20"/>
  <c r="AD45" i="20"/>
  <c r="X57" i="20"/>
  <c r="Y57" i="20" s="1"/>
  <c r="Z57" i="20" s="1"/>
  <c r="AD58" i="20"/>
  <c r="AH45" i="20"/>
  <c r="AE55" i="20"/>
  <c r="Q57" i="20"/>
  <c r="AS57" i="20" s="1"/>
  <c r="Q45" i="20"/>
  <c r="AF38" i="20"/>
  <c r="AG38" i="20" s="1"/>
  <c r="AA34" i="20"/>
  <c r="AB34" i="20" s="1"/>
  <c r="AF61" i="20"/>
  <c r="AA58" i="20"/>
  <c r="AB58" i="20" s="1"/>
  <c r="AO61" i="20"/>
  <c r="AP61" i="20" s="1"/>
  <c r="AE117" i="20"/>
  <c r="AV134" i="20"/>
  <c r="BL134" i="20" s="1"/>
  <c r="AE208" i="20"/>
  <c r="AG178" i="20"/>
  <c r="AI178" i="20" s="1"/>
  <c r="AS67" i="21"/>
  <c r="R68" i="21"/>
  <c r="T68" i="21" s="1"/>
  <c r="BI68" i="21" s="1"/>
  <c r="AS84" i="21"/>
  <c r="AN74" i="21"/>
  <c r="AE74" i="21"/>
  <c r="AE9" i="21"/>
  <c r="AE53" i="21"/>
  <c r="AE66" i="21"/>
  <c r="AF46" i="20"/>
  <c r="AG46" i="20" s="1"/>
  <c r="AJ41" i="20"/>
  <c r="AK41" i="20" s="1"/>
  <c r="AN41" i="20" s="1"/>
  <c r="AJ42" i="20"/>
  <c r="AK42" i="20" s="1"/>
  <c r="AN42" i="20" s="1"/>
  <c r="AQ46" i="20"/>
  <c r="AO49" i="20"/>
  <c r="AP49" i="20" s="1"/>
  <c r="AQ37" i="20"/>
  <c r="AR37" i="20" s="1"/>
  <c r="AF41" i="20"/>
  <c r="AG41" i="20" s="1"/>
  <c r="AO42" i="20"/>
  <c r="AP42" i="20" s="1"/>
  <c r="AO46" i="20"/>
  <c r="AP46" i="20" s="1"/>
  <c r="S41" i="20"/>
  <c r="AM34" i="20"/>
  <c r="AJ57" i="20"/>
  <c r="AK57" i="20" s="1"/>
  <c r="AN57" i="20" s="1"/>
  <c r="AI75" i="20"/>
  <c r="AH58" i="20"/>
  <c r="X45" i="20"/>
  <c r="Y45" i="20" s="1"/>
  <c r="Z45" i="20" s="1"/>
  <c r="S57" i="20"/>
  <c r="AD57" i="20"/>
  <c r="AH57" i="20"/>
  <c r="AE56" i="20"/>
  <c r="X58" i="20"/>
  <c r="Y58" i="20" s="1"/>
  <c r="Z58" i="20" s="1"/>
  <c r="AE91" i="20"/>
  <c r="Q34" i="20"/>
  <c r="AS34" i="20" s="1"/>
  <c r="Q58" i="20"/>
  <c r="Q38" i="20"/>
  <c r="AS38" i="20" s="1"/>
  <c r="Q54" i="20"/>
  <c r="AS54" i="20" s="1"/>
  <c r="AA38" i="20"/>
  <c r="AB38" i="20" s="1"/>
  <c r="AQ57" i="20"/>
  <c r="AJ45" i="20"/>
  <c r="AK45" i="20" s="1"/>
  <c r="AN45" i="20" s="1"/>
  <c r="AJ58" i="20"/>
  <c r="AK58" i="20" s="1"/>
  <c r="AN58" i="20" s="1"/>
  <c r="AQ38" i="20"/>
  <c r="AR38" i="20" s="1"/>
  <c r="AF57" i="20"/>
  <c r="AG57" i="20" s="1"/>
  <c r="AI134" i="20"/>
  <c r="BF134" i="20" s="1"/>
  <c r="AE122" i="20"/>
  <c r="AE209" i="20"/>
  <c r="BK156" i="20"/>
  <c r="BB156" i="20"/>
  <c r="BD156" i="20" s="1"/>
  <c r="BH156" i="20" s="1"/>
  <c r="BJ156" i="20"/>
  <c r="R9" i="21"/>
  <c r="T9" i="21" s="1"/>
  <c r="BI9" i="21" s="1"/>
  <c r="R89" i="21"/>
  <c r="T89" i="21" s="1"/>
  <c r="BI89" i="21" s="1"/>
  <c r="AR34" i="21"/>
  <c r="R14" i="21"/>
  <c r="T14" i="21" s="1"/>
  <c r="BI14" i="21" s="1"/>
  <c r="AS66" i="21"/>
  <c r="AN56" i="21"/>
  <c r="T74" i="21"/>
  <c r="BI74" i="21" s="1"/>
  <c r="AV59" i="21"/>
  <c r="BM59" i="21" s="1"/>
  <c r="AV58" i="21"/>
  <c r="BM58" i="21" s="1"/>
  <c r="AR53" i="21"/>
  <c r="BL53" i="21" s="1"/>
  <c r="BF53" i="21" s="1"/>
  <c r="BL66" i="21"/>
  <c r="BF66" i="21" s="1"/>
  <c r="AR25" i="21"/>
  <c r="AR37" i="21"/>
  <c r="AR39" i="21"/>
  <c r="R63" i="21"/>
  <c r="T63" i="21" s="1"/>
  <c r="BI63" i="21" s="1"/>
  <c r="AS55" i="21"/>
  <c r="AS47" i="21"/>
  <c r="AR21" i="21"/>
  <c r="AR57" i="21"/>
  <c r="BL57" i="21" s="1"/>
  <c r="BF57" i="21" s="1"/>
  <c r="AE36" i="21"/>
  <c r="AE70" i="21"/>
  <c r="AE44" i="21"/>
  <c r="T70" i="21"/>
  <c r="BI70" i="21" s="1"/>
  <c r="AI89" i="21"/>
  <c r="R72" i="21"/>
  <c r="T72" i="21" s="1"/>
  <c r="BI72" i="21" s="1"/>
  <c r="AV44" i="21"/>
  <c r="BM44" i="21" s="1"/>
  <c r="AV66" i="21"/>
  <c r="BM66" i="21" s="1"/>
  <c r="AV26" i="21"/>
  <c r="BM26" i="21" s="1"/>
  <c r="AV55" i="21"/>
  <c r="BM55" i="21" s="1"/>
  <c r="R53" i="21"/>
  <c r="T53" i="21" s="1"/>
  <c r="BI53" i="21" s="1"/>
  <c r="AS70" i="21"/>
  <c r="AV101" i="21"/>
  <c r="BM101" i="21" s="1"/>
  <c r="AI63" i="21"/>
  <c r="R44" i="21"/>
  <c r="T44" i="21" s="1"/>
  <c r="BI44" i="21" s="1"/>
  <c r="BJ143" i="20"/>
  <c r="AR20" i="21"/>
  <c r="AI56" i="21"/>
  <c r="AS74" i="21"/>
  <c r="R59" i="21"/>
  <c r="T59" i="21" s="1"/>
  <c r="BI59" i="21" s="1"/>
  <c r="AV68" i="21"/>
  <c r="BM68" i="21" s="1"/>
  <c r="AE85" i="21"/>
  <c r="AR109" i="21"/>
  <c r="T58" i="21"/>
  <c r="BI58" i="21" s="1"/>
  <c r="AR62" i="21"/>
  <c r="AI99" i="21"/>
  <c r="AV93" i="21"/>
  <c r="BM93" i="21" s="1"/>
  <c r="AV29" i="21"/>
  <c r="BM29" i="21" s="1"/>
  <c r="AV28" i="21"/>
  <c r="BM28" i="21" s="1"/>
  <c r="R102" i="21"/>
  <c r="T102" i="21" s="1"/>
  <c r="BI102" i="21" s="1"/>
  <c r="T105" i="21"/>
  <c r="BI105" i="21" s="1"/>
  <c r="AG59" i="21"/>
  <c r="AI59" i="21" s="1"/>
  <c r="AV30" i="21"/>
  <c r="BM30" i="21" s="1"/>
  <c r="AV63" i="21"/>
  <c r="BM63" i="21" s="1"/>
  <c r="AR10" i="21"/>
  <c r="AI55" i="21"/>
  <c r="AV74" i="21"/>
  <c r="BM74" i="21" s="1"/>
  <c r="AI76" i="21"/>
  <c r="T94" i="21"/>
  <c r="BI94" i="21" s="1"/>
  <c r="AV18" i="21"/>
  <c r="BM18" i="21" s="1"/>
  <c r="AV53" i="21"/>
  <c r="BM53" i="21" s="1"/>
  <c r="AN47" i="21"/>
  <c r="BK47" i="21" s="1"/>
  <c r="BE47" i="21" s="1"/>
  <c r="AN55" i="21"/>
  <c r="BK55" i="21" s="1"/>
  <c r="BE55" i="21" s="1"/>
  <c r="AE81" i="21"/>
  <c r="AR83" i="21"/>
  <c r="AN59" i="21"/>
  <c r="AN66" i="21"/>
  <c r="AN41" i="21"/>
  <c r="AV98" i="21"/>
  <c r="BM98" i="21" s="1"/>
  <c r="AN76" i="21"/>
  <c r="BK76" i="21" s="1"/>
  <c r="BE76" i="21" s="1"/>
  <c r="AR63" i="21"/>
  <c r="AN63" i="21"/>
  <c r="BK63" i="21" s="1"/>
  <c r="BE63" i="21" s="1"/>
  <c r="AQ45" i="20"/>
  <c r="AQ58" i="20"/>
  <c r="AF45" i="20"/>
  <c r="AG45" i="20" s="1"/>
  <c r="AI188" i="20"/>
  <c r="AE129" i="20"/>
  <c r="BE129" i="20" s="1"/>
  <c r="AE111" i="20"/>
  <c r="AE153" i="20"/>
  <c r="AE169" i="20"/>
  <c r="AE195" i="20"/>
  <c r="AE168" i="20"/>
  <c r="AE197" i="20"/>
  <c r="AE201" i="20"/>
  <c r="AE136" i="20"/>
  <c r="AE120" i="20"/>
  <c r="AE130" i="20"/>
  <c r="AI198" i="20"/>
  <c r="AE194" i="20"/>
  <c r="AI200" i="20"/>
  <c r="AE149" i="20"/>
  <c r="AE126" i="20"/>
  <c r="AE165" i="20"/>
  <c r="AE157" i="20"/>
  <c r="AE83" i="20"/>
  <c r="AR55" i="21"/>
  <c r="AN62" i="21"/>
  <c r="BK62" i="21" s="1"/>
  <c r="BE62" i="21" s="1"/>
  <c r="AE67" i="21"/>
  <c r="AG9" i="21"/>
  <c r="AI9" i="21" s="1"/>
  <c r="BL9" i="21" s="1"/>
  <c r="BF9" i="21" s="1"/>
  <c r="AV9" i="21"/>
  <c r="BM9" i="21" s="1"/>
  <c r="AG14" i="21"/>
  <c r="AI14" i="21" s="1"/>
  <c r="AV14" i="21"/>
  <c r="BM14" i="21" s="1"/>
  <c r="AS62" i="21"/>
  <c r="R62" i="21"/>
  <c r="T62" i="21" s="1"/>
  <c r="BI62" i="21" s="1"/>
  <c r="AS93" i="21"/>
  <c r="R93" i="21"/>
  <c r="T93" i="21" s="1"/>
  <c r="BI93" i="21" s="1"/>
  <c r="AR24" i="21"/>
  <c r="AV70" i="21"/>
  <c r="BM70" i="21" s="1"/>
  <c r="AS15" i="21"/>
  <c r="AS30" i="21"/>
  <c r="R76" i="21"/>
  <c r="T76" i="21" s="1"/>
  <c r="BI76" i="21" s="1"/>
  <c r="R24" i="21"/>
  <c r="T24" i="21" s="1"/>
  <c r="BI24" i="21" s="1"/>
  <c r="AV47" i="21"/>
  <c r="BM47" i="21" s="1"/>
  <c r="AN44" i="21"/>
  <c r="AN57" i="21"/>
  <c r="AI42" i="21"/>
  <c r="AR68" i="21"/>
  <c r="BL68" i="21" s="1"/>
  <c r="BF68" i="21" s="1"/>
  <c r="AS97" i="21"/>
  <c r="R97" i="21"/>
  <c r="T97" i="21" s="1"/>
  <c r="BI97" i="21" s="1"/>
  <c r="AS98" i="21"/>
  <c r="R98" i="21"/>
  <c r="T98" i="21" s="1"/>
  <c r="BI98" i="21" s="1"/>
  <c r="AN71" i="20"/>
  <c r="AR17" i="21"/>
  <c r="AI87" i="21"/>
  <c r="AR32" i="21"/>
  <c r="AI85" i="21"/>
  <c r="AR50" i="21"/>
  <c r="AR41" i="21"/>
  <c r="AR23" i="21"/>
  <c r="T90" i="21"/>
  <c r="BI90" i="21" s="1"/>
  <c r="AN45" i="21"/>
  <c r="AN58" i="21"/>
  <c r="AN53" i="21"/>
  <c r="AN43" i="21"/>
  <c r="AR98" i="21"/>
  <c r="BL98" i="21" s="1"/>
  <c r="BF98" i="21" s="1"/>
  <c r="AR81" i="21"/>
  <c r="AR90" i="21"/>
  <c r="AN80" i="21"/>
  <c r="AN100" i="21"/>
  <c r="AR56" i="21"/>
  <c r="AR101" i="21"/>
  <c r="AR45" i="21"/>
  <c r="AV25" i="21"/>
  <c r="BM25" i="21" s="1"/>
  <c r="AN67" i="21"/>
  <c r="AN70" i="21"/>
  <c r="AM53" i="20"/>
  <c r="AS57" i="21"/>
  <c r="AE60" i="20"/>
  <c r="AI40" i="20"/>
  <c r="BK40" i="20" s="1"/>
  <c r="AE100" i="20"/>
  <c r="AF33" i="20"/>
  <c r="AG33" i="20" s="1"/>
  <c r="AQ53" i="20"/>
  <c r="AR53" i="20" s="1"/>
  <c r="AA49" i="20"/>
  <c r="AB49" i="20" s="1"/>
  <c r="AQ41" i="20"/>
  <c r="AJ49" i="20"/>
  <c r="AK49" i="20" s="1"/>
  <c r="AN49" i="20" s="1"/>
  <c r="AQ42" i="20"/>
  <c r="AJ53" i="20"/>
  <c r="AK53" i="20" s="1"/>
  <c r="AA37" i="20"/>
  <c r="AB37" i="20" s="1"/>
  <c r="AO34" i="20"/>
  <c r="AP34" i="20" s="1"/>
  <c r="AH34" i="20"/>
  <c r="AI34" i="20" s="1"/>
  <c r="BK34" i="20" s="1"/>
  <c r="AI117" i="20"/>
  <c r="AI150" i="20"/>
  <c r="AI142" i="20"/>
  <c r="AE67" i="20"/>
  <c r="AE142" i="20"/>
  <c r="T15" i="21"/>
  <c r="BI15" i="21" s="1"/>
  <c r="T30" i="21"/>
  <c r="BI30" i="21" s="1"/>
  <c r="AN22" i="20"/>
  <c r="AI22" i="20"/>
  <c r="BK22" i="20" s="1"/>
  <c r="BF116" i="20"/>
  <c r="BB116" i="20"/>
  <c r="BD116" i="20" s="1"/>
  <c r="BH116" i="20" s="1"/>
  <c r="BJ116" i="20"/>
  <c r="BK116" i="20"/>
  <c r="AI9" i="20"/>
  <c r="AE51" i="20"/>
  <c r="AE92" i="20"/>
  <c r="AE87" i="20"/>
  <c r="AN40" i="20"/>
  <c r="AR79" i="20"/>
  <c r="AR71" i="20"/>
  <c r="AE180" i="20"/>
  <c r="AE164" i="20"/>
  <c r="AE158" i="20"/>
  <c r="AE170" i="20"/>
  <c r="AE154" i="20"/>
  <c r="AE138" i="20"/>
  <c r="AE114" i="20"/>
  <c r="AE135" i="20"/>
  <c r="BE135" i="20" s="1"/>
  <c r="AE190" i="20"/>
  <c r="AE192" i="20"/>
  <c r="AE207" i="20"/>
  <c r="AE205" i="20"/>
  <c r="AE147" i="20"/>
  <c r="AE131" i="20"/>
  <c r="AE123" i="20"/>
  <c r="AE148" i="20"/>
  <c r="AE127" i="20"/>
  <c r="AE178" i="20"/>
  <c r="AI146" i="20"/>
  <c r="AI119" i="20"/>
  <c r="AE125" i="20"/>
  <c r="AE184" i="20"/>
  <c r="AI176" i="20"/>
  <c r="AE176" i="20"/>
  <c r="AE187" i="20"/>
  <c r="AE113" i="20"/>
  <c r="BE113" i="20" s="1"/>
  <c r="AE140" i="20"/>
  <c r="BE140" i="20" s="1"/>
  <c r="AE141" i="20"/>
  <c r="AE163" i="20"/>
  <c r="AR83" i="20"/>
  <c r="AI183" i="20"/>
  <c r="BK183" i="20" s="1"/>
  <c r="AN9" i="20"/>
  <c r="BE9" i="20" s="1"/>
  <c r="AI56" i="20"/>
  <c r="AE79" i="20"/>
  <c r="AE182" i="20"/>
  <c r="AE124" i="20"/>
  <c r="AI118" i="20"/>
  <c r="BF118" i="20" s="1"/>
  <c r="AE145" i="20"/>
  <c r="AE121" i="20"/>
  <c r="BE121" i="20" s="1"/>
  <c r="AE144" i="20"/>
  <c r="AE128" i="20"/>
  <c r="AI203" i="20"/>
  <c r="BF203" i="20" s="1"/>
  <c r="AE133" i="20"/>
  <c r="BE133" i="20" s="1"/>
  <c r="AE110" i="20"/>
  <c r="BE110" i="20" s="1"/>
  <c r="AI165" i="20"/>
  <c r="BF165" i="20" s="1"/>
  <c r="AE174" i="20"/>
  <c r="BE174" i="20" s="1"/>
  <c r="BF196" i="20"/>
  <c r="BK196" i="20"/>
  <c r="AV87" i="21"/>
  <c r="BM87" i="21" s="1"/>
  <c r="AV64" i="21"/>
  <c r="BM64" i="21" s="1"/>
  <c r="AV85" i="21"/>
  <c r="BM85" i="21" s="1"/>
  <c r="AV22" i="21"/>
  <c r="BM22" i="21" s="1"/>
  <c r="AV20" i="21"/>
  <c r="BM20" i="21" s="1"/>
  <c r="AR14" i="21"/>
  <c r="T55" i="21"/>
  <c r="BI55" i="21" s="1"/>
  <c r="AN20" i="21"/>
  <c r="AR18" i="21"/>
  <c r="AN18" i="21"/>
  <c r="AV109" i="21"/>
  <c r="BM109" i="21" s="1"/>
  <c r="AI107" i="21"/>
  <c r="AR46" i="21"/>
  <c r="AN37" i="21"/>
  <c r="AI61" i="21"/>
  <c r="AI64" i="21"/>
  <c r="AV45" i="21"/>
  <c r="BM45" i="21" s="1"/>
  <c r="AV62" i="21"/>
  <c r="BM62" i="21" s="1"/>
  <c r="AS81" i="21"/>
  <c r="AN109" i="21"/>
  <c r="BK109" i="21" s="1"/>
  <c r="BE109" i="21" s="1"/>
  <c r="AR93" i="21"/>
  <c r="AN93" i="21"/>
  <c r="BK93" i="21" s="1"/>
  <c r="BE93" i="21" s="1"/>
  <c r="AN68" i="21"/>
  <c r="AR84" i="21"/>
  <c r="BL84" i="21" s="1"/>
  <c r="BF84" i="21" s="1"/>
  <c r="AR106" i="21"/>
  <c r="T57" i="21"/>
  <c r="BI57" i="21" s="1"/>
  <c r="AI91" i="21"/>
  <c r="AI46" i="21"/>
  <c r="AV11" i="21"/>
  <c r="BM11" i="21" s="1"/>
  <c r="AV15" i="21"/>
  <c r="BM15" i="21" s="1"/>
  <c r="AN39" i="21"/>
  <c r="AV21" i="21"/>
  <c r="BM21" i="21" s="1"/>
  <c r="AV24" i="21"/>
  <c r="BM24" i="21" s="1"/>
  <c r="AS101" i="21"/>
  <c r="AR52" i="21"/>
  <c r="AR54" i="21"/>
  <c r="AK25" i="21"/>
  <c r="AN25" i="21" s="1"/>
  <c r="AV91" i="21"/>
  <c r="BM91" i="21" s="1"/>
  <c r="AI28" i="21"/>
  <c r="AI21" i="21"/>
  <c r="AI24" i="21"/>
  <c r="AI32" i="21"/>
  <c r="AI12" i="21"/>
  <c r="AI16" i="21"/>
  <c r="AI25" i="21"/>
  <c r="AI34" i="21"/>
  <c r="AI11" i="21"/>
  <c r="AI15" i="21"/>
  <c r="AI26" i="21"/>
  <c r="AN84" i="21"/>
  <c r="AN98" i="21"/>
  <c r="AN81" i="21"/>
  <c r="AN106" i="21"/>
  <c r="AN90" i="21"/>
  <c r="AN95" i="21"/>
  <c r="AN42" i="21"/>
  <c r="AN11" i="21"/>
  <c r="BK11" i="21" s="1"/>
  <c r="BE11" i="21" s="1"/>
  <c r="AN30" i="21"/>
  <c r="BK30" i="21" s="1"/>
  <c r="BE30" i="21" s="1"/>
  <c r="AN22" i="21"/>
  <c r="BK22" i="21" s="1"/>
  <c r="BE22" i="21" s="1"/>
  <c r="AN9" i="21"/>
  <c r="AN21" i="21"/>
  <c r="BK21" i="21" s="1"/>
  <c r="BE21" i="21" s="1"/>
  <c r="AN24" i="21"/>
  <c r="BK24" i="21" s="1"/>
  <c r="BE24" i="21" s="1"/>
  <c r="AN54" i="21"/>
  <c r="AN49" i="21"/>
  <c r="AN15" i="21"/>
  <c r="BK15" i="21" s="1"/>
  <c r="BE15" i="21" s="1"/>
  <c r="AN36" i="21"/>
  <c r="AN14" i="21"/>
  <c r="BK14" i="21" s="1"/>
  <c r="BE14" i="21" s="1"/>
  <c r="AN35" i="21"/>
  <c r="AN52" i="21"/>
  <c r="AN48" i="21"/>
  <c r="AI20" i="21"/>
  <c r="AI29" i="21"/>
  <c r="AR27" i="21"/>
  <c r="AR51" i="21"/>
  <c r="AR28" i="21"/>
  <c r="AR26" i="21"/>
  <c r="AN26" i="21"/>
  <c r="AR19" i="21"/>
  <c r="AR38" i="21"/>
  <c r="AR16" i="21"/>
  <c r="AN40" i="21"/>
  <c r="AN105" i="21"/>
  <c r="BK105" i="21" s="1"/>
  <c r="BE105" i="21" s="1"/>
  <c r="AR72" i="21"/>
  <c r="BL72" i="21" s="1"/>
  <c r="BF72" i="21" s="1"/>
  <c r="AN94" i="21"/>
  <c r="AR82" i="21"/>
  <c r="AN77" i="21"/>
  <c r="BK77" i="21" s="1"/>
  <c r="BE77" i="21" s="1"/>
  <c r="AN87" i="21"/>
  <c r="AN88" i="21"/>
  <c r="AN79" i="21"/>
  <c r="AN73" i="21"/>
  <c r="AR108" i="21"/>
  <c r="AN104" i="21"/>
  <c r="AR96" i="21"/>
  <c r="AR92" i="21"/>
  <c r="AN60" i="21"/>
  <c r="AR64" i="21"/>
  <c r="AN69" i="21"/>
  <c r="BK69" i="21" s="1"/>
  <c r="BE69" i="21" s="1"/>
  <c r="AR86" i="21"/>
  <c r="AN101" i="21"/>
  <c r="BK101" i="21" s="1"/>
  <c r="BE101" i="21" s="1"/>
  <c r="AR59" i="21"/>
  <c r="AN97" i="21"/>
  <c r="BK97" i="21" s="1"/>
  <c r="BE97" i="21" s="1"/>
  <c r="AN102" i="21"/>
  <c r="AR89" i="21"/>
  <c r="AN78" i="21"/>
  <c r="AR71" i="21"/>
  <c r="AN107" i="21"/>
  <c r="AR103" i="21"/>
  <c r="AR99" i="21"/>
  <c r="AN91" i="21"/>
  <c r="AN46" i="21"/>
  <c r="AN61" i="21"/>
  <c r="AR65" i="21"/>
  <c r="AR75" i="21"/>
  <c r="AR85" i="21"/>
  <c r="AE87" i="21"/>
  <c r="AE27" i="21"/>
  <c r="AE49" i="21"/>
  <c r="AE73" i="21"/>
  <c r="AE10" i="21"/>
  <c r="AE48" i="21"/>
  <c r="AE20" i="21"/>
  <c r="AE68" i="21"/>
  <c r="AE72" i="21"/>
  <c r="AE39" i="21"/>
  <c r="AE54" i="21"/>
  <c r="AE106" i="21"/>
  <c r="AE102" i="21"/>
  <c r="AE98" i="21"/>
  <c r="AE94" i="21"/>
  <c r="AE51" i="21"/>
  <c r="AE18" i="21"/>
  <c r="AE25" i="21"/>
  <c r="AE41" i="21"/>
  <c r="AE31" i="21"/>
  <c r="AE34" i="21"/>
  <c r="AE50" i="21"/>
  <c r="AE35" i="21"/>
  <c r="AE71" i="21"/>
  <c r="AE107" i="21"/>
  <c r="AE103" i="21"/>
  <c r="AE99" i="21"/>
  <c r="AE95" i="21"/>
  <c r="AE91" i="21"/>
  <c r="AE42" i="21"/>
  <c r="BK42" i="21" s="1"/>
  <c r="BE42" i="21" s="1"/>
  <c r="AE17" i="21"/>
  <c r="AE23" i="21"/>
  <c r="AE37" i="21"/>
  <c r="AE79" i="21"/>
  <c r="AE40" i="21"/>
  <c r="AR29" i="21"/>
  <c r="AN29" i="21"/>
  <c r="AN28" i="21"/>
  <c r="AR13" i="21"/>
  <c r="AN38" i="21"/>
  <c r="AR49" i="21"/>
  <c r="AR12" i="21"/>
  <c r="AR33" i="21"/>
  <c r="AR48" i="21"/>
  <c r="AR31" i="21"/>
  <c r="AR40" i="21"/>
  <c r="AR105" i="21"/>
  <c r="AN83" i="21"/>
  <c r="BK83" i="21" s="1"/>
  <c r="BE83" i="21" s="1"/>
  <c r="AN72" i="21"/>
  <c r="AR94" i="21"/>
  <c r="BL94" i="21" s="1"/>
  <c r="BF94" i="21" s="1"/>
  <c r="AN82" i="21"/>
  <c r="AR77" i="21"/>
  <c r="AR87" i="21"/>
  <c r="AR80" i="21"/>
  <c r="AR88" i="21"/>
  <c r="AR79" i="21"/>
  <c r="AR73" i="21"/>
  <c r="AN108" i="21"/>
  <c r="AR104" i="21"/>
  <c r="AR100" i="21"/>
  <c r="AN96" i="21"/>
  <c r="AN92" i="21"/>
  <c r="AN51" i="21"/>
  <c r="AR60" i="21"/>
  <c r="AN64" i="21"/>
  <c r="AR69" i="21"/>
  <c r="AN86" i="21"/>
  <c r="BK86" i="21" s="1"/>
  <c r="BE86" i="21" s="1"/>
  <c r="AR97" i="21"/>
  <c r="AR102" i="21"/>
  <c r="BL102" i="21" s="1"/>
  <c r="BF102" i="21" s="1"/>
  <c r="AN89" i="21"/>
  <c r="BK89" i="21" s="1"/>
  <c r="BE89" i="21" s="1"/>
  <c r="AR78" i="21"/>
  <c r="AN71" i="21"/>
  <c r="AR107" i="21"/>
  <c r="AN103" i="21"/>
  <c r="AN99" i="21"/>
  <c r="AR95" i="21"/>
  <c r="AR91" i="21"/>
  <c r="AR61" i="21"/>
  <c r="AN65" i="21"/>
  <c r="AN75" i="21"/>
  <c r="BK75" i="21" s="1"/>
  <c r="BE75" i="21" s="1"/>
  <c r="AN85" i="21"/>
  <c r="AN50" i="21"/>
  <c r="AR43" i="21"/>
  <c r="AE78" i="21"/>
  <c r="AE28" i="21"/>
  <c r="AI27" i="21"/>
  <c r="AE84" i="21"/>
  <c r="AE108" i="21"/>
  <c r="AE104" i="21"/>
  <c r="AE100" i="21"/>
  <c r="AE96" i="21"/>
  <c r="AE92" i="21"/>
  <c r="AI10" i="21"/>
  <c r="R21" i="21"/>
  <c r="T21" i="21" s="1"/>
  <c r="BI21" i="21" s="1"/>
  <c r="AS21" i="21"/>
  <c r="AI33" i="21"/>
  <c r="AE33" i="21"/>
  <c r="AE46" i="21"/>
  <c r="AE59" i="21"/>
  <c r="AI13" i="21"/>
  <c r="AE13" i="21"/>
  <c r="AI19" i="21"/>
  <c r="AE19" i="21"/>
  <c r="AE29" i="21"/>
  <c r="AE45" i="21"/>
  <c r="AE38" i="21"/>
  <c r="AE61" i="21"/>
  <c r="AE65" i="21"/>
  <c r="AI22" i="21"/>
  <c r="AE80" i="21"/>
  <c r="AE88" i="21"/>
  <c r="AE32" i="21"/>
  <c r="AI18" i="21"/>
  <c r="AE12" i="21"/>
  <c r="AE16" i="21"/>
  <c r="AE56" i="21"/>
  <c r="AI31" i="21"/>
  <c r="AE60" i="21"/>
  <c r="AE64" i="21"/>
  <c r="AI17" i="21"/>
  <c r="AI23" i="21"/>
  <c r="AE52" i="21"/>
  <c r="AI30" i="21"/>
  <c r="AE26" i="21"/>
  <c r="AE43" i="21"/>
  <c r="AE57" i="21"/>
  <c r="AE82" i="21"/>
  <c r="AE90" i="21"/>
  <c r="AV102" i="21"/>
  <c r="BM102" i="21" s="1"/>
  <c r="R83" i="21"/>
  <c r="T83" i="21" s="1"/>
  <c r="BI83" i="21" s="1"/>
  <c r="AV57" i="21"/>
  <c r="BM57" i="21" s="1"/>
  <c r="AV61" i="21"/>
  <c r="BM61" i="21" s="1"/>
  <c r="R45" i="21"/>
  <c r="T45" i="21" s="1"/>
  <c r="BI45" i="21" s="1"/>
  <c r="T106" i="21"/>
  <c r="BI106" i="21" s="1"/>
  <c r="T109" i="21"/>
  <c r="AV97" i="21"/>
  <c r="BM97" i="21" s="1"/>
  <c r="T81" i="21"/>
  <c r="BI81" i="21" s="1"/>
  <c r="AV84" i="21"/>
  <c r="BM84" i="21" s="1"/>
  <c r="AV81" i="21"/>
  <c r="BM81" i="21" s="1"/>
  <c r="AV43" i="21"/>
  <c r="BM43" i="21" s="1"/>
  <c r="AV90" i="21"/>
  <c r="BM90" i="21" s="1"/>
  <c r="T101" i="21"/>
  <c r="AV72" i="21"/>
  <c r="BM72" i="21" s="1"/>
  <c r="AV106" i="21"/>
  <c r="BM106" i="21" s="1"/>
  <c r="AV89" i="21"/>
  <c r="BM89" i="21" s="1"/>
  <c r="AV82" i="21"/>
  <c r="BM82" i="21" s="1"/>
  <c r="AV107" i="21"/>
  <c r="BM107" i="21" s="1"/>
  <c r="R49" i="21"/>
  <c r="T49" i="21" s="1"/>
  <c r="BI49" i="21" s="1"/>
  <c r="AS49" i="21"/>
  <c r="R46" i="21"/>
  <c r="T46" i="21" s="1"/>
  <c r="BI46" i="21" s="1"/>
  <c r="AS46" i="21"/>
  <c r="R36" i="21"/>
  <c r="T36" i="21" s="1"/>
  <c r="BI36" i="21" s="1"/>
  <c r="AS36" i="21"/>
  <c r="R35" i="21"/>
  <c r="T35" i="21" s="1"/>
  <c r="BI35" i="21" s="1"/>
  <c r="AS35" i="21"/>
  <c r="R38" i="21"/>
  <c r="T38" i="21" s="1"/>
  <c r="BI38" i="21" s="1"/>
  <c r="AS38" i="21"/>
  <c r="R52" i="21"/>
  <c r="T52" i="21" s="1"/>
  <c r="BI52" i="21" s="1"/>
  <c r="AS52" i="21"/>
  <c r="R54" i="21"/>
  <c r="T54" i="21" s="1"/>
  <c r="BI54" i="21" s="1"/>
  <c r="AS54" i="21"/>
  <c r="R56" i="21"/>
  <c r="T56" i="21" s="1"/>
  <c r="BI56" i="21" s="1"/>
  <c r="AS56" i="21"/>
  <c r="R43" i="21"/>
  <c r="T43" i="21" s="1"/>
  <c r="AS43" i="21"/>
  <c r="R51" i="21"/>
  <c r="T51" i="21" s="1"/>
  <c r="BI51" i="21" s="1"/>
  <c r="AS51" i="21"/>
  <c r="R41" i="21"/>
  <c r="T41" i="21" s="1"/>
  <c r="BI41" i="21" s="1"/>
  <c r="AS41" i="21"/>
  <c r="R40" i="21"/>
  <c r="T40" i="21" s="1"/>
  <c r="BI40" i="21" s="1"/>
  <c r="AS40" i="21"/>
  <c r="R42" i="21"/>
  <c r="T42" i="21" s="1"/>
  <c r="BI42" i="21" s="1"/>
  <c r="AS42" i="21"/>
  <c r="AV83" i="21"/>
  <c r="BM83" i="21" s="1"/>
  <c r="AV94" i="21"/>
  <c r="BM94" i="21" s="1"/>
  <c r="R50" i="21"/>
  <c r="T50" i="21" s="1"/>
  <c r="BI50" i="21" s="1"/>
  <c r="AS50" i="21"/>
  <c r="AV105" i="21"/>
  <c r="BM105" i="21" s="1"/>
  <c r="R37" i="21"/>
  <c r="T37" i="21" s="1"/>
  <c r="AS37" i="21"/>
  <c r="R39" i="21"/>
  <c r="T39" i="21" s="1"/>
  <c r="AS39" i="21"/>
  <c r="R48" i="21"/>
  <c r="T48" i="21" s="1"/>
  <c r="BI48" i="21" s="1"/>
  <c r="AS48" i="21"/>
  <c r="AV99" i="21"/>
  <c r="BM99" i="21" s="1"/>
  <c r="AG41" i="21"/>
  <c r="AI41" i="21" s="1"/>
  <c r="AV41" i="21"/>
  <c r="BM41" i="21" s="1"/>
  <c r="AG71" i="21"/>
  <c r="AI71" i="21" s="1"/>
  <c r="AV71" i="21"/>
  <c r="BM71" i="21" s="1"/>
  <c r="AG95" i="21"/>
  <c r="AI95" i="21" s="1"/>
  <c r="AV95" i="21"/>
  <c r="BM95" i="21" s="1"/>
  <c r="R20" i="21"/>
  <c r="T20" i="21" s="1"/>
  <c r="AS20" i="21"/>
  <c r="AG38" i="21"/>
  <c r="AI38" i="21" s="1"/>
  <c r="AV38" i="21"/>
  <c r="BM38" i="21" s="1"/>
  <c r="AG65" i="21"/>
  <c r="AI65" i="21" s="1"/>
  <c r="AV65" i="21"/>
  <c r="BM65" i="21" s="1"/>
  <c r="BI67" i="21"/>
  <c r="AG88" i="21"/>
  <c r="AI88" i="21" s="1"/>
  <c r="AV88" i="21"/>
  <c r="BM88" i="21" s="1"/>
  <c r="AG100" i="21"/>
  <c r="AI100" i="21" s="1"/>
  <c r="AV100" i="21"/>
  <c r="BM100" i="21" s="1"/>
  <c r="AG51" i="21"/>
  <c r="AI51" i="21" s="1"/>
  <c r="AV51" i="21"/>
  <c r="BM51" i="21" s="1"/>
  <c r="R18" i="21"/>
  <c r="T18" i="21" s="1"/>
  <c r="AS18" i="21"/>
  <c r="AG60" i="21"/>
  <c r="AI60" i="21" s="1"/>
  <c r="AV60" i="21"/>
  <c r="BM60" i="21" s="1"/>
  <c r="AG75" i="21"/>
  <c r="AI75" i="21" s="1"/>
  <c r="AV75" i="21"/>
  <c r="BM75" i="21" s="1"/>
  <c r="R71" i="21"/>
  <c r="T71" i="21" s="1"/>
  <c r="AS71" i="21"/>
  <c r="R99" i="21"/>
  <c r="T99" i="21" s="1"/>
  <c r="AS99" i="21"/>
  <c r="R17" i="21"/>
  <c r="T17" i="21" s="1"/>
  <c r="AS17" i="21"/>
  <c r="AK17" i="21"/>
  <c r="AN17" i="21" s="1"/>
  <c r="AV17" i="21"/>
  <c r="BM17" i="21" s="1"/>
  <c r="R108" i="21"/>
  <c r="T108" i="21" s="1"/>
  <c r="AS108" i="21"/>
  <c r="R92" i="21"/>
  <c r="T92" i="21" s="1"/>
  <c r="AS92" i="21"/>
  <c r="AK32" i="21"/>
  <c r="AN32" i="21" s="1"/>
  <c r="AV32" i="21"/>
  <c r="BM32" i="21" s="1"/>
  <c r="R32" i="21"/>
  <c r="T32" i="21" s="1"/>
  <c r="AS32" i="21"/>
  <c r="R10" i="21"/>
  <c r="T10" i="21" s="1"/>
  <c r="AS10" i="21"/>
  <c r="AK10" i="21"/>
  <c r="AN10" i="21" s="1"/>
  <c r="AV10" i="21"/>
  <c r="BM10" i="21" s="1"/>
  <c r="R34" i="21"/>
  <c r="T34" i="21" s="1"/>
  <c r="AS34" i="21"/>
  <c r="AK34" i="21"/>
  <c r="AN34" i="21" s="1"/>
  <c r="AV34" i="21"/>
  <c r="BM34" i="21" s="1"/>
  <c r="AG37" i="21"/>
  <c r="AI37" i="21" s="1"/>
  <c r="AV37" i="21"/>
  <c r="BM37" i="21" s="1"/>
  <c r="AG52" i="21"/>
  <c r="AI52" i="21" s="1"/>
  <c r="AV52" i="21"/>
  <c r="BM52" i="21" s="1"/>
  <c r="AG39" i="21"/>
  <c r="AI39" i="21" s="1"/>
  <c r="AV39" i="21"/>
  <c r="BM39" i="21" s="1"/>
  <c r="AG54" i="21"/>
  <c r="AI54" i="21" s="1"/>
  <c r="AV54" i="21"/>
  <c r="BM54" i="21" s="1"/>
  <c r="AG80" i="21"/>
  <c r="AI80" i="21" s="1"/>
  <c r="AV80" i="21"/>
  <c r="BM80" i="21" s="1"/>
  <c r="BI66" i="21"/>
  <c r="R95" i="21"/>
  <c r="T95" i="21" s="1"/>
  <c r="AS95" i="21"/>
  <c r="AK19" i="21"/>
  <c r="AN19" i="21" s="1"/>
  <c r="AV19" i="21"/>
  <c r="BM19" i="21" s="1"/>
  <c r="R19" i="21"/>
  <c r="T19" i="21" s="1"/>
  <c r="AS19" i="21"/>
  <c r="R23" i="21"/>
  <c r="T23" i="21" s="1"/>
  <c r="AS23" i="21"/>
  <c r="AK23" i="21"/>
  <c r="AV23" i="21"/>
  <c r="BM23" i="21" s="1"/>
  <c r="R65" i="21"/>
  <c r="T65" i="21" s="1"/>
  <c r="AS65" i="21"/>
  <c r="R77" i="21"/>
  <c r="T77" i="21" s="1"/>
  <c r="AS77" i="21"/>
  <c r="R80" i="21"/>
  <c r="T80" i="21" s="1"/>
  <c r="AS80" i="21"/>
  <c r="R79" i="21"/>
  <c r="T79" i="21" s="1"/>
  <c r="AS79" i="21"/>
  <c r="R104" i="21"/>
  <c r="T104" i="21" s="1"/>
  <c r="AS104" i="21"/>
  <c r="AK12" i="21"/>
  <c r="AN12" i="21" s="1"/>
  <c r="AV12" i="21"/>
  <c r="BM12" i="21" s="1"/>
  <c r="R12" i="21"/>
  <c r="T12" i="21" s="1"/>
  <c r="AS12" i="21"/>
  <c r="AK31" i="21"/>
  <c r="AN31" i="21" s="1"/>
  <c r="AV31" i="21"/>
  <c r="BM31" i="21" s="1"/>
  <c r="R31" i="21"/>
  <c r="T31" i="21" s="1"/>
  <c r="AS31" i="21"/>
  <c r="AG103" i="21"/>
  <c r="AI103" i="21" s="1"/>
  <c r="AV103" i="21"/>
  <c r="BM103" i="21" s="1"/>
  <c r="AG77" i="21"/>
  <c r="AI77" i="21" s="1"/>
  <c r="AV77" i="21"/>
  <c r="BM77" i="21" s="1"/>
  <c r="AG49" i="21"/>
  <c r="AI49" i="21" s="1"/>
  <c r="AV49" i="21"/>
  <c r="BM49" i="21" s="1"/>
  <c r="AG73" i="21"/>
  <c r="AI73" i="21" s="1"/>
  <c r="AV73" i="21"/>
  <c r="BM73" i="21" s="1"/>
  <c r="AG108" i="21"/>
  <c r="AI108" i="21" s="1"/>
  <c r="AV108" i="21"/>
  <c r="BM108" i="21" s="1"/>
  <c r="AG92" i="21"/>
  <c r="AI92" i="21" s="1"/>
  <c r="AV92" i="21"/>
  <c r="BM92" i="21" s="1"/>
  <c r="R25" i="21"/>
  <c r="T25" i="21" s="1"/>
  <c r="AS25" i="21"/>
  <c r="AG69" i="21"/>
  <c r="AI69" i="21" s="1"/>
  <c r="AV69" i="21"/>
  <c r="BM69" i="21" s="1"/>
  <c r="AG50" i="21"/>
  <c r="AI50" i="21" s="1"/>
  <c r="AV50" i="21"/>
  <c r="BM50" i="21" s="1"/>
  <c r="R107" i="21"/>
  <c r="T107" i="21" s="1"/>
  <c r="AS107" i="21"/>
  <c r="R91" i="21"/>
  <c r="T91" i="21" s="1"/>
  <c r="AS91" i="21"/>
  <c r="R61" i="21"/>
  <c r="T61" i="21" s="1"/>
  <c r="AS61" i="21"/>
  <c r="R87" i="21"/>
  <c r="T87" i="21" s="1"/>
  <c r="AS87" i="21"/>
  <c r="AK27" i="21"/>
  <c r="AN27" i="21" s="1"/>
  <c r="AV27" i="21"/>
  <c r="BM27" i="21" s="1"/>
  <c r="R27" i="21"/>
  <c r="T27" i="21" s="1"/>
  <c r="AS27" i="21"/>
  <c r="R88" i="21"/>
  <c r="T88" i="21" s="1"/>
  <c r="AS88" i="21"/>
  <c r="R73" i="21"/>
  <c r="T73" i="21" s="1"/>
  <c r="AS73" i="21"/>
  <c r="R100" i="21"/>
  <c r="T100" i="21" s="1"/>
  <c r="AS100" i="21"/>
  <c r="R64" i="21"/>
  <c r="T64" i="21" s="1"/>
  <c r="AS64" i="21"/>
  <c r="R85" i="21"/>
  <c r="T85" i="21" s="1"/>
  <c r="AS85" i="21"/>
  <c r="AG78" i="21"/>
  <c r="AI78" i="21" s="1"/>
  <c r="AV78" i="21"/>
  <c r="BM78" i="21" s="1"/>
  <c r="R29" i="21"/>
  <c r="T29" i="21" s="1"/>
  <c r="AS29" i="21"/>
  <c r="R28" i="21"/>
  <c r="T28" i="21" s="1"/>
  <c r="AS28" i="21"/>
  <c r="AG79" i="21"/>
  <c r="AI79" i="21" s="1"/>
  <c r="AV79" i="21"/>
  <c r="BM79" i="21" s="1"/>
  <c r="AG104" i="21"/>
  <c r="AI104" i="21" s="1"/>
  <c r="AV104" i="21"/>
  <c r="BM104" i="21" s="1"/>
  <c r="AG96" i="21"/>
  <c r="AI96" i="21" s="1"/>
  <c r="AV96" i="21"/>
  <c r="BM96" i="21" s="1"/>
  <c r="AG48" i="21"/>
  <c r="AI48" i="21" s="1"/>
  <c r="AV48" i="21"/>
  <c r="BM48" i="21" s="1"/>
  <c r="R26" i="21"/>
  <c r="T26" i="21" s="1"/>
  <c r="AS26" i="21"/>
  <c r="AG40" i="21"/>
  <c r="AI40" i="21" s="1"/>
  <c r="AV40" i="21"/>
  <c r="BM40" i="21" s="1"/>
  <c r="AG86" i="21"/>
  <c r="AI86" i="21" s="1"/>
  <c r="AV86" i="21"/>
  <c r="BM86" i="21" s="1"/>
  <c r="R78" i="21"/>
  <c r="T78" i="21" s="1"/>
  <c r="AS78" i="21"/>
  <c r="R103" i="21"/>
  <c r="T103" i="21" s="1"/>
  <c r="AS103" i="21"/>
  <c r="AK13" i="21"/>
  <c r="AN13" i="21" s="1"/>
  <c r="AV13" i="21"/>
  <c r="BM13" i="21" s="1"/>
  <c r="R13" i="21"/>
  <c r="T13" i="21" s="1"/>
  <c r="AS13" i="21"/>
  <c r="AG36" i="21"/>
  <c r="AI36" i="21" s="1"/>
  <c r="AV36" i="21"/>
  <c r="BM36" i="21" s="1"/>
  <c r="R96" i="21"/>
  <c r="T96" i="21" s="1"/>
  <c r="AS96" i="21"/>
  <c r="AK16" i="21"/>
  <c r="AN16" i="21" s="1"/>
  <c r="AV16" i="21"/>
  <c r="BM16" i="21" s="1"/>
  <c r="R16" i="21"/>
  <c r="T16" i="21" s="1"/>
  <c r="AS16" i="21"/>
  <c r="R33" i="21"/>
  <c r="T33" i="21" s="1"/>
  <c r="AS33" i="21"/>
  <c r="AK33" i="21"/>
  <c r="AN33" i="21" s="1"/>
  <c r="AV33" i="21"/>
  <c r="BM33" i="21" s="1"/>
  <c r="R60" i="21"/>
  <c r="T60" i="21" s="1"/>
  <c r="AS60" i="21"/>
  <c r="R69" i="21"/>
  <c r="T69" i="21" s="1"/>
  <c r="AS69" i="21"/>
  <c r="R75" i="21"/>
  <c r="T75" i="21" s="1"/>
  <c r="AS75" i="21"/>
  <c r="R86" i="21"/>
  <c r="T86" i="21" s="1"/>
  <c r="AS86" i="21"/>
  <c r="AV46" i="21"/>
  <c r="BM46" i="21" s="1"/>
  <c r="AV35" i="21"/>
  <c r="BM35" i="21" s="1"/>
  <c r="AV42" i="21"/>
  <c r="BM42" i="21" s="1"/>
  <c r="BB143" i="20"/>
  <c r="BD143" i="20" s="1"/>
  <c r="BH143" i="20" s="1"/>
  <c r="BI143" i="20"/>
  <c r="BK193" i="20"/>
  <c r="BJ193" i="20"/>
  <c r="BB193" i="20"/>
  <c r="BD193" i="20" s="1"/>
  <c r="BH193" i="20" s="1"/>
  <c r="BK171" i="20"/>
  <c r="BJ171" i="20"/>
  <c r="AO57" i="20"/>
  <c r="AP57" i="20" s="1"/>
  <c r="AG199" i="20"/>
  <c r="AI199" i="20" s="1"/>
  <c r="AV199" i="20"/>
  <c r="BL199" i="20" s="1"/>
  <c r="R199" i="20"/>
  <c r="T199" i="20" s="1"/>
  <c r="AS199" i="20"/>
  <c r="AG115" i="20"/>
  <c r="AI115" i="20" s="1"/>
  <c r="AV115" i="20"/>
  <c r="BL115" i="20" s="1"/>
  <c r="R166" i="20"/>
  <c r="T166" i="20" s="1"/>
  <c r="AS166" i="20"/>
  <c r="R182" i="20"/>
  <c r="T182" i="20" s="1"/>
  <c r="AS182" i="20"/>
  <c r="AG182" i="20"/>
  <c r="AI182" i="20" s="1"/>
  <c r="AV182" i="20"/>
  <c r="BL182" i="20" s="1"/>
  <c r="R180" i="20"/>
  <c r="T180" i="20" s="1"/>
  <c r="AS180" i="20"/>
  <c r="AG180" i="20"/>
  <c r="AI180" i="20" s="1"/>
  <c r="AV180" i="20"/>
  <c r="BL180" i="20" s="1"/>
  <c r="R164" i="20"/>
  <c r="T164" i="20" s="1"/>
  <c r="AS164" i="20"/>
  <c r="AG124" i="20"/>
  <c r="AI124" i="20" s="1"/>
  <c r="AV124" i="20"/>
  <c r="BL124" i="20" s="1"/>
  <c r="R124" i="20"/>
  <c r="T124" i="20" s="1"/>
  <c r="AS124" i="20"/>
  <c r="BI204" i="20"/>
  <c r="AG145" i="20"/>
  <c r="AI145" i="20" s="1"/>
  <c r="AV145" i="20"/>
  <c r="BL145" i="20" s="1"/>
  <c r="R145" i="20"/>
  <c r="T145" i="20" s="1"/>
  <c r="AS145" i="20"/>
  <c r="AG129" i="20"/>
  <c r="AI129" i="20" s="1"/>
  <c r="AV129" i="20"/>
  <c r="BL129" i="20" s="1"/>
  <c r="R121" i="20"/>
  <c r="T121" i="20" s="1"/>
  <c r="AS121" i="20"/>
  <c r="AG121" i="20"/>
  <c r="AI121" i="20" s="1"/>
  <c r="BF121" i="20" s="1"/>
  <c r="AV121" i="20"/>
  <c r="BL121" i="20" s="1"/>
  <c r="AG170" i="20"/>
  <c r="AI170" i="20" s="1"/>
  <c r="AV170" i="20"/>
  <c r="BL170" i="20" s="1"/>
  <c r="AG154" i="20"/>
  <c r="AI154" i="20" s="1"/>
  <c r="AV154" i="20"/>
  <c r="BL154" i="20" s="1"/>
  <c r="R138" i="20"/>
  <c r="T138" i="20" s="1"/>
  <c r="AS138" i="20"/>
  <c r="AG138" i="20"/>
  <c r="AI138" i="20" s="1"/>
  <c r="AV138" i="20"/>
  <c r="BL138" i="20" s="1"/>
  <c r="R114" i="20"/>
  <c r="T114" i="20" s="1"/>
  <c r="AS114" i="20"/>
  <c r="R175" i="20"/>
  <c r="T175" i="20" s="1"/>
  <c r="AS175" i="20"/>
  <c r="AG135" i="20"/>
  <c r="AI135" i="20" s="1"/>
  <c r="AV135" i="20"/>
  <c r="BL135" i="20" s="1"/>
  <c r="R135" i="20"/>
  <c r="T135" i="20" s="1"/>
  <c r="AS135" i="20"/>
  <c r="R111" i="20"/>
  <c r="T111" i="20" s="1"/>
  <c r="AS111" i="20"/>
  <c r="AG111" i="20"/>
  <c r="AI111" i="20" s="1"/>
  <c r="AV111" i="20"/>
  <c r="BL111" i="20" s="1"/>
  <c r="AG160" i="20"/>
  <c r="AI160" i="20" s="1"/>
  <c r="AV160" i="20"/>
  <c r="BL160" i="20" s="1"/>
  <c r="R160" i="20"/>
  <c r="T160" i="20" s="1"/>
  <c r="AS160" i="20"/>
  <c r="AG153" i="20"/>
  <c r="AI153" i="20" s="1"/>
  <c r="AV153" i="20"/>
  <c r="BL153" i="20" s="1"/>
  <c r="AG190" i="20"/>
  <c r="AI190" i="20" s="1"/>
  <c r="AV190" i="20"/>
  <c r="BL190" i="20" s="1"/>
  <c r="R190" i="20"/>
  <c r="T190" i="20" s="1"/>
  <c r="AS190" i="20"/>
  <c r="R169" i="20"/>
  <c r="T169" i="20" s="1"/>
  <c r="AS169" i="20"/>
  <c r="BK181" i="20"/>
  <c r="R195" i="20"/>
  <c r="T195" i="20" s="1"/>
  <c r="AS195" i="20"/>
  <c r="AG192" i="20"/>
  <c r="AI192" i="20" s="1"/>
  <c r="AV192" i="20"/>
  <c r="BL192" i="20" s="1"/>
  <c r="R144" i="20"/>
  <c r="T144" i="20" s="1"/>
  <c r="AS144" i="20"/>
  <c r="AG128" i="20"/>
  <c r="AI128" i="20" s="1"/>
  <c r="AV128" i="20"/>
  <c r="BL128" i="20" s="1"/>
  <c r="AG207" i="20"/>
  <c r="AI207" i="20" s="1"/>
  <c r="BF207" i="20" s="1"/>
  <c r="AV207" i="20"/>
  <c r="BL207" i="20" s="1"/>
  <c r="AG205" i="20"/>
  <c r="AI205" i="20" s="1"/>
  <c r="BF205" i="20" s="1"/>
  <c r="AV205" i="20"/>
  <c r="BL205" i="20" s="1"/>
  <c r="R205" i="20"/>
  <c r="T205" i="20" s="1"/>
  <c r="AS205" i="20"/>
  <c r="AG197" i="20"/>
  <c r="AI197" i="20" s="1"/>
  <c r="BF197" i="20" s="1"/>
  <c r="AV197" i="20"/>
  <c r="BL197" i="20" s="1"/>
  <c r="AG147" i="20"/>
  <c r="AI147" i="20" s="1"/>
  <c r="BF147" i="20" s="1"/>
  <c r="AV147" i="20"/>
  <c r="BL147" i="20" s="1"/>
  <c r="AG131" i="20"/>
  <c r="AI131" i="20" s="1"/>
  <c r="AV131" i="20"/>
  <c r="BL131" i="20" s="1"/>
  <c r="R123" i="20"/>
  <c r="T123" i="20" s="1"/>
  <c r="AS123" i="20"/>
  <c r="R201" i="20"/>
  <c r="T201" i="20" s="1"/>
  <c r="AS201" i="20"/>
  <c r="R127" i="20"/>
  <c r="T127" i="20" s="1"/>
  <c r="AS127" i="20"/>
  <c r="AG127" i="20"/>
  <c r="AI127" i="20" s="1"/>
  <c r="BF127" i="20" s="1"/>
  <c r="AV127" i="20"/>
  <c r="BL127" i="20" s="1"/>
  <c r="R120" i="20"/>
  <c r="T120" i="20" s="1"/>
  <c r="AS120" i="20"/>
  <c r="AG137" i="20"/>
  <c r="AI137" i="20" s="1"/>
  <c r="AV137" i="20"/>
  <c r="BL137" i="20" s="1"/>
  <c r="R137" i="20"/>
  <c r="T137" i="20" s="1"/>
  <c r="AS137" i="20"/>
  <c r="R162" i="20"/>
  <c r="T162" i="20" s="1"/>
  <c r="AS162" i="20"/>
  <c r="R130" i="20"/>
  <c r="T130" i="20" s="1"/>
  <c r="AS130" i="20"/>
  <c r="R122" i="20"/>
  <c r="T122" i="20" s="1"/>
  <c r="AS122" i="20"/>
  <c r="AG122" i="20"/>
  <c r="AI122" i="20" s="1"/>
  <c r="AV122" i="20"/>
  <c r="BL122" i="20" s="1"/>
  <c r="R194" i="20"/>
  <c r="T194" i="20" s="1"/>
  <c r="AS194" i="20"/>
  <c r="AG186" i="20"/>
  <c r="AI186" i="20" s="1"/>
  <c r="AV186" i="20"/>
  <c r="BL186" i="20" s="1"/>
  <c r="AG177" i="20"/>
  <c r="AI177" i="20" s="1"/>
  <c r="AV177" i="20"/>
  <c r="BL177" i="20" s="1"/>
  <c r="R200" i="20"/>
  <c r="T200" i="20" s="1"/>
  <c r="AS200" i="20"/>
  <c r="R209" i="20"/>
  <c r="T209" i="20" s="1"/>
  <c r="AS209" i="20"/>
  <c r="R119" i="20"/>
  <c r="T119" i="20" s="1"/>
  <c r="AS119" i="20"/>
  <c r="AG149" i="20"/>
  <c r="AI149" i="20" s="1"/>
  <c r="AV149" i="20"/>
  <c r="BL149" i="20" s="1"/>
  <c r="R126" i="20"/>
  <c r="T126" i="20" s="1"/>
  <c r="AS126" i="20"/>
  <c r="R110" i="20"/>
  <c r="T110" i="20" s="1"/>
  <c r="AS110" i="20"/>
  <c r="AG184" i="20"/>
  <c r="AI184" i="20" s="1"/>
  <c r="AV184" i="20"/>
  <c r="BL184" i="20" s="1"/>
  <c r="R187" i="20"/>
  <c r="T187" i="20" s="1"/>
  <c r="AS187" i="20"/>
  <c r="AG187" i="20"/>
  <c r="AI187" i="20" s="1"/>
  <c r="BF187" i="20" s="1"/>
  <c r="AV187" i="20"/>
  <c r="BL187" i="20" s="1"/>
  <c r="R165" i="20"/>
  <c r="T165" i="20" s="1"/>
  <c r="AS165" i="20"/>
  <c r="BK155" i="20"/>
  <c r="AG140" i="20"/>
  <c r="AI140" i="20" s="1"/>
  <c r="BF140" i="20" s="1"/>
  <c r="AV140" i="20"/>
  <c r="BL140" i="20" s="1"/>
  <c r="R157" i="20"/>
  <c r="T157" i="20" s="1"/>
  <c r="AS157" i="20"/>
  <c r="AG141" i="20"/>
  <c r="AI141" i="20" s="1"/>
  <c r="AV141" i="20"/>
  <c r="BL141" i="20" s="1"/>
  <c r="AG168" i="20"/>
  <c r="AI168" i="20" s="1"/>
  <c r="BF168" i="20" s="1"/>
  <c r="AV168" i="20"/>
  <c r="BL168" i="20" s="1"/>
  <c r="AG163" i="20"/>
  <c r="AI163" i="20" s="1"/>
  <c r="BF163" i="20" s="1"/>
  <c r="AV163" i="20"/>
  <c r="BL163" i="20" s="1"/>
  <c r="BJ155" i="20"/>
  <c r="R188" i="20"/>
  <c r="T188" i="20" s="1"/>
  <c r="AS188" i="20"/>
  <c r="R115" i="20"/>
  <c r="T115" i="20" s="1"/>
  <c r="AS115" i="20"/>
  <c r="R117" i="20"/>
  <c r="T117" i="20" s="1"/>
  <c r="AS117" i="20"/>
  <c r="R150" i="20"/>
  <c r="T150" i="20" s="1"/>
  <c r="AS150" i="20"/>
  <c r="R134" i="20"/>
  <c r="T134" i="20" s="1"/>
  <c r="AS134" i="20"/>
  <c r="R161" i="20"/>
  <c r="T161" i="20" s="1"/>
  <c r="AS161" i="20"/>
  <c r="R208" i="20"/>
  <c r="T208" i="20" s="1"/>
  <c r="AS208" i="20"/>
  <c r="AG164" i="20"/>
  <c r="AI164" i="20" s="1"/>
  <c r="AV164" i="20"/>
  <c r="BL164" i="20" s="1"/>
  <c r="R185" i="20"/>
  <c r="T185" i="20" s="1"/>
  <c r="AS185" i="20"/>
  <c r="AG189" i="20"/>
  <c r="AI189" i="20" s="1"/>
  <c r="BF189" i="20" s="1"/>
  <c r="AV189" i="20"/>
  <c r="BL189" i="20" s="1"/>
  <c r="R189" i="20"/>
  <c r="T189" i="20" s="1"/>
  <c r="AS189" i="20"/>
  <c r="R158" i="20"/>
  <c r="T158" i="20" s="1"/>
  <c r="AS158" i="20"/>
  <c r="R142" i="20"/>
  <c r="T142" i="20" s="1"/>
  <c r="AS142" i="20"/>
  <c r="R112" i="20"/>
  <c r="T112" i="20" s="1"/>
  <c r="AS112" i="20"/>
  <c r="AG112" i="20"/>
  <c r="AI112" i="20" s="1"/>
  <c r="AV112" i="20"/>
  <c r="BL112" i="20" s="1"/>
  <c r="R129" i="20"/>
  <c r="T129" i="20" s="1"/>
  <c r="AS129" i="20"/>
  <c r="R170" i="20"/>
  <c r="T170" i="20" s="1"/>
  <c r="AS170" i="20"/>
  <c r="R154" i="20"/>
  <c r="T154" i="20" s="1"/>
  <c r="AS154" i="20"/>
  <c r="AG114" i="20"/>
  <c r="AI114" i="20" s="1"/>
  <c r="AV114" i="20"/>
  <c r="BL114" i="20" s="1"/>
  <c r="AG175" i="20"/>
  <c r="AI175" i="20" s="1"/>
  <c r="BF175" i="20" s="1"/>
  <c r="AV175" i="20"/>
  <c r="BL175" i="20" s="1"/>
  <c r="R153" i="20"/>
  <c r="T153" i="20" s="1"/>
  <c r="AS153" i="20"/>
  <c r="AG169" i="20"/>
  <c r="AI169" i="20" s="1"/>
  <c r="BF169" i="20" s="1"/>
  <c r="AV169" i="20"/>
  <c r="BL169" i="20" s="1"/>
  <c r="AG195" i="20"/>
  <c r="AI195" i="20" s="1"/>
  <c r="AV195" i="20"/>
  <c r="BL195" i="20" s="1"/>
  <c r="R192" i="20"/>
  <c r="T192" i="20" s="1"/>
  <c r="AS192" i="20"/>
  <c r="R168" i="20"/>
  <c r="T168" i="20" s="1"/>
  <c r="AS168" i="20"/>
  <c r="AG144" i="20"/>
  <c r="AI144" i="20" s="1"/>
  <c r="AV144" i="20"/>
  <c r="BL144" i="20" s="1"/>
  <c r="R128" i="20"/>
  <c r="T128" i="20" s="1"/>
  <c r="AS128" i="20"/>
  <c r="BI171" i="20"/>
  <c r="BB171" i="20"/>
  <c r="BD171" i="20" s="1"/>
  <c r="BH171" i="20" s="1"/>
  <c r="R203" i="20"/>
  <c r="T203" i="20" s="1"/>
  <c r="AS203" i="20"/>
  <c r="R207" i="20"/>
  <c r="T207" i="20" s="1"/>
  <c r="AS207" i="20"/>
  <c r="R197" i="20"/>
  <c r="T197" i="20" s="1"/>
  <c r="AS197" i="20"/>
  <c r="R147" i="20"/>
  <c r="T147" i="20" s="1"/>
  <c r="AS147" i="20"/>
  <c r="R131" i="20"/>
  <c r="T131" i="20" s="1"/>
  <c r="AS131" i="20"/>
  <c r="AG123" i="20"/>
  <c r="AI123" i="20" s="1"/>
  <c r="AV123" i="20"/>
  <c r="BL123" i="20" s="1"/>
  <c r="R148" i="20"/>
  <c r="T148" i="20" s="1"/>
  <c r="AS148" i="20"/>
  <c r="AG148" i="20"/>
  <c r="AV148" i="20"/>
  <c r="BL148" i="20" s="1"/>
  <c r="R136" i="20"/>
  <c r="T136" i="20" s="1"/>
  <c r="AS136" i="20"/>
  <c r="R178" i="20"/>
  <c r="T178" i="20" s="1"/>
  <c r="AS178" i="20"/>
  <c r="R146" i="20"/>
  <c r="T146" i="20" s="1"/>
  <c r="AS146" i="20"/>
  <c r="R198" i="20"/>
  <c r="T198" i="20" s="1"/>
  <c r="AS198" i="20"/>
  <c r="AG132" i="20"/>
  <c r="AV132" i="20"/>
  <c r="BL132" i="20" s="1"/>
  <c r="R132" i="20"/>
  <c r="T132" i="20" s="1"/>
  <c r="AS132" i="20"/>
  <c r="R186" i="20"/>
  <c r="T186" i="20" s="1"/>
  <c r="AS186" i="20"/>
  <c r="R177" i="20"/>
  <c r="T177" i="20" s="1"/>
  <c r="AS177" i="20"/>
  <c r="AG209" i="20"/>
  <c r="AI209" i="20" s="1"/>
  <c r="BF209" i="20" s="1"/>
  <c r="AV209" i="20"/>
  <c r="BL209" i="20" s="1"/>
  <c r="R149" i="20"/>
  <c r="T149" i="20" s="1"/>
  <c r="AS149" i="20"/>
  <c r="R133" i="20"/>
  <c r="T133" i="20" s="1"/>
  <c r="AS133" i="20"/>
  <c r="AG133" i="20"/>
  <c r="AI133" i="20" s="1"/>
  <c r="BF133" i="20" s="1"/>
  <c r="AV133" i="20"/>
  <c r="BL133" i="20" s="1"/>
  <c r="R125" i="20"/>
  <c r="T125" i="20" s="1"/>
  <c r="AS125" i="20"/>
  <c r="AG125" i="20"/>
  <c r="AI125" i="20" s="1"/>
  <c r="AV125" i="20"/>
  <c r="BL125" i="20" s="1"/>
  <c r="AG126" i="20"/>
  <c r="AI126" i="20" s="1"/>
  <c r="BF126" i="20" s="1"/>
  <c r="AV126" i="20"/>
  <c r="BL126" i="20" s="1"/>
  <c r="AG110" i="20"/>
  <c r="AI110" i="20" s="1"/>
  <c r="BF110" i="20" s="1"/>
  <c r="AV110" i="20"/>
  <c r="BL110" i="20" s="1"/>
  <c r="R184" i="20"/>
  <c r="T184" i="20" s="1"/>
  <c r="AS184" i="20"/>
  <c r="R176" i="20"/>
  <c r="T176" i="20" s="1"/>
  <c r="AS176" i="20"/>
  <c r="R113" i="20"/>
  <c r="T113" i="20" s="1"/>
  <c r="AS113" i="20"/>
  <c r="AG113" i="20"/>
  <c r="AI113" i="20" s="1"/>
  <c r="AV113" i="20"/>
  <c r="BL113" i="20" s="1"/>
  <c r="R140" i="20"/>
  <c r="T140" i="20" s="1"/>
  <c r="AS140" i="20"/>
  <c r="AG157" i="20"/>
  <c r="AI157" i="20" s="1"/>
  <c r="AV157" i="20"/>
  <c r="BL157" i="20" s="1"/>
  <c r="R141" i="20"/>
  <c r="T141" i="20" s="1"/>
  <c r="AS141" i="20"/>
  <c r="AG174" i="20"/>
  <c r="AI174" i="20" s="1"/>
  <c r="BF174" i="20" s="1"/>
  <c r="AV174" i="20"/>
  <c r="BL174" i="20" s="1"/>
  <c r="R174" i="20"/>
  <c r="T174" i="20" s="1"/>
  <c r="AS174" i="20"/>
  <c r="AG202" i="20"/>
  <c r="AI202" i="20" s="1"/>
  <c r="AV202" i="20"/>
  <c r="BL202" i="20" s="1"/>
  <c r="R202" i="20"/>
  <c r="T202" i="20" s="1"/>
  <c r="AS202" i="20"/>
  <c r="R163" i="20"/>
  <c r="T163" i="20" s="1"/>
  <c r="AS163" i="20"/>
  <c r="BB155" i="20"/>
  <c r="BD155" i="20" s="1"/>
  <c r="BH155" i="20" s="1"/>
  <c r="AV84" i="20"/>
  <c r="BL84" i="20" s="1"/>
  <c r="AV40" i="20"/>
  <c r="BL40" i="20" s="1"/>
  <c r="AO85" i="20"/>
  <c r="AP85" i="20" s="1"/>
  <c r="Q85" i="20"/>
  <c r="AS85" i="20" s="1"/>
  <c r="S85" i="20"/>
  <c r="X85" i="20"/>
  <c r="Y85" i="20" s="1"/>
  <c r="Z85" i="20" s="1"/>
  <c r="AD85" i="20"/>
  <c r="U85" i="20"/>
  <c r="V85" i="20" s="1"/>
  <c r="W85" i="20" s="1"/>
  <c r="AO66" i="20"/>
  <c r="AP66" i="20" s="1"/>
  <c r="AJ66" i="20"/>
  <c r="AK66" i="20" s="1"/>
  <c r="AN66" i="20" s="1"/>
  <c r="Q66" i="20"/>
  <c r="AS66" i="20" s="1"/>
  <c r="U66" i="20"/>
  <c r="V66" i="20" s="1"/>
  <c r="W66" i="20" s="1"/>
  <c r="AH66" i="20"/>
  <c r="AD66" i="20"/>
  <c r="AH85" i="20"/>
  <c r="X66" i="20"/>
  <c r="Y66" i="20" s="1"/>
  <c r="Z66" i="20" s="1"/>
  <c r="AA85" i="20"/>
  <c r="AB85" i="20" s="1"/>
  <c r="AQ69" i="20"/>
  <c r="AO69" i="20"/>
  <c r="AP69" i="20" s="1"/>
  <c r="Q69" i="20"/>
  <c r="AD69" i="20"/>
  <c r="AO90" i="20"/>
  <c r="AP90" i="20" s="1"/>
  <c r="AR90" i="20" s="1"/>
  <c r="Q90" i="20"/>
  <c r="AA90" i="20"/>
  <c r="AB90" i="20" s="1"/>
  <c r="AD90" i="20"/>
  <c r="X90" i="20"/>
  <c r="Y90" i="20" s="1"/>
  <c r="Z90" i="20" s="1"/>
  <c r="AH90" i="20"/>
  <c r="AQ74" i="20"/>
  <c r="Q74" i="20"/>
  <c r="AA74" i="20"/>
  <c r="AB74" i="20" s="1"/>
  <c r="U74" i="20"/>
  <c r="V74" i="20" s="1"/>
  <c r="W74" i="20" s="1"/>
  <c r="S74" i="20"/>
  <c r="AH74" i="20"/>
  <c r="AM50" i="20"/>
  <c r="AJ50" i="20"/>
  <c r="AK50" i="20" s="1"/>
  <c r="AA50" i="20"/>
  <c r="AB50" i="20" s="1"/>
  <c r="AF50" i="20"/>
  <c r="U50" i="20"/>
  <c r="V50" i="20" s="1"/>
  <c r="W50" i="20" s="1"/>
  <c r="AM38" i="20"/>
  <c r="AJ38" i="20"/>
  <c r="AK38" i="20" s="1"/>
  <c r="AQ81" i="20"/>
  <c r="AO81" i="20"/>
  <c r="AP81" i="20" s="1"/>
  <c r="AF81" i="20"/>
  <c r="AG81" i="20" s="1"/>
  <c r="X81" i="20"/>
  <c r="Y81" i="20" s="1"/>
  <c r="Z81" i="20" s="1"/>
  <c r="AQ65" i="20"/>
  <c r="AF65" i="20"/>
  <c r="X65" i="20"/>
  <c r="Y65" i="20" s="1"/>
  <c r="Z65" i="20" s="1"/>
  <c r="AQ70" i="20"/>
  <c r="AO70" i="20"/>
  <c r="AP70" i="20" s="1"/>
  <c r="AF70" i="20"/>
  <c r="AG70" i="20" s="1"/>
  <c r="AA70" i="20"/>
  <c r="AB70" i="20" s="1"/>
  <c r="S70" i="20"/>
  <c r="AH70" i="20"/>
  <c r="AO45" i="20"/>
  <c r="AP45" i="20" s="1"/>
  <c r="AA45" i="20"/>
  <c r="AB45" i="20" s="1"/>
  <c r="S45" i="20"/>
  <c r="AM54" i="20"/>
  <c r="AO54" i="20"/>
  <c r="AP54" i="20" s="1"/>
  <c r="AR54" i="20" s="1"/>
  <c r="AJ54" i="20"/>
  <c r="AK54" i="20" s="1"/>
  <c r="AF54" i="20"/>
  <c r="AG54" i="20" s="1"/>
  <c r="AA54" i="20"/>
  <c r="AB54" i="20" s="1"/>
  <c r="U54" i="20"/>
  <c r="V54" i="20" s="1"/>
  <c r="W54" i="20" s="1"/>
  <c r="X54" i="20"/>
  <c r="Y54" i="20" s="1"/>
  <c r="Z54" i="20" s="1"/>
  <c r="S54" i="20"/>
  <c r="AH65" i="20"/>
  <c r="S65" i="20"/>
  <c r="AD65" i="20"/>
  <c r="S34" i="20"/>
  <c r="AQ34" i="20"/>
  <c r="U34" i="20"/>
  <c r="V34" i="20" s="1"/>
  <c r="W34" i="20" s="1"/>
  <c r="X34" i="20"/>
  <c r="Y34" i="20" s="1"/>
  <c r="Z34" i="20" s="1"/>
  <c r="AJ81" i="20"/>
  <c r="AK81" i="20" s="1"/>
  <c r="AJ77" i="20"/>
  <c r="AK77" i="20" s="1"/>
  <c r="AN77" i="20" s="1"/>
  <c r="AJ74" i="20"/>
  <c r="AK74" i="20" s="1"/>
  <c r="AN74" i="20" s="1"/>
  <c r="AO82" i="20"/>
  <c r="AP82" i="20" s="1"/>
  <c r="AO50" i="20"/>
  <c r="AP50" i="20" s="1"/>
  <c r="AR50" i="20" s="1"/>
  <c r="AD61" i="20"/>
  <c r="AH61" i="20"/>
  <c r="S61" i="20"/>
  <c r="AJ73" i="20"/>
  <c r="AJ69" i="20"/>
  <c r="AK69" i="20" s="1"/>
  <c r="AO74" i="20"/>
  <c r="AP74" i="20" s="1"/>
  <c r="AO58" i="20"/>
  <c r="AP58" i="20" s="1"/>
  <c r="R22" i="20"/>
  <c r="T22" i="20" s="1"/>
  <c r="BI22" i="20" s="1"/>
  <c r="AQ33" i="20"/>
  <c r="AM33" i="20"/>
  <c r="X33" i="20"/>
  <c r="Y33" i="20" s="1"/>
  <c r="Z33" i="20" s="1"/>
  <c r="S33" i="20"/>
  <c r="S21" i="20"/>
  <c r="S13" i="20"/>
  <c r="S25" i="20"/>
  <c r="AM13" i="20"/>
  <c r="AM18" i="20"/>
  <c r="AM17" i="20"/>
  <c r="AM21" i="20"/>
  <c r="U109" i="20"/>
  <c r="V109" i="20" s="1"/>
  <c r="W109" i="20" s="1"/>
  <c r="X18" i="20"/>
  <c r="Y18" i="20" s="1"/>
  <c r="Z18" i="20" s="1"/>
  <c r="U21" i="20"/>
  <c r="V21" i="20" s="1"/>
  <c r="W21" i="20" s="1"/>
  <c r="X21" i="20"/>
  <c r="Y21" i="20" s="1"/>
  <c r="Z21" i="20" s="1"/>
  <c r="AH109" i="20"/>
  <c r="AA109" i="20"/>
  <c r="AB109" i="20" s="1"/>
  <c r="AE109" i="20" s="1"/>
  <c r="Q109" i="20"/>
  <c r="AQ31" i="20"/>
  <c r="AM31" i="20"/>
  <c r="AK109" i="20"/>
  <c r="AO109" i="20"/>
  <c r="AP109" i="20" s="1"/>
  <c r="AM109" i="20"/>
  <c r="AQ109" i="20"/>
  <c r="R9" i="20"/>
  <c r="T9" i="20" s="1"/>
  <c r="BI9" i="20" s="1"/>
  <c r="AS9" i="20"/>
  <c r="Q25" i="20"/>
  <c r="AS25" i="20" s="1"/>
  <c r="S106" i="20"/>
  <c r="AO106" i="20"/>
  <c r="AP106" i="20" s="1"/>
  <c r="Q106" i="20"/>
  <c r="AS106" i="20" s="1"/>
  <c r="AH106" i="20"/>
  <c r="Q14" i="20"/>
  <c r="AS14" i="20" s="1"/>
  <c r="AQ14" i="20"/>
  <c r="AA14" i="20"/>
  <c r="AB14" i="20" s="1"/>
  <c r="AE14" i="20" s="1"/>
  <c r="Q10" i="20"/>
  <c r="AS10" i="20" s="1"/>
  <c r="AQ10" i="20"/>
  <c r="AA10" i="20"/>
  <c r="AB10" i="20" s="1"/>
  <c r="AE10" i="20" s="1"/>
  <c r="AF29" i="20"/>
  <c r="AG29" i="20" s="1"/>
  <c r="AF106" i="20"/>
  <c r="AQ21" i="20"/>
  <c r="Q21" i="20"/>
  <c r="AS21" i="20" s="1"/>
  <c r="AA21" i="20"/>
  <c r="AB21" i="20" s="1"/>
  <c r="AE21" i="20" s="1"/>
  <c r="AF25" i="20"/>
  <c r="AF26" i="20"/>
  <c r="AJ33" i="20"/>
  <c r="AJ14" i="20"/>
  <c r="AK14" i="20" s="1"/>
  <c r="X25" i="20"/>
  <c r="Y25" i="20" s="1"/>
  <c r="Z25" i="20" s="1"/>
  <c r="U25" i="20"/>
  <c r="V25" i="20" s="1"/>
  <c r="W25" i="20" s="1"/>
  <c r="AH25" i="20"/>
  <c r="AQ25" i="20"/>
  <c r="AQ17" i="20"/>
  <c r="Q17" i="20"/>
  <c r="AS17" i="20" s="1"/>
  <c r="AA17" i="20"/>
  <c r="AB17" i="20" s="1"/>
  <c r="AE17" i="20" s="1"/>
  <c r="U17" i="20"/>
  <c r="V17" i="20" s="1"/>
  <c r="W17" i="20" s="1"/>
  <c r="AQ18" i="20"/>
  <c r="AA18" i="20"/>
  <c r="AB18" i="20" s="1"/>
  <c r="AE18" i="20" s="1"/>
  <c r="Q18" i="20"/>
  <c r="AS18" i="20" s="1"/>
  <c r="AA30" i="20"/>
  <c r="AB30" i="20" s="1"/>
  <c r="AF31" i="20"/>
  <c r="AG31" i="20" s="1"/>
  <c r="AA33" i="20"/>
  <c r="AB33" i="20" s="1"/>
  <c r="AE33" i="20" s="1"/>
  <c r="AA13" i="20"/>
  <c r="AB13" i="20" s="1"/>
  <c r="AE13" i="20" s="1"/>
  <c r="AQ13" i="20"/>
  <c r="Q13" i="20"/>
  <c r="AS13" i="20" s="1"/>
  <c r="AJ30" i="20"/>
  <c r="AK30" i="20" s="1"/>
  <c r="AO29" i="20"/>
  <c r="AP29" i="20" s="1"/>
  <c r="AR29" i="20" s="1"/>
  <c r="AO25" i="20"/>
  <c r="AP25" i="20" s="1"/>
  <c r="AO18" i="20"/>
  <c r="AP18" i="20" s="1"/>
  <c r="AA106" i="20"/>
  <c r="AB106" i="20" s="1"/>
  <c r="AO31" i="20"/>
  <c r="AP31" i="20" s="1"/>
  <c r="AJ10" i="20"/>
  <c r="AK10" i="20" s="1"/>
  <c r="AG100" i="20"/>
  <c r="R107" i="20"/>
  <c r="AV55" i="20"/>
  <c r="BL55" i="20" s="1"/>
  <c r="AV76" i="20"/>
  <c r="BL76" i="20" s="1"/>
  <c r="AG76" i="20"/>
  <c r="AG27" i="20"/>
  <c r="AV27" i="20"/>
  <c r="BL27" i="20" s="1"/>
  <c r="AG92" i="20"/>
  <c r="AV108" i="20"/>
  <c r="BL108" i="20" s="1"/>
  <c r="AG108" i="20"/>
  <c r="AV75" i="20"/>
  <c r="BL75" i="20" s="1"/>
  <c r="AV68" i="20"/>
  <c r="BL68" i="20" s="1"/>
  <c r="AG68" i="20"/>
  <c r="AI68" i="20" s="1"/>
  <c r="S14" i="20"/>
  <c r="AD29" i="20"/>
  <c r="AH38" i="20"/>
  <c r="U38" i="20"/>
  <c r="V38" i="20" s="1"/>
  <c r="W38" i="20" s="1"/>
  <c r="AD38" i="20"/>
  <c r="S38" i="20"/>
  <c r="AG104" i="20"/>
  <c r="AV60" i="20"/>
  <c r="BL60" i="20" s="1"/>
  <c r="AG60" i="20"/>
  <c r="AV9" i="20"/>
  <c r="BL9" i="20" s="1"/>
  <c r="X38" i="20"/>
  <c r="Y38" i="20" s="1"/>
  <c r="Z38" i="20" s="1"/>
  <c r="X14" i="20"/>
  <c r="Y14" i="20" s="1"/>
  <c r="Z14" i="20" s="1"/>
  <c r="AH14" i="20"/>
  <c r="U14" i="20"/>
  <c r="V14" i="20" s="1"/>
  <c r="W14" i="20" s="1"/>
  <c r="AH29" i="20"/>
  <c r="U29" i="20"/>
  <c r="V29" i="20" s="1"/>
  <c r="W29" i="20" s="1"/>
  <c r="AG99" i="20"/>
  <c r="AV99" i="20"/>
  <c r="BL99" i="20" s="1"/>
  <c r="AG91" i="20"/>
  <c r="AV91" i="20"/>
  <c r="BL91" i="20" s="1"/>
  <c r="AG67" i="20"/>
  <c r="AI67" i="20" s="1"/>
  <c r="AV67" i="20"/>
  <c r="BL67" i="20" s="1"/>
  <c r="AG95" i="20"/>
  <c r="AI95" i="20" s="1"/>
  <c r="AV95" i="20"/>
  <c r="BL95" i="20" s="1"/>
  <c r="AG79" i="20"/>
  <c r="AV79" i="20"/>
  <c r="BL79" i="20" s="1"/>
  <c r="AG103" i="20"/>
  <c r="AI103" i="20" s="1"/>
  <c r="BF103" i="20" s="1"/>
  <c r="AV103" i="20"/>
  <c r="BL103" i="20" s="1"/>
  <c r="AK16" i="20"/>
  <c r="AG51" i="20"/>
  <c r="AI51" i="20" s="1"/>
  <c r="AV51" i="20"/>
  <c r="BL51" i="20" s="1"/>
  <c r="R23" i="20"/>
  <c r="K133" i="2"/>
  <c r="M133" i="2" s="1"/>
  <c r="D86" i="2"/>
  <c r="E33" i="1"/>
  <c r="B296" i="2"/>
  <c r="B297" i="2" s="1"/>
  <c r="F4" i="17" s="1"/>
  <c r="E34" i="1"/>
  <c r="B168" i="2"/>
  <c r="E41" i="1" s="1"/>
  <c r="B172" i="2"/>
  <c r="L173" i="2" s="1"/>
  <c r="L174" i="2"/>
  <c r="K173" i="2"/>
  <c r="K168" i="2"/>
  <c r="K167" i="2"/>
  <c r="K195" i="2"/>
  <c r="E52" i="1"/>
  <c r="B137" i="2"/>
  <c r="D61" i="16" s="1"/>
  <c r="B280" i="2"/>
  <c r="F5" i="17" s="1"/>
  <c r="F7" i="17"/>
  <c r="B306" i="2"/>
  <c r="B308" i="2" s="1"/>
  <c r="E68" i="1" s="1"/>
  <c r="H167" i="2"/>
  <c r="E45" i="1"/>
  <c r="N103" i="2"/>
  <c r="N102" i="2"/>
  <c r="P102" i="2"/>
  <c r="AV96" i="20" l="1"/>
  <c r="BL96" i="20" s="1"/>
  <c r="AI96" i="20"/>
  <c r="BK96" i="20" s="1"/>
  <c r="BE190" i="20"/>
  <c r="BE79" i="20"/>
  <c r="BE144" i="20"/>
  <c r="R71" i="20"/>
  <c r="T71" i="20" s="1"/>
  <c r="BI71" i="20" s="1"/>
  <c r="BE117" i="20"/>
  <c r="BF157" i="20"/>
  <c r="BE141" i="20"/>
  <c r="BF192" i="20"/>
  <c r="BF131" i="20"/>
  <c r="AV104" i="20"/>
  <c r="BL104" i="20" s="1"/>
  <c r="BF129" i="20"/>
  <c r="AN104" i="20"/>
  <c r="T68" i="20"/>
  <c r="BI68" i="20" s="1"/>
  <c r="BF182" i="20"/>
  <c r="BE122" i="20"/>
  <c r="AI24" i="20"/>
  <c r="BF153" i="20"/>
  <c r="BF188" i="20"/>
  <c r="BE208" i="20"/>
  <c r="AN100" i="20"/>
  <c r="AN87" i="20"/>
  <c r="BF184" i="20"/>
  <c r="BF200" i="20"/>
  <c r="AV56" i="20"/>
  <c r="BL56" i="20" s="1"/>
  <c r="BE83" i="20"/>
  <c r="BE128" i="20"/>
  <c r="BE136" i="20"/>
  <c r="R56" i="20"/>
  <c r="BF128" i="20"/>
  <c r="BE111" i="20"/>
  <c r="BF120" i="20"/>
  <c r="BE118" i="20"/>
  <c r="BL31" i="21"/>
  <c r="BF31" i="21" s="1"/>
  <c r="AR108" i="20"/>
  <c r="AN75" i="20"/>
  <c r="AE40" i="20"/>
  <c r="BE142" i="20"/>
  <c r="BF195" i="20"/>
  <c r="BF145" i="20"/>
  <c r="BF114" i="20"/>
  <c r="AV106" i="20"/>
  <c r="BL106" i="20" s="1"/>
  <c r="T108" i="20"/>
  <c r="BI108" i="20" s="1"/>
  <c r="AR106" i="20"/>
  <c r="BF122" i="20"/>
  <c r="BE145" i="20"/>
  <c r="BF150" i="20"/>
  <c r="BE201" i="20"/>
  <c r="BE147" i="20"/>
  <c r="BF117" i="20"/>
  <c r="BF201" i="20"/>
  <c r="BF146" i="20"/>
  <c r="BE91" i="20"/>
  <c r="BE192" i="20"/>
  <c r="AR98" i="20"/>
  <c r="AR59" i="20"/>
  <c r="BF59" i="20" s="1"/>
  <c r="AR40" i="20"/>
  <c r="BF40" i="20" s="1"/>
  <c r="AR84" i="20"/>
  <c r="BF84" i="20" s="1"/>
  <c r="BE162" i="20"/>
  <c r="BE115" i="20"/>
  <c r="BE158" i="20"/>
  <c r="T76" i="20"/>
  <c r="BI76" i="20" s="1"/>
  <c r="BF170" i="20"/>
  <c r="BE67" i="20"/>
  <c r="BE120" i="20"/>
  <c r="BF176" i="20"/>
  <c r="BE99" i="20"/>
  <c r="BE197" i="20"/>
  <c r="BE207" i="20"/>
  <c r="AN106" i="20"/>
  <c r="AN94" i="20"/>
  <c r="AR76" i="20"/>
  <c r="AV100" i="20"/>
  <c r="BL100" i="20" s="1"/>
  <c r="AI11" i="20"/>
  <c r="BF111" i="20"/>
  <c r="BE178" i="20"/>
  <c r="BE127" i="20"/>
  <c r="BF198" i="20"/>
  <c r="BF138" i="20"/>
  <c r="BE184" i="20"/>
  <c r="BE131" i="20"/>
  <c r="R63" i="20"/>
  <c r="T63" i="20" s="1"/>
  <c r="BB63" i="20" s="1"/>
  <c r="BD63" i="20" s="1"/>
  <c r="BH63" i="20" s="1"/>
  <c r="BF202" i="20"/>
  <c r="BE163" i="20"/>
  <c r="BE125" i="20"/>
  <c r="R100" i="20"/>
  <c r="T100" i="20" s="1"/>
  <c r="BI100" i="20" s="1"/>
  <c r="BE84" i="20"/>
  <c r="AS87" i="20"/>
  <c r="R87" i="20"/>
  <c r="T87" i="20" s="1"/>
  <c r="BI87" i="20" s="1"/>
  <c r="BF113" i="20"/>
  <c r="R79" i="20"/>
  <c r="T79" i="20" s="1"/>
  <c r="BI79" i="20" s="1"/>
  <c r="BE153" i="20"/>
  <c r="BE177" i="20"/>
  <c r="BE123" i="20"/>
  <c r="BE157" i="20"/>
  <c r="BE182" i="20"/>
  <c r="BE126" i="20"/>
  <c r="BF154" i="20"/>
  <c r="AV87" i="20"/>
  <c r="BL87" i="20" s="1"/>
  <c r="BE112" i="20"/>
  <c r="BE87" i="20"/>
  <c r="AV90" i="20"/>
  <c r="BL90" i="20" s="1"/>
  <c r="BF67" i="20"/>
  <c r="T80" i="20"/>
  <c r="BI80" i="20" s="1"/>
  <c r="R95" i="20"/>
  <c r="T95" i="20" s="1"/>
  <c r="BI95" i="20" s="1"/>
  <c r="BF75" i="20"/>
  <c r="AE24" i="20"/>
  <c r="AE75" i="20"/>
  <c r="BJ75" i="20" s="1"/>
  <c r="AV59" i="20"/>
  <c r="BL59" i="20" s="1"/>
  <c r="BE51" i="20"/>
  <c r="T56" i="20"/>
  <c r="BI56" i="20" s="1"/>
  <c r="AR85" i="20"/>
  <c r="R64" i="20"/>
  <c r="T64" i="20" s="1"/>
  <c r="BI64" i="20" s="1"/>
  <c r="AN80" i="20"/>
  <c r="BE80" i="20" s="1"/>
  <c r="AN64" i="20"/>
  <c r="BE64" i="20" s="1"/>
  <c r="BF68" i="20"/>
  <c r="BE189" i="20"/>
  <c r="AN108" i="20"/>
  <c r="AR56" i="20"/>
  <c r="BF56" i="20" s="1"/>
  <c r="AE48" i="20"/>
  <c r="AV92" i="20"/>
  <c r="BL92" i="20" s="1"/>
  <c r="BF162" i="20"/>
  <c r="BF51" i="20"/>
  <c r="BE100" i="20"/>
  <c r="BF180" i="20"/>
  <c r="BE137" i="20"/>
  <c r="BF125" i="20"/>
  <c r="BF144" i="20"/>
  <c r="BE114" i="20"/>
  <c r="BF158" i="20"/>
  <c r="AN90" i="20"/>
  <c r="BE138" i="20"/>
  <c r="BF142" i="20"/>
  <c r="BF161" i="20"/>
  <c r="BF141" i="20"/>
  <c r="BE154" i="20"/>
  <c r="AV80" i="20"/>
  <c r="BL80" i="20" s="1"/>
  <c r="BF191" i="20"/>
  <c r="AR95" i="20"/>
  <c r="BF95" i="20" s="1"/>
  <c r="BF124" i="20"/>
  <c r="BE205" i="20"/>
  <c r="BE108" i="20"/>
  <c r="AR80" i="20"/>
  <c r="BF80" i="20" s="1"/>
  <c r="BE59" i="20"/>
  <c r="BF119" i="20"/>
  <c r="BE165" i="20"/>
  <c r="BE186" i="20"/>
  <c r="BE161" i="20"/>
  <c r="BE150" i="20"/>
  <c r="BF139" i="20"/>
  <c r="BE209" i="20"/>
  <c r="BF151" i="20"/>
  <c r="AV64" i="20"/>
  <c r="BL64" i="20" s="1"/>
  <c r="BE199" i="20"/>
  <c r="BE188" i="20"/>
  <c r="BE132" i="20"/>
  <c r="BE169" i="20"/>
  <c r="BF130" i="20"/>
  <c r="BE198" i="20"/>
  <c r="BE187" i="20"/>
  <c r="BE180" i="20"/>
  <c r="BE168" i="20"/>
  <c r="BE203" i="20"/>
  <c r="BE185" i="20"/>
  <c r="AN95" i="20"/>
  <c r="BE95" i="20" s="1"/>
  <c r="BE167" i="20"/>
  <c r="BE134" i="20"/>
  <c r="BE119" i="20"/>
  <c r="BE179" i="20"/>
  <c r="BE191" i="20"/>
  <c r="BF185" i="20"/>
  <c r="BE175" i="20"/>
  <c r="BE202" i="20"/>
  <c r="BE204" i="20"/>
  <c r="AV89" i="20"/>
  <c r="BL89" i="20" s="1"/>
  <c r="BF204" i="20"/>
  <c r="BF179" i="20"/>
  <c r="BE103" i="20"/>
  <c r="BE181" i="20"/>
  <c r="BE146" i="20"/>
  <c r="BF173" i="20"/>
  <c r="BF63" i="20"/>
  <c r="BE56" i="20"/>
  <c r="AN92" i="20"/>
  <c r="BE92" i="20" s="1"/>
  <c r="AN60" i="20"/>
  <c r="BE60" i="20" s="1"/>
  <c r="AV101" i="20"/>
  <c r="BL101" i="20" s="1"/>
  <c r="AV98" i="20"/>
  <c r="BL98" i="20" s="1"/>
  <c r="BF87" i="20"/>
  <c r="BK73" i="21"/>
  <c r="BE73" i="21" s="1"/>
  <c r="AV61" i="20"/>
  <c r="BL61" i="20" s="1"/>
  <c r="BK40" i="21"/>
  <c r="BE40" i="21" s="1"/>
  <c r="BK87" i="21"/>
  <c r="BE87" i="21" s="1"/>
  <c r="BK90" i="21"/>
  <c r="BE90" i="21" s="1"/>
  <c r="BK82" i="21"/>
  <c r="BE82" i="21" s="1"/>
  <c r="AE43" i="20"/>
  <c r="B318" i="2"/>
  <c r="AE35" i="20"/>
  <c r="AV35" i="20"/>
  <c r="BL35" i="20" s="1"/>
  <c r="AV32" i="20"/>
  <c r="BL32" i="20" s="1"/>
  <c r="R48" i="20"/>
  <c r="T48" i="20" s="1"/>
  <c r="BI48" i="20" s="1"/>
  <c r="AR36" i="20"/>
  <c r="BF36" i="20" s="1"/>
  <c r="AG35" i="20"/>
  <c r="AI35" i="20" s="1"/>
  <c r="BE159" i="20"/>
  <c r="R35" i="20"/>
  <c r="T35" i="20" s="1"/>
  <c r="BI35" i="20" s="1"/>
  <c r="AE32" i="20"/>
  <c r="BJ32" i="20" s="1"/>
  <c r="R32" i="20"/>
  <c r="T32" i="20" s="1"/>
  <c r="BI32" i="20" s="1"/>
  <c r="AN23" i="20"/>
  <c r="AN43" i="20"/>
  <c r="AN15" i="20"/>
  <c r="BE15" i="20" s="1"/>
  <c r="AR28" i="20"/>
  <c r="AE73" i="20"/>
  <c r="AI43" i="20"/>
  <c r="BK43" i="20" s="1"/>
  <c r="R43" i="20"/>
  <c r="T43" i="20" s="1"/>
  <c r="BI43" i="20" s="1"/>
  <c r="AR15" i="20"/>
  <c r="AR24" i="20"/>
  <c r="BF24" i="20" s="1"/>
  <c r="AN47" i="20"/>
  <c r="BE47" i="20" s="1"/>
  <c r="AR11" i="20"/>
  <c r="BF11" i="20" s="1"/>
  <c r="R24" i="20"/>
  <c r="T24" i="20" s="1"/>
  <c r="BI24" i="20" s="1"/>
  <c r="AV109" i="20"/>
  <c r="BL109" i="20" s="1"/>
  <c r="AI48" i="20"/>
  <c r="BF48" i="20" s="1"/>
  <c r="R11" i="20"/>
  <c r="T11" i="20" s="1"/>
  <c r="BI11" i="20" s="1"/>
  <c r="AV43" i="20"/>
  <c r="BL43" i="20" s="1"/>
  <c r="AR47" i="20"/>
  <c r="AV47" i="20"/>
  <c r="BL47" i="20" s="1"/>
  <c r="AI17" i="20"/>
  <c r="BK17" i="20" s="1"/>
  <c r="AN88" i="20"/>
  <c r="R47" i="20"/>
  <c r="T47" i="20" s="1"/>
  <c r="BI47" i="20" s="1"/>
  <c r="AR62" i="20"/>
  <c r="AV105" i="20"/>
  <c r="BL105" i="20" s="1"/>
  <c r="AI47" i="20"/>
  <c r="AV48" i="20"/>
  <c r="BL48" i="20" s="1"/>
  <c r="AI15" i="20"/>
  <c r="AN11" i="20"/>
  <c r="BE11" i="20" s="1"/>
  <c r="BE151" i="20"/>
  <c r="AI105" i="20"/>
  <c r="BK105" i="20" s="1"/>
  <c r="AV36" i="20"/>
  <c r="BL36" i="20" s="1"/>
  <c r="BK173" i="20"/>
  <c r="AV39" i="20"/>
  <c r="BL39" i="20" s="1"/>
  <c r="AG90" i="20"/>
  <c r="AI90" i="20" s="1"/>
  <c r="BF90" i="20" s="1"/>
  <c r="AV11" i="20"/>
  <c r="BL11" i="20" s="1"/>
  <c r="AV15" i="20"/>
  <c r="BL15" i="20" s="1"/>
  <c r="AI23" i="20"/>
  <c r="BK23" i="20" s="1"/>
  <c r="R77" i="20"/>
  <c r="T77" i="20" s="1"/>
  <c r="BI77" i="20" s="1"/>
  <c r="R15" i="20"/>
  <c r="T15" i="20" s="1"/>
  <c r="BE24" i="20"/>
  <c r="AG39" i="20"/>
  <c r="AI39" i="20" s="1"/>
  <c r="BK39" i="20" s="1"/>
  <c r="R20" i="20"/>
  <c r="T20" i="20" s="1"/>
  <c r="BI20" i="20" s="1"/>
  <c r="AR14" i="20"/>
  <c r="BK151" i="20"/>
  <c r="AN16" i="20"/>
  <c r="BE16" i="20" s="1"/>
  <c r="AI49" i="20"/>
  <c r="AI31" i="20"/>
  <c r="BK31" i="20" s="1"/>
  <c r="AI19" i="20"/>
  <c r="AE62" i="20"/>
  <c r="BE62" i="20" s="1"/>
  <c r="BE172" i="20"/>
  <c r="AE77" i="20"/>
  <c r="BE77" i="20" s="1"/>
  <c r="AR16" i="20"/>
  <c r="AE36" i="20"/>
  <c r="BF32" i="20"/>
  <c r="AE37" i="20"/>
  <c r="AI88" i="20"/>
  <c r="BK88" i="20" s="1"/>
  <c r="BE160" i="20"/>
  <c r="AE39" i="20"/>
  <c r="BE39" i="20" s="1"/>
  <c r="AE28" i="20"/>
  <c r="BE28" i="20" s="1"/>
  <c r="AV16" i="20"/>
  <c r="BL16" i="20" s="1"/>
  <c r="R89" i="20"/>
  <c r="T89" i="20" s="1"/>
  <c r="BI89" i="20" s="1"/>
  <c r="BK191" i="20"/>
  <c r="AI16" i="20"/>
  <c r="BK16" i="20" s="1"/>
  <c r="R16" i="20"/>
  <c r="T16" i="20" s="1"/>
  <c r="BI16" i="20" s="1"/>
  <c r="BE71" i="20"/>
  <c r="BE76" i="20"/>
  <c r="BF20" i="20"/>
  <c r="BB191" i="20"/>
  <c r="BD191" i="20" s="1"/>
  <c r="BH191" i="20" s="1"/>
  <c r="AR44" i="20"/>
  <c r="AE107" i="20"/>
  <c r="BF96" i="20"/>
  <c r="R70" i="20"/>
  <c r="T70" i="20" s="1"/>
  <c r="BI70" i="20" s="1"/>
  <c r="AI33" i="20"/>
  <c r="BK33" i="20" s="1"/>
  <c r="AV23" i="20"/>
  <c r="BL23" i="20" s="1"/>
  <c r="AR52" i="20"/>
  <c r="BF52" i="20" s="1"/>
  <c r="AV19" i="20"/>
  <c r="BL19" i="20" s="1"/>
  <c r="AE93" i="20"/>
  <c r="BE93" i="20" s="1"/>
  <c r="AI28" i="20"/>
  <c r="BK28" i="20" s="1"/>
  <c r="BK179" i="20"/>
  <c r="AE86" i="20"/>
  <c r="T23" i="20"/>
  <c r="BI23" i="20" s="1"/>
  <c r="AV28" i="20"/>
  <c r="BL28" i="20" s="1"/>
  <c r="R62" i="20"/>
  <c r="T62" i="20" s="1"/>
  <c r="BI62" i="20" s="1"/>
  <c r="AR39" i="20"/>
  <c r="AV86" i="20"/>
  <c r="BL86" i="20" s="1"/>
  <c r="R28" i="20"/>
  <c r="T28" i="20" s="1"/>
  <c r="BI28" i="20" s="1"/>
  <c r="BE20" i="20"/>
  <c r="AE12" i="20"/>
  <c r="AI13" i="20"/>
  <c r="BK13" i="20" s="1"/>
  <c r="BJ152" i="20"/>
  <c r="BL25" i="21"/>
  <c r="BF25" i="21" s="1"/>
  <c r="BK59" i="21"/>
  <c r="BE59" i="21" s="1"/>
  <c r="BL30" i="21"/>
  <c r="BF30" i="21" s="1"/>
  <c r="AV88" i="20"/>
  <c r="BL88" i="20" s="1"/>
  <c r="AE70" i="20"/>
  <c r="BE70" i="20" s="1"/>
  <c r="BL83" i="21"/>
  <c r="BF83" i="21" s="1"/>
  <c r="R52" i="20"/>
  <c r="T52" i="20" s="1"/>
  <c r="BI52" i="20" s="1"/>
  <c r="BF152" i="20"/>
  <c r="AI73" i="20"/>
  <c r="BF73" i="20" s="1"/>
  <c r="AE102" i="20"/>
  <c r="BE102" i="20" s="1"/>
  <c r="BJ96" i="20"/>
  <c r="AR19" i="20"/>
  <c r="AV13" i="20"/>
  <c r="BL13" i="20" s="1"/>
  <c r="AV94" i="20"/>
  <c r="BL94" i="20" s="1"/>
  <c r="BF206" i="20"/>
  <c r="AG98" i="20"/>
  <c r="AI98" i="20" s="1"/>
  <c r="AN10" i="20"/>
  <c r="BE10" i="20" s="1"/>
  <c r="BF9" i="20"/>
  <c r="AE78" i="20"/>
  <c r="BE78" i="20" s="1"/>
  <c r="AI86" i="20"/>
  <c r="AN19" i="20"/>
  <c r="BE19" i="20" s="1"/>
  <c r="R73" i="20"/>
  <c r="T73" i="20" s="1"/>
  <c r="BI73" i="20" s="1"/>
  <c r="AN101" i="20"/>
  <c r="AE52" i="20"/>
  <c r="AN69" i="20"/>
  <c r="BF83" i="20"/>
  <c r="BE206" i="20"/>
  <c r="AI107" i="20"/>
  <c r="BF107" i="20" s="1"/>
  <c r="AE82" i="20"/>
  <c r="BE82" i="20" s="1"/>
  <c r="BJ167" i="20"/>
  <c r="AG89" i="20"/>
  <c r="AI89" i="20" s="1"/>
  <c r="BK89" i="20" s="1"/>
  <c r="AV102" i="20"/>
  <c r="BL102" i="20" s="1"/>
  <c r="AE74" i="20"/>
  <c r="BE74" i="20" s="1"/>
  <c r="R19" i="20"/>
  <c r="T19" i="20" s="1"/>
  <c r="BI19" i="20" s="1"/>
  <c r="R12" i="20"/>
  <c r="T12" i="20" s="1"/>
  <c r="BI12" i="20" s="1"/>
  <c r="AV62" i="20"/>
  <c r="BL62" i="20" s="1"/>
  <c r="R93" i="20"/>
  <c r="T93" i="20" s="1"/>
  <c r="BI93" i="20" s="1"/>
  <c r="AV20" i="20"/>
  <c r="BL20" i="20" s="1"/>
  <c r="R39" i="20"/>
  <c r="T39" i="20" s="1"/>
  <c r="BI39" i="20" s="1"/>
  <c r="AR10" i="20"/>
  <c r="BF10" i="20" s="1"/>
  <c r="R46" i="20"/>
  <c r="T46" i="20" s="1"/>
  <c r="BI46" i="20" s="1"/>
  <c r="BF159" i="20"/>
  <c r="R78" i="20"/>
  <c r="T78" i="20" s="1"/>
  <c r="BI78" i="20" s="1"/>
  <c r="R81" i="20"/>
  <c r="T81" i="20" s="1"/>
  <c r="BI81" i="20" s="1"/>
  <c r="AV12" i="20"/>
  <c r="BL12" i="20" s="1"/>
  <c r="AE72" i="20"/>
  <c r="BE72" i="20" s="1"/>
  <c r="AI62" i="20"/>
  <c r="BK62" i="20" s="1"/>
  <c r="BK64" i="20"/>
  <c r="BB139" i="20"/>
  <c r="BD139" i="20" s="1"/>
  <c r="BH139" i="20" s="1"/>
  <c r="AN26" i="20"/>
  <c r="AN86" i="20"/>
  <c r="BK38" i="21"/>
  <c r="BE38" i="21" s="1"/>
  <c r="BL19" i="21"/>
  <c r="BF19" i="21" s="1"/>
  <c r="BK46" i="21"/>
  <c r="BE46" i="21" s="1"/>
  <c r="BK48" i="21"/>
  <c r="BE48" i="21" s="1"/>
  <c r="BL10" i="21"/>
  <c r="BF10" i="21" s="1"/>
  <c r="BK91" i="21"/>
  <c r="BE91" i="21" s="1"/>
  <c r="BK92" i="21"/>
  <c r="BE92" i="21" s="1"/>
  <c r="BK108" i="21"/>
  <c r="BE108" i="21" s="1"/>
  <c r="BK78" i="21"/>
  <c r="BE78" i="21" s="1"/>
  <c r="BK64" i="21"/>
  <c r="BE64" i="21" s="1"/>
  <c r="BK61" i="21"/>
  <c r="BE61" i="21" s="1"/>
  <c r="BK96" i="21"/>
  <c r="BE96" i="21" s="1"/>
  <c r="BK41" i="21"/>
  <c r="BE41" i="21" s="1"/>
  <c r="BK54" i="21"/>
  <c r="BE54" i="21" s="1"/>
  <c r="BL42" i="21"/>
  <c r="BF42" i="21" s="1"/>
  <c r="BL11" i="21"/>
  <c r="BF11" i="21" s="1"/>
  <c r="BJ179" i="20"/>
  <c r="BL37" i="21"/>
  <c r="BF37" i="21" s="1"/>
  <c r="AR97" i="20"/>
  <c r="AE23" i="20"/>
  <c r="AE41" i="20"/>
  <c r="BE41" i="20" s="1"/>
  <c r="AV82" i="20"/>
  <c r="BL82" i="20" s="1"/>
  <c r="AR102" i="20"/>
  <c r="AN98" i="20"/>
  <c r="AI93" i="20"/>
  <c r="BF93" i="20" s="1"/>
  <c r="AE97" i="20"/>
  <c r="BE97" i="20" s="1"/>
  <c r="BB96" i="20"/>
  <c r="BD96" i="20" s="1"/>
  <c r="BH96" i="20" s="1"/>
  <c r="AG97" i="20"/>
  <c r="AI97" i="20" s="1"/>
  <c r="AI104" i="20"/>
  <c r="AN14" i="20"/>
  <c r="BE14" i="20" s="1"/>
  <c r="AN36" i="20"/>
  <c r="AN81" i="20"/>
  <c r="BE81" i="20" s="1"/>
  <c r="BF167" i="20"/>
  <c r="AI44" i="20"/>
  <c r="R86" i="20"/>
  <c r="T86" i="20" s="1"/>
  <c r="BI86" i="20" s="1"/>
  <c r="AR89" i="20"/>
  <c r="AE104" i="20"/>
  <c r="BE104" i="20" s="1"/>
  <c r="AR86" i="20"/>
  <c r="AE105" i="20"/>
  <c r="AI69" i="20"/>
  <c r="BK69" i="20" s="1"/>
  <c r="AN44" i="20"/>
  <c r="BJ63" i="20"/>
  <c r="AV93" i="20"/>
  <c r="BL93" i="20" s="1"/>
  <c r="R105" i="20"/>
  <c r="T105" i="20" s="1"/>
  <c r="BI105" i="20" s="1"/>
  <c r="AE106" i="20"/>
  <c r="BE106" i="20" s="1"/>
  <c r="AN30" i="20"/>
  <c r="AG101" i="20"/>
  <c r="AI101" i="20" s="1"/>
  <c r="BK101" i="20" s="1"/>
  <c r="AN13" i="20"/>
  <c r="BE13" i="20" s="1"/>
  <c r="R36" i="20"/>
  <c r="T36" i="20" s="1"/>
  <c r="BI36" i="20" s="1"/>
  <c r="AR82" i="20"/>
  <c r="AE65" i="20"/>
  <c r="BE65" i="20" s="1"/>
  <c r="AG85" i="20"/>
  <c r="AI85" i="20" s="1"/>
  <c r="R102" i="20"/>
  <c r="T102" i="20" s="1"/>
  <c r="BI102" i="20" s="1"/>
  <c r="AR66" i="20"/>
  <c r="BJ139" i="20"/>
  <c r="BK139" i="20"/>
  <c r="BF12" i="20"/>
  <c r="R101" i="20"/>
  <c r="T101" i="20" s="1"/>
  <c r="BI101" i="20" s="1"/>
  <c r="BJ196" i="20"/>
  <c r="AE98" i="20"/>
  <c r="AE94" i="20"/>
  <c r="AE44" i="20"/>
  <c r="BB167" i="20"/>
  <c r="BD167" i="20" s="1"/>
  <c r="BH167" i="20" s="1"/>
  <c r="AI77" i="20"/>
  <c r="BK77" i="20" s="1"/>
  <c r="AN12" i="20"/>
  <c r="AR104" i="20"/>
  <c r="T107" i="20"/>
  <c r="BI107" i="20" s="1"/>
  <c r="AV52" i="20"/>
  <c r="BL52" i="20" s="1"/>
  <c r="R94" i="20"/>
  <c r="T94" i="20" s="1"/>
  <c r="BI94" i="20" s="1"/>
  <c r="AE69" i="20"/>
  <c r="BJ151" i="20"/>
  <c r="BL85" i="21"/>
  <c r="BF85" i="21" s="1"/>
  <c r="BL90" i="21"/>
  <c r="BF90" i="21" s="1"/>
  <c r="AI42" i="20"/>
  <c r="BK42" i="20" s="1"/>
  <c r="AI78" i="20"/>
  <c r="BF78" i="20" s="1"/>
  <c r="AE101" i="20"/>
  <c r="AV78" i="20"/>
  <c r="BL78" i="20" s="1"/>
  <c r="R65" i="20"/>
  <c r="T65" i="20" s="1"/>
  <c r="BI65" i="20" s="1"/>
  <c r="AI66" i="20"/>
  <c r="R98" i="20"/>
  <c r="T98" i="20" s="1"/>
  <c r="BI98" i="20" s="1"/>
  <c r="BB179" i="20"/>
  <c r="BD179" i="20" s="1"/>
  <c r="BH179" i="20" s="1"/>
  <c r="AR61" i="20"/>
  <c r="R44" i="20"/>
  <c r="T44" i="20" s="1"/>
  <c r="BI44" i="20" s="1"/>
  <c r="AV44" i="20"/>
  <c r="BL44" i="20" s="1"/>
  <c r="BB152" i="20"/>
  <c r="BD152" i="20" s="1"/>
  <c r="BH152" i="20" s="1"/>
  <c r="BB181" i="20"/>
  <c r="BD181" i="20" s="1"/>
  <c r="BH181" i="20" s="1"/>
  <c r="BJ159" i="20"/>
  <c r="BB206" i="20"/>
  <c r="BD206" i="20" s="1"/>
  <c r="BH206" i="20" s="1"/>
  <c r="BB159" i="20"/>
  <c r="BD159" i="20" s="1"/>
  <c r="BH159" i="20" s="1"/>
  <c r="BJ181" i="20"/>
  <c r="BL97" i="21"/>
  <c r="BF97" i="21" s="1"/>
  <c r="BK9" i="21"/>
  <c r="BE9" i="21" s="1"/>
  <c r="BJ191" i="20"/>
  <c r="BK70" i="21"/>
  <c r="BE70" i="21" s="1"/>
  <c r="BL101" i="21"/>
  <c r="BF101" i="21" s="1"/>
  <c r="BB172" i="20"/>
  <c r="BD172" i="20" s="1"/>
  <c r="BH172" i="20" s="1"/>
  <c r="BL35" i="21"/>
  <c r="BF35" i="21" s="1"/>
  <c r="BJ172" i="20"/>
  <c r="AE42" i="20"/>
  <c r="BE42" i="20" s="1"/>
  <c r="AE53" i="20"/>
  <c r="AR72" i="20"/>
  <c r="AN52" i="20"/>
  <c r="BE173" i="20"/>
  <c r="BJ173" i="20"/>
  <c r="BB173" i="20"/>
  <c r="BD173" i="20" s="1"/>
  <c r="BH173" i="20" s="1"/>
  <c r="BE196" i="20"/>
  <c r="BK63" i="20"/>
  <c r="AV107" i="20"/>
  <c r="BL107" i="20" s="1"/>
  <c r="R97" i="20"/>
  <c r="T97" i="20" s="1"/>
  <c r="BI97" i="20" s="1"/>
  <c r="R82" i="20"/>
  <c r="T82" i="20" s="1"/>
  <c r="BI82" i="20" s="1"/>
  <c r="AE66" i="20"/>
  <c r="BE66" i="20" s="1"/>
  <c r="BJ206" i="20"/>
  <c r="BF112" i="20"/>
  <c r="BF164" i="20"/>
  <c r="BB151" i="20"/>
  <c r="BD151" i="20" s="1"/>
  <c r="BH151" i="20" s="1"/>
  <c r="BF190" i="20"/>
  <c r="BB196" i="20"/>
  <c r="BD196" i="20" s="1"/>
  <c r="BH196" i="20" s="1"/>
  <c r="BE124" i="20"/>
  <c r="BE68" i="20"/>
  <c r="BE176" i="20"/>
  <c r="BE148" i="20"/>
  <c r="BE170" i="20"/>
  <c r="BE164" i="20"/>
  <c r="BE149" i="20"/>
  <c r="BE194" i="20"/>
  <c r="BE130" i="20"/>
  <c r="BE195" i="20"/>
  <c r="BL67" i="21"/>
  <c r="BF67" i="21" s="1"/>
  <c r="BE48" i="20"/>
  <c r="BE200" i="20"/>
  <c r="BE166" i="20"/>
  <c r="AR88" i="20"/>
  <c r="BE89" i="20"/>
  <c r="AS104" i="20"/>
  <c r="R104" i="20"/>
  <c r="T104" i="20" s="1"/>
  <c r="BI104" i="20" s="1"/>
  <c r="AN107" i="20"/>
  <c r="BL55" i="21"/>
  <c r="BF55" i="21" s="1"/>
  <c r="AR23" i="20"/>
  <c r="AR65" i="20"/>
  <c r="AE88" i="20"/>
  <c r="R72" i="20"/>
  <c r="T72" i="20" s="1"/>
  <c r="BI72" i="20" s="1"/>
  <c r="BK36" i="21"/>
  <c r="BE36" i="21" s="1"/>
  <c r="BK81" i="21"/>
  <c r="BE81" i="21" s="1"/>
  <c r="AI37" i="20"/>
  <c r="BK37" i="20" s="1"/>
  <c r="AI18" i="20"/>
  <c r="BK18" i="20" s="1"/>
  <c r="BE63" i="20"/>
  <c r="BE27" i="20"/>
  <c r="BE55" i="20"/>
  <c r="AV74" i="20"/>
  <c r="BL74" i="20" s="1"/>
  <c r="BF71" i="20"/>
  <c r="AS88" i="20"/>
  <c r="R88" i="20"/>
  <c r="T88" i="20" s="1"/>
  <c r="BI88" i="20" s="1"/>
  <c r="AG72" i="20"/>
  <c r="AI72" i="20" s="1"/>
  <c r="AV72" i="20"/>
  <c r="BL72" i="20" s="1"/>
  <c r="R26" i="20"/>
  <c r="T26" i="20" s="1"/>
  <c r="BI26" i="20" s="1"/>
  <c r="AV31" i="20"/>
  <c r="BL31" i="20" s="1"/>
  <c r="R49" i="20"/>
  <c r="T49" i="20" s="1"/>
  <c r="BI49" i="20" s="1"/>
  <c r="AE30" i="20"/>
  <c r="BK37" i="21"/>
  <c r="BE37" i="21" s="1"/>
  <c r="BK18" i="21"/>
  <c r="BE18" i="21" s="1"/>
  <c r="BK20" i="21"/>
  <c r="BE20" i="21" s="1"/>
  <c r="BL76" i="21"/>
  <c r="BF76" i="21" s="1"/>
  <c r="BK74" i="21"/>
  <c r="BE74" i="21" s="1"/>
  <c r="AN29" i="20"/>
  <c r="AR26" i="20"/>
  <c r="BL82" i="21"/>
  <c r="BF82" i="21" s="1"/>
  <c r="BL106" i="21"/>
  <c r="BF106" i="21" s="1"/>
  <c r="BL47" i="21"/>
  <c r="BF47" i="21" s="1"/>
  <c r="AR30" i="20"/>
  <c r="AN25" i="20"/>
  <c r="BE25" i="20" s="1"/>
  <c r="R33" i="20"/>
  <c r="T33" i="20" s="1"/>
  <c r="BI33" i="20" s="1"/>
  <c r="AE54" i="20"/>
  <c r="AE45" i="20"/>
  <c r="BE45" i="20" s="1"/>
  <c r="AV34" i="20"/>
  <c r="BL34" i="20" s="1"/>
  <c r="R53" i="20"/>
  <c r="T53" i="20" s="1"/>
  <c r="BI53" i="20" s="1"/>
  <c r="R42" i="20"/>
  <c r="T42" i="20" s="1"/>
  <c r="BI42" i="20" s="1"/>
  <c r="BL99" i="21"/>
  <c r="BF99" i="21" s="1"/>
  <c r="BL59" i="21"/>
  <c r="BF59" i="21" s="1"/>
  <c r="AE49" i="20"/>
  <c r="BE49" i="20" s="1"/>
  <c r="AR109" i="20"/>
  <c r="AN31" i="20"/>
  <c r="BE31" i="20" s="1"/>
  <c r="BL81" i="21"/>
  <c r="BF81" i="21" s="1"/>
  <c r="AR17" i="20"/>
  <c r="BF17" i="20" s="1"/>
  <c r="AR21" i="20"/>
  <c r="AN17" i="20"/>
  <c r="AV53" i="20"/>
  <c r="BL53" i="20" s="1"/>
  <c r="R30" i="20"/>
  <c r="T30" i="20" s="1"/>
  <c r="BI30" i="20" s="1"/>
  <c r="BK176" i="20"/>
  <c r="BL36" i="21"/>
  <c r="BF36" i="21" s="1"/>
  <c r="BK44" i="21"/>
  <c r="BE44" i="21" s="1"/>
  <c r="AI21" i="20"/>
  <c r="BK21" i="20" s="1"/>
  <c r="AS31" i="20"/>
  <c r="R31" i="20"/>
  <c r="T31" i="20" s="1"/>
  <c r="BI31" i="20" s="1"/>
  <c r="AV21" i="20"/>
  <c r="BL21" i="20" s="1"/>
  <c r="AR13" i="20"/>
  <c r="BF13" i="20" s="1"/>
  <c r="BJ55" i="20"/>
  <c r="AR33" i="20"/>
  <c r="BJ203" i="20"/>
  <c r="BK165" i="20"/>
  <c r="BJ185" i="20"/>
  <c r="BK208" i="20"/>
  <c r="BK85" i="21"/>
  <c r="BE85" i="21" s="1"/>
  <c r="BL105" i="21"/>
  <c r="BF105" i="21" s="1"/>
  <c r="BE40" i="20"/>
  <c r="BE22" i="20"/>
  <c r="BJ66" i="21"/>
  <c r="BL109" i="21"/>
  <c r="BF109" i="21" s="1"/>
  <c r="AI41" i="20"/>
  <c r="BK41" i="20" s="1"/>
  <c r="AE26" i="20"/>
  <c r="BK55" i="20"/>
  <c r="R29" i="20"/>
  <c r="T29" i="20" s="1"/>
  <c r="BI29" i="20" s="1"/>
  <c r="AV70" i="20"/>
  <c r="BL70" i="20" s="1"/>
  <c r="R37" i="20"/>
  <c r="T37" i="20" s="1"/>
  <c r="BI37" i="20" s="1"/>
  <c r="AV17" i="20"/>
  <c r="BL17" i="20" s="1"/>
  <c r="R85" i="20"/>
  <c r="T85" i="20" s="1"/>
  <c r="BI85" i="20" s="1"/>
  <c r="AE61" i="20"/>
  <c r="BE61" i="20" s="1"/>
  <c r="BK166" i="20"/>
  <c r="BL89" i="21"/>
  <c r="BF89" i="21" s="1"/>
  <c r="BL93" i="21"/>
  <c r="BF93" i="21" s="1"/>
  <c r="BL45" i="21"/>
  <c r="BF45" i="21" s="1"/>
  <c r="BL62" i="21"/>
  <c r="BF62" i="21" s="1"/>
  <c r="AE34" i="20"/>
  <c r="AE46" i="20"/>
  <c r="BE46" i="20" s="1"/>
  <c r="AR49" i="20"/>
  <c r="AV37" i="20"/>
  <c r="BL37" i="20" s="1"/>
  <c r="AI58" i="20"/>
  <c r="AI30" i="20"/>
  <c r="BK30" i="20" s="1"/>
  <c r="BK84" i="20"/>
  <c r="AV29" i="20"/>
  <c r="BL29" i="20" s="1"/>
  <c r="BK87" i="20"/>
  <c r="BK52" i="20"/>
  <c r="AE50" i="20"/>
  <c r="BK134" i="20"/>
  <c r="BB22" i="21"/>
  <c r="BD22" i="21" s="1"/>
  <c r="BH22" i="21" s="1"/>
  <c r="BL43" i="21"/>
  <c r="BF43" i="21" s="1"/>
  <c r="AR42" i="20"/>
  <c r="AR41" i="20"/>
  <c r="BL56" i="21"/>
  <c r="BF56" i="21" s="1"/>
  <c r="BB58" i="21"/>
  <c r="BD58" i="21" s="1"/>
  <c r="BH58" i="21" s="1"/>
  <c r="BL63" i="21"/>
  <c r="BF63" i="21" s="1"/>
  <c r="BJ74" i="21"/>
  <c r="BE35" i="20"/>
  <c r="AN37" i="20"/>
  <c r="AV18" i="20"/>
  <c r="BL18" i="20" s="1"/>
  <c r="BF22" i="20"/>
  <c r="AI53" i="20"/>
  <c r="BK53" i="20" s="1"/>
  <c r="R50" i="20"/>
  <c r="T50" i="20" s="1"/>
  <c r="BI50" i="20" s="1"/>
  <c r="AN18" i="20"/>
  <c r="BE18" i="20" s="1"/>
  <c r="R41" i="20"/>
  <c r="T41" i="20" s="1"/>
  <c r="BI41" i="20" s="1"/>
  <c r="R61" i="20"/>
  <c r="T61" i="20" s="1"/>
  <c r="BI61" i="20" s="1"/>
  <c r="R66" i="20"/>
  <c r="T66" i="20" s="1"/>
  <c r="BI66" i="20" s="1"/>
  <c r="AR34" i="20"/>
  <c r="BF34" i="20" s="1"/>
  <c r="BK118" i="20"/>
  <c r="BJ208" i="20"/>
  <c r="BK130" i="20"/>
  <c r="BK161" i="20"/>
  <c r="BK25" i="21"/>
  <c r="BE25" i="21" s="1"/>
  <c r="BK39" i="21"/>
  <c r="BE39" i="21" s="1"/>
  <c r="BK68" i="21"/>
  <c r="BE68" i="21" s="1"/>
  <c r="BL15" i="21"/>
  <c r="BF15" i="21" s="1"/>
  <c r="AE57" i="20"/>
  <c r="BE57" i="20" s="1"/>
  <c r="R10" i="20"/>
  <c r="T10" i="20" s="1"/>
  <c r="AV46" i="20"/>
  <c r="BL46" i="20" s="1"/>
  <c r="AI54" i="20"/>
  <c r="BF54" i="20" s="1"/>
  <c r="R57" i="20"/>
  <c r="T57" i="20" s="1"/>
  <c r="BI57" i="20" s="1"/>
  <c r="R54" i="20"/>
  <c r="T54" i="20" s="1"/>
  <c r="BI54" i="20" s="1"/>
  <c r="AV41" i="20"/>
  <c r="BL41" i="20" s="1"/>
  <c r="BJ162" i="20"/>
  <c r="BK201" i="20"/>
  <c r="BB118" i="20"/>
  <c r="BD118" i="20" s="1"/>
  <c r="BH118" i="20" s="1"/>
  <c r="BJ165" i="20"/>
  <c r="BJ120" i="20"/>
  <c r="BK120" i="20"/>
  <c r="BB204" i="20"/>
  <c r="BD204" i="20" s="1"/>
  <c r="BH204" i="20" s="1"/>
  <c r="BL86" i="21"/>
  <c r="BF86" i="21" s="1"/>
  <c r="BB74" i="21"/>
  <c r="BD74" i="21" s="1"/>
  <c r="BH74" i="21" s="1"/>
  <c r="BL65" i="21"/>
  <c r="BF65" i="21" s="1"/>
  <c r="BL41" i="21"/>
  <c r="BF41" i="21" s="1"/>
  <c r="BK43" i="21"/>
  <c r="BE43" i="21" s="1"/>
  <c r="BJ45" i="21"/>
  <c r="BL20" i="21"/>
  <c r="BF20" i="21" s="1"/>
  <c r="BL24" i="21"/>
  <c r="BF24" i="21" s="1"/>
  <c r="BJ83" i="20"/>
  <c r="AG61" i="20"/>
  <c r="AI61" i="20" s="1"/>
  <c r="R25" i="20"/>
  <c r="T25" i="20" s="1"/>
  <c r="BI25" i="20" s="1"/>
  <c r="AI38" i="20"/>
  <c r="BF38" i="20" s="1"/>
  <c r="AV38" i="20"/>
  <c r="BL38" i="20" s="1"/>
  <c r="AI45" i="20"/>
  <c r="BK45" i="20" s="1"/>
  <c r="AE58" i="20"/>
  <c r="BE58" i="20" s="1"/>
  <c r="BF178" i="20"/>
  <c r="BK178" i="20"/>
  <c r="R13" i="20"/>
  <c r="T13" i="20" s="1"/>
  <c r="BI13" i="20" s="1"/>
  <c r="BB83" i="20"/>
  <c r="BD83" i="20" s="1"/>
  <c r="BH83" i="20" s="1"/>
  <c r="AV45" i="20"/>
  <c r="BL45" i="20" s="1"/>
  <c r="R34" i="20"/>
  <c r="T34" i="20" s="1"/>
  <c r="BI34" i="20" s="1"/>
  <c r="AR45" i="20"/>
  <c r="AN34" i="20"/>
  <c r="BJ146" i="20"/>
  <c r="BJ150" i="20"/>
  <c r="BK136" i="20"/>
  <c r="BJ166" i="20"/>
  <c r="BJ62" i="21"/>
  <c r="BL96" i="21"/>
  <c r="BF96" i="21" s="1"/>
  <c r="BL104" i="21"/>
  <c r="BF104" i="21" s="1"/>
  <c r="BJ42" i="21"/>
  <c r="BJ47" i="21"/>
  <c r="BL17" i="21"/>
  <c r="BF17" i="21" s="1"/>
  <c r="BK56" i="21"/>
  <c r="BE56" i="21" s="1"/>
  <c r="BK80" i="21"/>
  <c r="BE80" i="21" s="1"/>
  <c r="BL32" i="21"/>
  <c r="BF32" i="21" s="1"/>
  <c r="BK58" i="21"/>
  <c r="BE58" i="21" s="1"/>
  <c r="BB53" i="21"/>
  <c r="BD53" i="21" s="1"/>
  <c r="BH53" i="21" s="1"/>
  <c r="AV42" i="20"/>
  <c r="BL42" i="20" s="1"/>
  <c r="AS45" i="20"/>
  <c r="R45" i="20"/>
  <c r="T45" i="20" s="1"/>
  <c r="BI45" i="20" s="1"/>
  <c r="AR46" i="20"/>
  <c r="BJ106" i="21"/>
  <c r="AN53" i="20"/>
  <c r="AS58" i="20"/>
  <c r="R58" i="20"/>
  <c r="T58" i="20" s="1"/>
  <c r="BI58" i="20" s="1"/>
  <c r="AN21" i="20"/>
  <c r="BE21" i="20" s="1"/>
  <c r="AI29" i="20"/>
  <c r="BF29" i="20" s="1"/>
  <c r="AV81" i="20"/>
  <c r="BL81" i="20" s="1"/>
  <c r="BK75" i="20"/>
  <c r="AV57" i="20"/>
  <c r="BL57" i="20" s="1"/>
  <c r="AR58" i="20"/>
  <c r="BK204" i="20"/>
  <c r="BK188" i="20"/>
  <c r="BJ161" i="20"/>
  <c r="BK150" i="20"/>
  <c r="BJ188" i="20"/>
  <c r="BK146" i="20"/>
  <c r="BK203" i="20"/>
  <c r="BJ134" i="20"/>
  <c r="AR57" i="20"/>
  <c r="BL73" i="21"/>
  <c r="BF73" i="21" s="1"/>
  <c r="BL49" i="21"/>
  <c r="BF49" i="21" s="1"/>
  <c r="BL103" i="21"/>
  <c r="BF103" i="21" s="1"/>
  <c r="BL54" i="21"/>
  <c r="BF54" i="21" s="1"/>
  <c r="BL39" i="21"/>
  <c r="BF39" i="21" s="1"/>
  <c r="BL34" i="21"/>
  <c r="BF34" i="21" s="1"/>
  <c r="BL21" i="21"/>
  <c r="BF21" i="21" s="1"/>
  <c r="AV58" i="20"/>
  <c r="BL58" i="20" s="1"/>
  <c r="BJ44" i="21"/>
  <c r="AI57" i="20"/>
  <c r="BK57" i="20" s="1"/>
  <c r="R21" i="20"/>
  <c r="T21" i="20" s="1"/>
  <c r="AV10" i="20"/>
  <c r="BL10" i="20" s="1"/>
  <c r="AG106" i="20"/>
  <c r="AI106" i="20" s="1"/>
  <c r="AN38" i="20"/>
  <c r="BJ71" i="20"/>
  <c r="BJ14" i="21"/>
  <c r="BJ43" i="21"/>
  <c r="BL78" i="21"/>
  <c r="BF78" i="21" s="1"/>
  <c r="BL108" i="21"/>
  <c r="BF108" i="21" s="1"/>
  <c r="BL75" i="21"/>
  <c r="BF75" i="21" s="1"/>
  <c r="BL38" i="21"/>
  <c r="BF38" i="21" s="1"/>
  <c r="BL71" i="21"/>
  <c r="BF71" i="21" s="1"/>
  <c r="BB109" i="21"/>
  <c r="BD109" i="21" s="1"/>
  <c r="BH109" i="21" s="1"/>
  <c r="BK57" i="21"/>
  <c r="BE57" i="21" s="1"/>
  <c r="BK26" i="21"/>
  <c r="BE26" i="21" s="1"/>
  <c r="BK52" i="21"/>
  <c r="BE52" i="21" s="1"/>
  <c r="BK60" i="21"/>
  <c r="BE60" i="21" s="1"/>
  <c r="BK100" i="21"/>
  <c r="BE100" i="21" s="1"/>
  <c r="BJ10" i="21"/>
  <c r="BL88" i="21"/>
  <c r="BF88" i="21" s="1"/>
  <c r="BK29" i="21"/>
  <c r="BE29" i="21" s="1"/>
  <c r="BL13" i="21"/>
  <c r="BF13" i="21" s="1"/>
  <c r="BL33" i="21"/>
  <c r="BF33" i="21" s="1"/>
  <c r="BL27" i="21"/>
  <c r="BF27" i="21" s="1"/>
  <c r="BK79" i="21"/>
  <c r="BE79" i="21" s="1"/>
  <c r="BK95" i="21"/>
  <c r="BE95" i="21" s="1"/>
  <c r="BK98" i="21"/>
  <c r="BE98" i="21" s="1"/>
  <c r="BK106" i="21"/>
  <c r="BE106" i="21" s="1"/>
  <c r="BK65" i="21"/>
  <c r="BE65" i="21" s="1"/>
  <c r="BJ67" i="21"/>
  <c r="BJ84" i="21"/>
  <c r="BJ53" i="21"/>
  <c r="BL92" i="21"/>
  <c r="BF92" i="21" s="1"/>
  <c r="BB76" i="21"/>
  <c r="BD76" i="21" s="1"/>
  <c r="BH76" i="21" s="1"/>
  <c r="BL51" i="21"/>
  <c r="BF51" i="21" s="1"/>
  <c r="BL100" i="21"/>
  <c r="BF100" i="21" s="1"/>
  <c r="BB101" i="21"/>
  <c r="BD101" i="21" s="1"/>
  <c r="BH101" i="21" s="1"/>
  <c r="BK53" i="21"/>
  <c r="BE53" i="21" s="1"/>
  <c r="BJ102" i="21"/>
  <c r="BB67" i="21"/>
  <c r="BD67" i="21" s="1"/>
  <c r="BH67" i="21" s="1"/>
  <c r="BJ142" i="20"/>
  <c r="BB45" i="21"/>
  <c r="BD45" i="21" s="1"/>
  <c r="BH45" i="21" s="1"/>
  <c r="BB55" i="21"/>
  <c r="BD55" i="21" s="1"/>
  <c r="BH55" i="21" s="1"/>
  <c r="BL40" i="21"/>
  <c r="BF40" i="21" s="1"/>
  <c r="BL48" i="21"/>
  <c r="BF48" i="21" s="1"/>
  <c r="BL79" i="21"/>
  <c r="BF79" i="21" s="1"/>
  <c r="BL50" i="21"/>
  <c r="BF50" i="21" s="1"/>
  <c r="BL69" i="21"/>
  <c r="BF69" i="21" s="1"/>
  <c r="BL77" i="21"/>
  <c r="BF77" i="21" s="1"/>
  <c r="BJ21" i="21"/>
  <c r="BB66" i="21"/>
  <c r="BD66" i="21" s="1"/>
  <c r="BH66" i="21" s="1"/>
  <c r="BJ76" i="21"/>
  <c r="BL80" i="21"/>
  <c r="BF80" i="21" s="1"/>
  <c r="BL52" i="21"/>
  <c r="BF52" i="21" s="1"/>
  <c r="BJ63" i="21"/>
  <c r="BJ109" i="21"/>
  <c r="BL23" i="21"/>
  <c r="BF23" i="21" s="1"/>
  <c r="BL18" i="21"/>
  <c r="BF18" i="21" s="1"/>
  <c r="BK45" i="21"/>
  <c r="BE45" i="21" s="1"/>
  <c r="BL60" i="21"/>
  <c r="BF60" i="21" s="1"/>
  <c r="BL95" i="21"/>
  <c r="BF95" i="21" s="1"/>
  <c r="BK88" i="21"/>
  <c r="BE88" i="21" s="1"/>
  <c r="BK104" i="21"/>
  <c r="BE104" i="21" s="1"/>
  <c r="BK84" i="21"/>
  <c r="BE84" i="21" s="1"/>
  <c r="BK28" i="21"/>
  <c r="BE28" i="21" s="1"/>
  <c r="BK107" i="21"/>
  <c r="BE107" i="21" s="1"/>
  <c r="BK35" i="21"/>
  <c r="BE35" i="21" s="1"/>
  <c r="BK94" i="21"/>
  <c r="BE94" i="21" s="1"/>
  <c r="BK49" i="21"/>
  <c r="BE49" i="21" s="1"/>
  <c r="BK66" i="21"/>
  <c r="BE66" i="21" s="1"/>
  <c r="BJ55" i="21"/>
  <c r="BJ130" i="20"/>
  <c r="BJ136" i="20"/>
  <c r="BB47" i="21"/>
  <c r="BD47" i="21" s="1"/>
  <c r="BH47" i="21" s="1"/>
  <c r="BJ16" i="21"/>
  <c r="BB83" i="21"/>
  <c r="BD83" i="21" s="1"/>
  <c r="BH83" i="21" s="1"/>
  <c r="BB70" i="21"/>
  <c r="BD70" i="21" s="1"/>
  <c r="BH70" i="21" s="1"/>
  <c r="BJ70" i="21"/>
  <c r="BB63" i="21"/>
  <c r="BD63" i="21" s="1"/>
  <c r="BH63" i="21" s="1"/>
  <c r="BJ32" i="21"/>
  <c r="BJ17" i="21"/>
  <c r="BJ9" i="21"/>
  <c r="BJ83" i="21"/>
  <c r="BL87" i="21"/>
  <c r="BF87" i="21" s="1"/>
  <c r="BJ90" i="21"/>
  <c r="BB30" i="21"/>
  <c r="BD30" i="21" s="1"/>
  <c r="BH30" i="21" s="1"/>
  <c r="BB90" i="21"/>
  <c r="BD90" i="21" s="1"/>
  <c r="BH90" i="21" s="1"/>
  <c r="BB62" i="21"/>
  <c r="BD62" i="21" s="1"/>
  <c r="BH62" i="21" s="1"/>
  <c r="BK67" i="21"/>
  <c r="BE67" i="21" s="1"/>
  <c r="BB14" i="21"/>
  <c r="BD14" i="21" s="1"/>
  <c r="BH14" i="21" s="1"/>
  <c r="BB57" i="21"/>
  <c r="BD57" i="21" s="1"/>
  <c r="BH57" i="21" s="1"/>
  <c r="BI109" i="21"/>
  <c r="BJ57" i="21"/>
  <c r="BB44" i="21"/>
  <c r="BD44" i="21" s="1"/>
  <c r="BH44" i="21" s="1"/>
  <c r="BB106" i="21"/>
  <c r="BD106" i="21" s="1"/>
  <c r="BH106" i="21" s="1"/>
  <c r="BJ18" i="21"/>
  <c r="BI101" i="21"/>
  <c r="BJ58" i="21"/>
  <c r="BB15" i="21"/>
  <c r="BD15" i="21" s="1"/>
  <c r="BH15" i="21" s="1"/>
  <c r="BJ101" i="21"/>
  <c r="BJ34" i="21"/>
  <c r="BB9" i="21"/>
  <c r="BD9" i="21" s="1"/>
  <c r="BH9" i="21" s="1"/>
  <c r="BJ56" i="21"/>
  <c r="BJ11" i="21"/>
  <c r="BJ82" i="21"/>
  <c r="BJ81" i="21"/>
  <c r="BJ93" i="21"/>
  <c r="BJ15" i="21"/>
  <c r="BJ99" i="21"/>
  <c r="BJ72" i="21"/>
  <c r="BJ24" i="21"/>
  <c r="BK102" i="21"/>
  <c r="BE102" i="21" s="1"/>
  <c r="BL14" i="21"/>
  <c r="BF14" i="21" s="1"/>
  <c r="BL46" i="21"/>
  <c r="BF46" i="21" s="1"/>
  <c r="AV49" i="20"/>
  <c r="BL49" i="20" s="1"/>
  <c r="AN54" i="20"/>
  <c r="AR70" i="20"/>
  <c r="AN50" i="20"/>
  <c r="AR69" i="20"/>
  <c r="BJ118" i="20"/>
  <c r="BF137" i="20"/>
  <c r="BJ137" i="20"/>
  <c r="BF160" i="20"/>
  <c r="BJ160" i="20"/>
  <c r="BF135" i="20"/>
  <c r="BJ135" i="20"/>
  <c r="BF115" i="20"/>
  <c r="BJ115" i="20"/>
  <c r="BF199" i="20"/>
  <c r="BJ199" i="20"/>
  <c r="BF123" i="20"/>
  <c r="BJ123" i="20"/>
  <c r="BF149" i="20"/>
  <c r="BJ149" i="20"/>
  <c r="BF177" i="20"/>
  <c r="BJ177" i="20"/>
  <c r="BF186" i="20"/>
  <c r="BJ186" i="20"/>
  <c r="AE38" i="20"/>
  <c r="AR25" i="20"/>
  <c r="AR31" i="20"/>
  <c r="AI109" i="20"/>
  <c r="AI70" i="20"/>
  <c r="AR81" i="20"/>
  <c r="AI74" i="20"/>
  <c r="AE90" i="20"/>
  <c r="BE90" i="20" s="1"/>
  <c r="AI102" i="20"/>
  <c r="BK56" i="20"/>
  <c r="BF183" i="20"/>
  <c r="BJ183" i="20"/>
  <c r="AI94" i="20"/>
  <c r="BF94" i="20" s="1"/>
  <c r="AI92" i="20"/>
  <c r="BF92" i="20" s="1"/>
  <c r="AI27" i="20"/>
  <c r="BB27" i="20" s="1"/>
  <c r="BD27" i="20" s="1"/>
  <c r="BH27" i="20" s="1"/>
  <c r="AI81" i="20"/>
  <c r="BK95" i="20"/>
  <c r="BJ67" i="20"/>
  <c r="AE29" i="20"/>
  <c r="AR18" i="20"/>
  <c r="AN109" i="20"/>
  <c r="BE109" i="20" s="1"/>
  <c r="AR74" i="20"/>
  <c r="AE85" i="20"/>
  <c r="BE85" i="20" s="1"/>
  <c r="AI132" i="20"/>
  <c r="BF132" i="20" s="1"/>
  <c r="AI148" i="20"/>
  <c r="BF148" i="20" s="1"/>
  <c r="AI108" i="20"/>
  <c r="BF108" i="20" s="1"/>
  <c r="AI99" i="20"/>
  <c r="BF99" i="20" s="1"/>
  <c r="AI100" i="20"/>
  <c r="BF100" i="20" s="1"/>
  <c r="AI46" i="20"/>
  <c r="AI79" i="20"/>
  <c r="BF79" i="20" s="1"/>
  <c r="BB183" i="20"/>
  <c r="BD183" i="20" s="1"/>
  <c r="BH183" i="20" s="1"/>
  <c r="BJ204" i="20"/>
  <c r="AI76" i="20"/>
  <c r="BF76" i="20" s="1"/>
  <c r="AI60" i="20"/>
  <c r="BF60" i="20" s="1"/>
  <c r="AI82" i="20"/>
  <c r="AI91" i="20"/>
  <c r="BF91" i="20" s="1"/>
  <c r="BK12" i="21"/>
  <c r="BE12" i="21" s="1"/>
  <c r="BK32" i="21"/>
  <c r="BE32" i="21" s="1"/>
  <c r="BK17" i="21"/>
  <c r="BE17" i="21" s="1"/>
  <c r="BK99" i="21"/>
  <c r="BE99" i="21" s="1"/>
  <c r="BK34" i="21"/>
  <c r="BE34" i="21" s="1"/>
  <c r="BK72" i="21"/>
  <c r="BE72" i="21" s="1"/>
  <c r="BK10" i="21"/>
  <c r="BE10" i="21" s="1"/>
  <c r="BL26" i="21"/>
  <c r="BF26" i="21" s="1"/>
  <c r="BL12" i="21"/>
  <c r="BF12" i="21" s="1"/>
  <c r="BL64" i="21"/>
  <c r="BF64" i="21" s="1"/>
  <c r="BL107" i="21"/>
  <c r="BF107" i="21" s="1"/>
  <c r="BK16" i="21"/>
  <c r="BE16" i="21" s="1"/>
  <c r="BK19" i="21"/>
  <c r="BE19" i="21" s="1"/>
  <c r="BK13" i="21"/>
  <c r="BE13" i="21" s="1"/>
  <c r="BK33" i="21"/>
  <c r="BE33" i="21" s="1"/>
  <c r="BK103" i="21"/>
  <c r="BE103" i="21" s="1"/>
  <c r="BK71" i="21"/>
  <c r="BE71" i="21" s="1"/>
  <c r="BK50" i="21"/>
  <c r="BE50" i="21" s="1"/>
  <c r="BK31" i="21"/>
  <c r="BE31" i="21" s="1"/>
  <c r="BK51" i="21"/>
  <c r="BE51" i="21" s="1"/>
  <c r="BK27" i="21"/>
  <c r="BE27" i="21" s="1"/>
  <c r="BL29" i="21"/>
  <c r="BF29" i="21" s="1"/>
  <c r="BL16" i="21"/>
  <c r="BF16" i="21" s="1"/>
  <c r="BL28" i="21"/>
  <c r="BF28" i="21" s="1"/>
  <c r="BL91" i="21"/>
  <c r="BF91" i="21" s="1"/>
  <c r="BL61" i="21"/>
  <c r="BF61" i="21" s="1"/>
  <c r="BJ22" i="21"/>
  <c r="BL22" i="21"/>
  <c r="BF22" i="21" s="1"/>
  <c r="BB102" i="21"/>
  <c r="BD102" i="21" s="1"/>
  <c r="BH102" i="21" s="1"/>
  <c r="BB94" i="21"/>
  <c r="BD94" i="21" s="1"/>
  <c r="BH94" i="21" s="1"/>
  <c r="BJ20" i="21"/>
  <c r="BJ35" i="21"/>
  <c r="BB84" i="21"/>
  <c r="BD84" i="21" s="1"/>
  <c r="BH84" i="21" s="1"/>
  <c r="BB93" i="21"/>
  <c r="BD93" i="21" s="1"/>
  <c r="BH93" i="21" s="1"/>
  <c r="BJ28" i="21"/>
  <c r="BJ27" i="21"/>
  <c r="BB97" i="21"/>
  <c r="BD97" i="21" s="1"/>
  <c r="BH97" i="21" s="1"/>
  <c r="BB81" i="21"/>
  <c r="BD81" i="21" s="1"/>
  <c r="BH81" i="21" s="1"/>
  <c r="BB24" i="21"/>
  <c r="BD24" i="21" s="1"/>
  <c r="BH24" i="21" s="1"/>
  <c r="BB89" i="21"/>
  <c r="BD89" i="21" s="1"/>
  <c r="BH89" i="21" s="1"/>
  <c r="BB98" i="21"/>
  <c r="BD98" i="21" s="1"/>
  <c r="BH98" i="21" s="1"/>
  <c r="BB68" i="21"/>
  <c r="BD68" i="21" s="1"/>
  <c r="BH68" i="21" s="1"/>
  <c r="BB105" i="21"/>
  <c r="BD105" i="21" s="1"/>
  <c r="BH105" i="21" s="1"/>
  <c r="BB11" i="21"/>
  <c r="BD11" i="21" s="1"/>
  <c r="BH11" i="21" s="1"/>
  <c r="BJ59" i="21"/>
  <c r="BJ85" i="21"/>
  <c r="BJ68" i="21"/>
  <c r="BJ98" i="21"/>
  <c r="BB21" i="21"/>
  <c r="BD21" i="21" s="1"/>
  <c r="BH21" i="21" s="1"/>
  <c r="BJ25" i="21"/>
  <c r="BJ12" i="21"/>
  <c r="BJ89" i="21"/>
  <c r="BJ94" i="21"/>
  <c r="BJ71" i="21"/>
  <c r="BJ37" i="21"/>
  <c r="BJ30" i="21"/>
  <c r="AN23" i="21"/>
  <c r="BJ23" i="21" s="1"/>
  <c r="BJ26" i="21"/>
  <c r="BJ107" i="21"/>
  <c r="BJ105" i="21"/>
  <c r="BB46" i="21"/>
  <c r="BD46" i="21" s="1"/>
  <c r="BH46" i="21" s="1"/>
  <c r="BB49" i="21"/>
  <c r="BD49" i="21" s="1"/>
  <c r="BH49" i="21" s="1"/>
  <c r="BJ31" i="21"/>
  <c r="BJ13" i="21"/>
  <c r="BJ91" i="21"/>
  <c r="BB52" i="21"/>
  <c r="BD52" i="21" s="1"/>
  <c r="BH52" i="21" s="1"/>
  <c r="BJ29" i="21"/>
  <c r="BJ97" i="21"/>
  <c r="BB82" i="21"/>
  <c r="BD82" i="21" s="1"/>
  <c r="BH82" i="21" s="1"/>
  <c r="BB72" i="21"/>
  <c r="BD72" i="21" s="1"/>
  <c r="BH72" i="21" s="1"/>
  <c r="BJ41" i="21"/>
  <c r="BB41" i="21"/>
  <c r="BD41" i="21" s="1"/>
  <c r="BH41" i="21" s="1"/>
  <c r="BI43" i="21"/>
  <c r="BB43" i="21"/>
  <c r="BD43" i="21" s="1"/>
  <c r="BH43" i="21" s="1"/>
  <c r="BJ33" i="21"/>
  <c r="BJ19" i="21"/>
  <c r="BB50" i="21"/>
  <c r="BD50" i="21" s="1"/>
  <c r="BH50" i="21" s="1"/>
  <c r="BJ87" i="21"/>
  <c r="BB54" i="21"/>
  <c r="BD54" i="21" s="1"/>
  <c r="BH54" i="21" s="1"/>
  <c r="BB59" i="21"/>
  <c r="BD59" i="21" s="1"/>
  <c r="BB56" i="21"/>
  <c r="BD56" i="21" s="1"/>
  <c r="BH56" i="21" s="1"/>
  <c r="BJ40" i="21"/>
  <c r="BB40" i="21"/>
  <c r="BD40" i="21" s="1"/>
  <c r="BH40" i="21" s="1"/>
  <c r="BB48" i="21"/>
  <c r="BD48" i="21" s="1"/>
  <c r="BH48" i="21" s="1"/>
  <c r="BJ92" i="21"/>
  <c r="BJ108" i="21"/>
  <c r="BJ73" i="21"/>
  <c r="BJ77" i="21"/>
  <c r="BI75" i="21"/>
  <c r="BB75" i="21"/>
  <c r="BD75" i="21" s="1"/>
  <c r="BH75" i="21" s="1"/>
  <c r="BJ60" i="21"/>
  <c r="BI60" i="21"/>
  <c r="BB60" i="21"/>
  <c r="BD60" i="21" s="1"/>
  <c r="BH60" i="21" s="1"/>
  <c r="BI33" i="21"/>
  <c r="BB33" i="21"/>
  <c r="BD33" i="21" s="1"/>
  <c r="BH33" i="21" s="1"/>
  <c r="BJ104" i="21"/>
  <c r="BJ79" i="21"/>
  <c r="BJ80" i="21"/>
  <c r="BJ36" i="21"/>
  <c r="BI39" i="21"/>
  <c r="BB39" i="21"/>
  <c r="BD39" i="21" s="1"/>
  <c r="BH39" i="21" s="1"/>
  <c r="BI37" i="21"/>
  <c r="BB37" i="21"/>
  <c r="BD37" i="21" s="1"/>
  <c r="BH37" i="21" s="1"/>
  <c r="BJ95" i="21"/>
  <c r="BI78" i="21"/>
  <c r="BB78" i="21"/>
  <c r="BD78" i="21" s="1"/>
  <c r="BH78" i="21" s="1"/>
  <c r="BI26" i="21"/>
  <c r="BB26" i="21"/>
  <c r="BD26" i="21" s="1"/>
  <c r="BH26" i="21" s="1"/>
  <c r="BI28" i="21"/>
  <c r="BB28" i="21"/>
  <c r="BD28" i="21" s="1"/>
  <c r="BH28" i="21" s="1"/>
  <c r="BJ64" i="21"/>
  <c r="BI64" i="21"/>
  <c r="BB64" i="21"/>
  <c r="BD64" i="21" s="1"/>
  <c r="BH64" i="21" s="1"/>
  <c r="BI73" i="21"/>
  <c r="BB73" i="21"/>
  <c r="BD73" i="21" s="1"/>
  <c r="BH73" i="21" s="1"/>
  <c r="BI88" i="21"/>
  <c r="BB88" i="21"/>
  <c r="BD88" i="21" s="1"/>
  <c r="BH88" i="21" s="1"/>
  <c r="BI87" i="21"/>
  <c r="BB87" i="21"/>
  <c r="BD87" i="21" s="1"/>
  <c r="BH87" i="21" s="1"/>
  <c r="BB42" i="21"/>
  <c r="BD42" i="21" s="1"/>
  <c r="BH42" i="21" s="1"/>
  <c r="BI25" i="21"/>
  <c r="BB25" i="21"/>
  <c r="BD25" i="21" s="1"/>
  <c r="BH25" i="21" s="1"/>
  <c r="BJ75" i="21"/>
  <c r="BJ48" i="21"/>
  <c r="BJ96" i="21"/>
  <c r="BI79" i="21"/>
  <c r="BB79" i="21"/>
  <c r="BD79" i="21" s="1"/>
  <c r="BH79" i="21" s="1"/>
  <c r="BI77" i="21"/>
  <c r="BB77" i="21"/>
  <c r="BD77" i="21" s="1"/>
  <c r="BH77" i="21" s="1"/>
  <c r="BI19" i="21"/>
  <c r="BB19" i="21"/>
  <c r="BD19" i="21" s="1"/>
  <c r="BI95" i="21"/>
  <c r="BB95" i="21"/>
  <c r="BD95" i="21" s="1"/>
  <c r="BH95" i="21" s="1"/>
  <c r="BJ78" i="21"/>
  <c r="BJ38" i="21"/>
  <c r="BI34" i="21"/>
  <c r="BB34" i="21"/>
  <c r="BD34" i="21" s="1"/>
  <c r="BH34" i="21" s="1"/>
  <c r="BI10" i="21"/>
  <c r="BB10" i="21"/>
  <c r="BD10" i="21" s="1"/>
  <c r="BH10" i="21" s="1"/>
  <c r="BI108" i="21"/>
  <c r="BB108" i="21"/>
  <c r="BD108" i="21" s="1"/>
  <c r="BH108" i="21" s="1"/>
  <c r="BB36" i="21"/>
  <c r="BD36" i="21" s="1"/>
  <c r="BH36" i="21" s="1"/>
  <c r="BI17" i="21"/>
  <c r="BB17" i="21"/>
  <c r="BD17" i="21" s="1"/>
  <c r="BH17" i="21" s="1"/>
  <c r="BI18" i="21"/>
  <c r="BB18" i="21"/>
  <c r="BD18" i="21" s="1"/>
  <c r="BH18" i="21" s="1"/>
  <c r="BI20" i="21"/>
  <c r="BB20" i="21"/>
  <c r="BD20" i="21" s="1"/>
  <c r="BH20" i="21" s="1"/>
  <c r="BJ39" i="21"/>
  <c r="BI86" i="21"/>
  <c r="BB86" i="21"/>
  <c r="BD86" i="21" s="1"/>
  <c r="BH86" i="21" s="1"/>
  <c r="BJ69" i="21"/>
  <c r="BI69" i="21"/>
  <c r="BB69" i="21"/>
  <c r="BD69" i="21" s="1"/>
  <c r="BH69" i="21" s="1"/>
  <c r="BI16" i="21"/>
  <c r="BB16" i="21"/>
  <c r="BD16" i="21" s="1"/>
  <c r="BH16" i="21" s="1"/>
  <c r="BI96" i="21"/>
  <c r="BB96" i="21"/>
  <c r="BD96" i="21" s="1"/>
  <c r="BH96" i="21" s="1"/>
  <c r="BJ49" i="21"/>
  <c r="BI13" i="21"/>
  <c r="BB13" i="21"/>
  <c r="BD13" i="21" s="1"/>
  <c r="BH13" i="21" s="1"/>
  <c r="BI103" i="21"/>
  <c r="BB103" i="21"/>
  <c r="BD103" i="21" s="1"/>
  <c r="BH103" i="21" s="1"/>
  <c r="BI29" i="21"/>
  <c r="BB29" i="21"/>
  <c r="BD29" i="21" s="1"/>
  <c r="BH29" i="21" s="1"/>
  <c r="BB35" i="21"/>
  <c r="BD35" i="21" s="1"/>
  <c r="BH35" i="21" s="1"/>
  <c r="BI85" i="21"/>
  <c r="BB85" i="21"/>
  <c r="BD85" i="21" s="1"/>
  <c r="BH85" i="21" s="1"/>
  <c r="BI100" i="21"/>
  <c r="BB100" i="21"/>
  <c r="BD100" i="21" s="1"/>
  <c r="BH100" i="21" s="1"/>
  <c r="BI27" i="21"/>
  <c r="BB27" i="21"/>
  <c r="BD27" i="21" s="1"/>
  <c r="BH27" i="21" s="1"/>
  <c r="BJ61" i="21"/>
  <c r="BI61" i="21"/>
  <c r="BB61" i="21"/>
  <c r="BD61" i="21" s="1"/>
  <c r="BH61" i="21" s="1"/>
  <c r="BI91" i="21"/>
  <c r="BB91" i="21"/>
  <c r="BD91" i="21" s="1"/>
  <c r="BH91" i="21" s="1"/>
  <c r="BI107" i="21"/>
  <c r="BB107" i="21"/>
  <c r="BD107" i="21" s="1"/>
  <c r="BH107" i="21" s="1"/>
  <c r="BJ86" i="21"/>
  <c r="BI31" i="21"/>
  <c r="BB31" i="21"/>
  <c r="BD31" i="21" s="1"/>
  <c r="BH31" i="21" s="1"/>
  <c r="BI12" i="21"/>
  <c r="BB12" i="21"/>
  <c r="BD12" i="21" s="1"/>
  <c r="BH12" i="21" s="1"/>
  <c r="BI104" i="21"/>
  <c r="BB104" i="21"/>
  <c r="BD104" i="21" s="1"/>
  <c r="BH104" i="21" s="1"/>
  <c r="BI80" i="21"/>
  <c r="BB80" i="21"/>
  <c r="BD80" i="21" s="1"/>
  <c r="BH80" i="21" s="1"/>
  <c r="BJ54" i="21"/>
  <c r="BJ65" i="21"/>
  <c r="BI65" i="21"/>
  <c r="BB65" i="21"/>
  <c r="BD65" i="21" s="1"/>
  <c r="BH65" i="21" s="1"/>
  <c r="BJ52" i="21"/>
  <c r="BI23" i="21"/>
  <c r="BJ103" i="21"/>
  <c r="BB38" i="21"/>
  <c r="BD38" i="21" s="1"/>
  <c r="BH38" i="21" s="1"/>
  <c r="BJ50" i="21"/>
  <c r="BI32" i="21"/>
  <c r="BB32" i="21"/>
  <c r="BD32" i="21" s="1"/>
  <c r="BH32" i="21" s="1"/>
  <c r="BJ51" i="21"/>
  <c r="BI92" i="21"/>
  <c r="BB92" i="21"/>
  <c r="BD92" i="21" s="1"/>
  <c r="BH92" i="21" s="1"/>
  <c r="BJ100" i="21"/>
  <c r="BJ88" i="21"/>
  <c r="BJ46" i="21"/>
  <c r="BI99" i="21"/>
  <c r="BB99" i="21"/>
  <c r="BD99" i="21" s="1"/>
  <c r="BH99" i="21" s="1"/>
  <c r="BI71" i="21"/>
  <c r="BB71" i="21"/>
  <c r="BD71" i="21" s="1"/>
  <c r="BH71" i="21" s="1"/>
  <c r="BB51" i="21"/>
  <c r="BD51" i="21" s="1"/>
  <c r="BH51" i="21" s="1"/>
  <c r="BK202" i="20"/>
  <c r="BJ202" i="20"/>
  <c r="BI150" i="20"/>
  <c r="BB150" i="20"/>
  <c r="BD150" i="20" s="1"/>
  <c r="BH150" i="20" s="1"/>
  <c r="BK207" i="20"/>
  <c r="BK129" i="20"/>
  <c r="BJ129" i="20"/>
  <c r="BK113" i="20"/>
  <c r="BK169" i="20"/>
  <c r="BK112" i="20"/>
  <c r="BJ112" i="20"/>
  <c r="BJ163" i="20"/>
  <c r="BI163" i="20"/>
  <c r="BB163" i="20"/>
  <c r="BD163" i="20" s="1"/>
  <c r="BH163" i="20" s="1"/>
  <c r="BK194" i="20"/>
  <c r="BI202" i="20"/>
  <c r="BB202" i="20"/>
  <c r="BD202" i="20" s="1"/>
  <c r="BH202" i="20" s="1"/>
  <c r="BJ141" i="20"/>
  <c r="BI141" i="20"/>
  <c r="BB141" i="20"/>
  <c r="BD141" i="20" s="1"/>
  <c r="BH141" i="20" s="1"/>
  <c r="BK157" i="20"/>
  <c r="BK198" i="20"/>
  <c r="BJ187" i="20"/>
  <c r="BI176" i="20"/>
  <c r="BB176" i="20"/>
  <c r="BD176" i="20" s="1"/>
  <c r="BH176" i="20" s="1"/>
  <c r="BJ184" i="20"/>
  <c r="BI184" i="20"/>
  <c r="BB184" i="20"/>
  <c r="BD184" i="20" s="1"/>
  <c r="BH184" i="20" s="1"/>
  <c r="BK110" i="20"/>
  <c r="BJ125" i="20"/>
  <c r="BK125" i="20"/>
  <c r="BI125" i="20"/>
  <c r="BB125" i="20"/>
  <c r="BD125" i="20" s="1"/>
  <c r="BH125" i="20" s="1"/>
  <c r="BK133" i="20"/>
  <c r="BI133" i="20"/>
  <c r="BB133" i="20"/>
  <c r="BD133" i="20" s="1"/>
  <c r="BH133" i="20" s="1"/>
  <c r="BK119" i="20"/>
  <c r="BK209" i="20"/>
  <c r="BI177" i="20"/>
  <c r="BB177" i="20"/>
  <c r="BD177" i="20" s="1"/>
  <c r="BH177" i="20" s="1"/>
  <c r="BI186" i="20"/>
  <c r="BB186" i="20"/>
  <c r="BD186" i="20" s="1"/>
  <c r="BH186" i="20" s="1"/>
  <c r="BI132" i="20"/>
  <c r="BI198" i="20"/>
  <c r="BB198" i="20"/>
  <c r="BD198" i="20" s="1"/>
  <c r="BH198" i="20" s="1"/>
  <c r="BK162" i="20"/>
  <c r="BJ127" i="20"/>
  <c r="BI148" i="20"/>
  <c r="BK123" i="20"/>
  <c r="BK131" i="20"/>
  <c r="BI131" i="20"/>
  <c r="BB131" i="20"/>
  <c r="BD131" i="20" s="1"/>
  <c r="BH131" i="20" s="1"/>
  <c r="BJ205" i="20"/>
  <c r="BK168" i="20"/>
  <c r="BK135" i="20"/>
  <c r="BK175" i="20"/>
  <c r="BK114" i="20"/>
  <c r="BJ121" i="20"/>
  <c r="BI129" i="20"/>
  <c r="BB129" i="20"/>
  <c r="BD129" i="20" s="1"/>
  <c r="BH129" i="20" s="1"/>
  <c r="BI158" i="20"/>
  <c r="BB158" i="20"/>
  <c r="BD158" i="20" s="1"/>
  <c r="BH158" i="20" s="1"/>
  <c r="BI189" i="20"/>
  <c r="BB189" i="20"/>
  <c r="BD189" i="20" s="1"/>
  <c r="BH189" i="20" s="1"/>
  <c r="BK189" i="20"/>
  <c r="BI185" i="20"/>
  <c r="BB185" i="20"/>
  <c r="BD185" i="20" s="1"/>
  <c r="BH185" i="20" s="1"/>
  <c r="BJ182" i="20"/>
  <c r="BI208" i="20"/>
  <c r="BB208" i="20"/>
  <c r="BD208" i="20" s="1"/>
  <c r="BH208" i="20" s="1"/>
  <c r="BI161" i="20"/>
  <c r="BB161" i="20"/>
  <c r="BD161" i="20" s="1"/>
  <c r="BH161" i="20" s="1"/>
  <c r="BI134" i="20"/>
  <c r="BB134" i="20"/>
  <c r="BD134" i="20" s="1"/>
  <c r="BH134" i="20" s="1"/>
  <c r="BI199" i="20"/>
  <c r="BB199" i="20"/>
  <c r="BD199" i="20" s="1"/>
  <c r="BH199" i="20" s="1"/>
  <c r="BJ174" i="20"/>
  <c r="BI157" i="20"/>
  <c r="BB157" i="20"/>
  <c r="BD157" i="20" s="1"/>
  <c r="BH157" i="20" s="1"/>
  <c r="BK140" i="20"/>
  <c r="BI165" i="20"/>
  <c r="BB165" i="20"/>
  <c r="BD165" i="20" s="1"/>
  <c r="BH165" i="20" s="1"/>
  <c r="BJ110" i="20"/>
  <c r="BI110" i="20"/>
  <c r="BB110" i="20"/>
  <c r="BD110" i="20" s="1"/>
  <c r="BH110" i="20" s="1"/>
  <c r="BI126" i="20"/>
  <c r="BB126" i="20"/>
  <c r="BD126" i="20" s="1"/>
  <c r="BH126" i="20" s="1"/>
  <c r="BJ119" i="20"/>
  <c r="BJ209" i="20"/>
  <c r="BJ194" i="20"/>
  <c r="BJ201" i="20"/>
  <c r="BI201" i="20"/>
  <c r="BB201" i="20"/>
  <c r="BD201" i="20" s="1"/>
  <c r="BH201" i="20" s="1"/>
  <c r="BI123" i="20"/>
  <c r="BB123" i="20"/>
  <c r="BD123" i="20" s="1"/>
  <c r="BH123" i="20" s="1"/>
  <c r="BK147" i="20"/>
  <c r="BJ144" i="20"/>
  <c r="BI144" i="20"/>
  <c r="BB144" i="20"/>
  <c r="BD144" i="20" s="1"/>
  <c r="BH144" i="20" s="1"/>
  <c r="BK192" i="20"/>
  <c r="BK142" i="20"/>
  <c r="BJ153" i="20"/>
  <c r="BJ111" i="20"/>
  <c r="BK111" i="20"/>
  <c r="BI111" i="20"/>
  <c r="BB111" i="20"/>
  <c r="BD111" i="20" s="1"/>
  <c r="BH111" i="20" s="1"/>
  <c r="BI135" i="20"/>
  <c r="BB135" i="20"/>
  <c r="BD135" i="20" s="1"/>
  <c r="BH135" i="20" s="1"/>
  <c r="BI175" i="20"/>
  <c r="BB175" i="20"/>
  <c r="BD175" i="20" s="1"/>
  <c r="BH175" i="20" s="1"/>
  <c r="BJ114" i="20"/>
  <c r="BI114" i="20"/>
  <c r="BB114" i="20"/>
  <c r="BD114" i="20" s="1"/>
  <c r="BH114" i="20" s="1"/>
  <c r="BJ154" i="20"/>
  <c r="BJ170" i="20"/>
  <c r="BJ189" i="20"/>
  <c r="BJ164" i="20"/>
  <c r="BI164" i="20"/>
  <c r="BB164" i="20"/>
  <c r="BD164" i="20" s="1"/>
  <c r="BH164" i="20" s="1"/>
  <c r="BK200" i="20"/>
  <c r="BI174" i="20"/>
  <c r="BB174" i="20"/>
  <c r="BD174" i="20" s="1"/>
  <c r="BH174" i="20" s="1"/>
  <c r="BK174" i="20"/>
  <c r="BK141" i="20"/>
  <c r="BJ140" i="20"/>
  <c r="BI140" i="20"/>
  <c r="BB140" i="20"/>
  <c r="BD140" i="20" s="1"/>
  <c r="BH140" i="20" s="1"/>
  <c r="BJ113" i="20"/>
  <c r="BI113" i="20"/>
  <c r="BB113" i="20"/>
  <c r="BD113" i="20" s="1"/>
  <c r="BH113" i="20" s="1"/>
  <c r="BJ176" i="20"/>
  <c r="BK126" i="20"/>
  <c r="BK149" i="20"/>
  <c r="BI149" i="20"/>
  <c r="BB149" i="20"/>
  <c r="BD149" i="20" s="1"/>
  <c r="BH149" i="20" s="1"/>
  <c r="BJ200" i="20"/>
  <c r="BJ198" i="20"/>
  <c r="BK122" i="20"/>
  <c r="BI146" i="20"/>
  <c r="BB146" i="20"/>
  <c r="BD146" i="20" s="1"/>
  <c r="BH146" i="20" s="1"/>
  <c r="BJ178" i="20"/>
  <c r="BI178" i="20"/>
  <c r="BB178" i="20"/>
  <c r="BD178" i="20" s="1"/>
  <c r="BH178" i="20" s="1"/>
  <c r="BI136" i="20"/>
  <c r="BB136" i="20"/>
  <c r="BD136" i="20" s="1"/>
  <c r="BH136" i="20" s="1"/>
  <c r="BJ131" i="20"/>
  <c r="BJ147" i="20"/>
  <c r="BI147" i="20"/>
  <c r="BB147" i="20"/>
  <c r="BD147" i="20" s="1"/>
  <c r="BH147" i="20" s="1"/>
  <c r="BI197" i="20"/>
  <c r="BB197" i="20"/>
  <c r="BD197" i="20" s="1"/>
  <c r="BH197" i="20" s="1"/>
  <c r="BJ207" i="20"/>
  <c r="BI207" i="20"/>
  <c r="BB207" i="20"/>
  <c r="BD207" i="20" s="1"/>
  <c r="BH207" i="20" s="1"/>
  <c r="BI203" i="20"/>
  <c r="BB203" i="20"/>
  <c r="BD203" i="20" s="1"/>
  <c r="BH203" i="20" s="1"/>
  <c r="BI128" i="20"/>
  <c r="BB128" i="20"/>
  <c r="BD128" i="20" s="1"/>
  <c r="BH128" i="20" s="1"/>
  <c r="BK144" i="20"/>
  <c r="BI168" i="20"/>
  <c r="BB168" i="20"/>
  <c r="BD168" i="20" s="1"/>
  <c r="BH168" i="20" s="1"/>
  <c r="BJ192" i="20"/>
  <c r="BI192" i="20"/>
  <c r="BB192" i="20"/>
  <c r="BD192" i="20" s="1"/>
  <c r="BH192" i="20" s="1"/>
  <c r="BK195" i="20"/>
  <c r="BJ190" i="20"/>
  <c r="BI153" i="20"/>
  <c r="BB153" i="20"/>
  <c r="BD153" i="20" s="1"/>
  <c r="BH153" i="20" s="1"/>
  <c r="BK138" i="20"/>
  <c r="BI154" i="20"/>
  <c r="BB154" i="20"/>
  <c r="BD154" i="20" s="1"/>
  <c r="BH154" i="20" s="1"/>
  <c r="BI170" i="20"/>
  <c r="BB170" i="20"/>
  <c r="BD170" i="20" s="1"/>
  <c r="BH170" i="20" s="1"/>
  <c r="BJ145" i="20"/>
  <c r="BI112" i="20"/>
  <c r="BB112" i="20"/>
  <c r="BD112" i="20" s="1"/>
  <c r="BH112" i="20" s="1"/>
  <c r="BI142" i="20"/>
  <c r="BB142" i="20"/>
  <c r="BD142" i="20" s="1"/>
  <c r="BH142" i="20" s="1"/>
  <c r="BJ124" i="20"/>
  <c r="BK164" i="20"/>
  <c r="BI166" i="20"/>
  <c r="BB166" i="20"/>
  <c r="BD166" i="20" s="1"/>
  <c r="BH166" i="20" s="1"/>
  <c r="BI117" i="20"/>
  <c r="BB117" i="20"/>
  <c r="BD117" i="20" s="1"/>
  <c r="BH117" i="20" s="1"/>
  <c r="BI115" i="20"/>
  <c r="BB115" i="20"/>
  <c r="BD115" i="20" s="1"/>
  <c r="BH115" i="20" s="1"/>
  <c r="BI188" i="20"/>
  <c r="BB188" i="20"/>
  <c r="BD188" i="20" s="1"/>
  <c r="BH188" i="20" s="1"/>
  <c r="BK163" i="20"/>
  <c r="BK158" i="20"/>
  <c r="BJ157" i="20"/>
  <c r="BK187" i="20"/>
  <c r="BI187" i="20"/>
  <c r="BB187" i="20"/>
  <c r="BD187" i="20" s="1"/>
  <c r="BH187" i="20" s="1"/>
  <c r="BK184" i="20"/>
  <c r="BJ126" i="20"/>
  <c r="BJ133" i="20"/>
  <c r="BI119" i="20"/>
  <c r="BB119" i="20"/>
  <c r="BD119" i="20" s="1"/>
  <c r="BH119" i="20" s="1"/>
  <c r="BI209" i="20"/>
  <c r="BB209" i="20"/>
  <c r="BD209" i="20" s="1"/>
  <c r="BI200" i="20"/>
  <c r="BB200" i="20"/>
  <c r="BD200" i="20" s="1"/>
  <c r="BH200" i="20" s="1"/>
  <c r="BK177" i="20"/>
  <c r="BK186" i="20"/>
  <c r="BI194" i="20"/>
  <c r="BB194" i="20"/>
  <c r="BD194" i="20" s="1"/>
  <c r="BH194" i="20" s="1"/>
  <c r="BJ122" i="20"/>
  <c r="BI122" i="20"/>
  <c r="BB122" i="20"/>
  <c r="BD122" i="20" s="1"/>
  <c r="BH122" i="20" s="1"/>
  <c r="BI130" i="20"/>
  <c r="BB130" i="20"/>
  <c r="BD130" i="20" s="1"/>
  <c r="BH130" i="20" s="1"/>
  <c r="BI162" i="20"/>
  <c r="BB162" i="20"/>
  <c r="BD162" i="20" s="1"/>
  <c r="BH162" i="20" s="1"/>
  <c r="BI137" i="20"/>
  <c r="BB137" i="20"/>
  <c r="BD137" i="20" s="1"/>
  <c r="BH137" i="20" s="1"/>
  <c r="BK137" i="20"/>
  <c r="BI120" i="20"/>
  <c r="BB120" i="20"/>
  <c r="BD120" i="20" s="1"/>
  <c r="BH120" i="20" s="1"/>
  <c r="BK127" i="20"/>
  <c r="BI127" i="20"/>
  <c r="BB127" i="20"/>
  <c r="BD127" i="20" s="1"/>
  <c r="BH127" i="20" s="1"/>
  <c r="BJ197" i="20"/>
  <c r="BK197" i="20"/>
  <c r="BI205" i="20"/>
  <c r="BB205" i="20"/>
  <c r="BD205" i="20" s="1"/>
  <c r="BH205" i="20" s="1"/>
  <c r="BK205" i="20"/>
  <c r="BJ128" i="20"/>
  <c r="BK128" i="20"/>
  <c r="BJ168" i="20"/>
  <c r="BJ195" i="20"/>
  <c r="BI195" i="20"/>
  <c r="BB195" i="20"/>
  <c r="BD195" i="20" s="1"/>
  <c r="BH195" i="20" s="1"/>
  <c r="BJ169" i="20"/>
  <c r="BI169" i="20"/>
  <c r="BB169" i="20"/>
  <c r="BD169" i="20" s="1"/>
  <c r="BH169" i="20" s="1"/>
  <c r="BI190" i="20"/>
  <c r="BB190" i="20"/>
  <c r="BD190" i="20" s="1"/>
  <c r="BH190" i="20" s="1"/>
  <c r="BK190" i="20"/>
  <c r="BK153" i="20"/>
  <c r="BI160" i="20"/>
  <c r="BB160" i="20"/>
  <c r="BD160" i="20" s="1"/>
  <c r="BH160" i="20" s="1"/>
  <c r="BK160" i="20"/>
  <c r="BJ175" i="20"/>
  <c r="BK185" i="20"/>
  <c r="BJ138" i="20"/>
  <c r="BI138" i="20"/>
  <c r="BB138" i="20"/>
  <c r="BD138" i="20" s="1"/>
  <c r="BH138" i="20" s="1"/>
  <c r="BK154" i="20"/>
  <c r="BK170" i="20"/>
  <c r="BK121" i="20"/>
  <c r="BI121" i="20"/>
  <c r="BB121" i="20"/>
  <c r="BD121" i="20" s="1"/>
  <c r="BH121" i="20" s="1"/>
  <c r="BK145" i="20"/>
  <c r="BI145" i="20"/>
  <c r="BB145" i="20"/>
  <c r="BD145" i="20" s="1"/>
  <c r="BH145" i="20" s="1"/>
  <c r="BJ158" i="20"/>
  <c r="BI124" i="20"/>
  <c r="BB124" i="20"/>
  <c r="BD124" i="20" s="1"/>
  <c r="BH124" i="20" s="1"/>
  <c r="BK124" i="20"/>
  <c r="BJ180" i="20"/>
  <c r="BK180" i="20"/>
  <c r="BI180" i="20"/>
  <c r="BB180" i="20"/>
  <c r="BD180" i="20" s="1"/>
  <c r="BH180" i="20" s="1"/>
  <c r="BK182" i="20"/>
  <c r="BI182" i="20"/>
  <c r="BB182" i="20"/>
  <c r="BD182" i="20" s="1"/>
  <c r="BH182" i="20" s="1"/>
  <c r="BK117" i="20"/>
  <c r="BJ117" i="20"/>
  <c r="BK115" i="20"/>
  <c r="BK199" i="20"/>
  <c r="AV54" i="20"/>
  <c r="BL54" i="20" s="1"/>
  <c r="BJ22" i="20"/>
  <c r="R17" i="20"/>
  <c r="T17" i="20" s="1"/>
  <c r="BI17" i="20" s="1"/>
  <c r="AV30" i="20"/>
  <c r="BL30" i="20" s="1"/>
  <c r="BJ40" i="20"/>
  <c r="AG50" i="20"/>
  <c r="AI50" i="20" s="1"/>
  <c r="BF50" i="20" s="1"/>
  <c r="AV50" i="20"/>
  <c r="BL50" i="20" s="1"/>
  <c r="AS74" i="20"/>
  <c r="R74" i="20"/>
  <c r="T74" i="20" s="1"/>
  <c r="BI74" i="20" s="1"/>
  <c r="AS90" i="20"/>
  <c r="R90" i="20"/>
  <c r="T90" i="20" s="1"/>
  <c r="BI90" i="20" s="1"/>
  <c r="BJ20" i="20"/>
  <c r="BK71" i="20"/>
  <c r="AG65" i="20"/>
  <c r="AI65" i="20" s="1"/>
  <c r="AV65" i="20"/>
  <c r="BL65" i="20" s="1"/>
  <c r="AS69" i="20"/>
  <c r="R69" i="20"/>
  <c r="T69" i="20" s="1"/>
  <c r="BI69" i="20" s="1"/>
  <c r="AV66" i="20"/>
  <c r="BL66" i="20" s="1"/>
  <c r="BB71" i="20"/>
  <c r="BD71" i="20" s="1"/>
  <c r="BH71" i="20" s="1"/>
  <c r="AV77" i="20"/>
  <c r="BL77" i="20" s="1"/>
  <c r="AK73" i="20"/>
  <c r="AN73" i="20" s="1"/>
  <c r="AV73" i="20"/>
  <c r="BL73" i="20" s="1"/>
  <c r="AV69" i="20"/>
  <c r="BL69" i="20" s="1"/>
  <c r="R18" i="20"/>
  <c r="T18" i="20" s="1"/>
  <c r="BI18" i="20" s="1"/>
  <c r="R14" i="20"/>
  <c r="T14" i="20" s="1"/>
  <c r="BI14" i="20" s="1"/>
  <c r="BB40" i="20"/>
  <c r="BD40" i="20" s="1"/>
  <c r="BH40" i="20" s="1"/>
  <c r="R106" i="20"/>
  <c r="T106" i="20" s="1"/>
  <c r="BI106" i="20" s="1"/>
  <c r="BJ9" i="20"/>
  <c r="AS109" i="20"/>
  <c r="R109" i="20"/>
  <c r="T109" i="20" s="1"/>
  <c r="BJ103" i="20"/>
  <c r="BJ87" i="20"/>
  <c r="AV26" i="20"/>
  <c r="BL26" i="20" s="1"/>
  <c r="AG26" i="20"/>
  <c r="BK51" i="20"/>
  <c r="BJ68" i="20"/>
  <c r="BJ51" i="20"/>
  <c r="BJ59" i="20"/>
  <c r="BJ84" i="20"/>
  <c r="AK33" i="20"/>
  <c r="AV33" i="20"/>
  <c r="BL33" i="20" s="1"/>
  <c r="AG25" i="20"/>
  <c r="AI25" i="20" s="1"/>
  <c r="AV25" i="20"/>
  <c r="BL25" i="20" s="1"/>
  <c r="BI40" i="20"/>
  <c r="BK9" i="20"/>
  <c r="BB55" i="20"/>
  <c r="BD55" i="20" s="1"/>
  <c r="BH55" i="20" s="1"/>
  <c r="BB103" i="20"/>
  <c r="BD103" i="20" s="1"/>
  <c r="BH103" i="20" s="1"/>
  <c r="BB68" i="20"/>
  <c r="BD68" i="20" s="1"/>
  <c r="BH68" i="20" s="1"/>
  <c r="BK68" i="20"/>
  <c r="BK103" i="20"/>
  <c r="AV14" i="20"/>
  <c r="BL14" i="20" s="1"/>
  <c r="BB67" i="20"/>
  <c r="BD67" i="20" s="1"/>
  <c r="BH67" i="20" s="1"/>
  <c r="BB59" i="20"/>
  <c r="BD59" i="20" s="1"/>
  <c r="BH59" i="20" s="1"/>
  <c r="R38" i="20"/>
  <c r="T38" i="20" s="1"/>
  <c r="BB51" i="20"/>
  <c r="BD51" i="20" s="1"/>
  <c r="BH51" i="20" s="1"/>
  <c r="AG14" i="20"/>
  <c r="AI14" i="20" s="1"/>
  <c r="BK59" i="20"/>
  <c r="BK67" i="20"/>
  <c r="BB9" i="20"/>
  <c r="BD9" i="20" s="1"/>
  <c r="BB22" i="20"/>
  <c r="BD22" i="20" s="1"/>
  <c r="BH22" i="20" s="1"/>
  <c r="BK24" i="20"/>
  <c r="BK11" i="20"/>
  <c r="BK10" i="20"/>
  <c r="BK12" i="20"/>
  <c r="BK20" i="20"/>
  <c r="N13" i="8"/>
  <c r="E43" i="1"/>
  <c r="Q3" i="17"/>
  <c r="K4" i="17"/>
  <c r="BE75" i="20" l="1"/>
  <c r="BB84" i="20"/>
  <c r="BD84" i="20" s="1"/>
  <c r="BH84" i="20" s="1"/>
  <c r="BI63" i="20"/>
  <c r="BB75" i="20"/>
  <c r="BD75" i="20" s="1"/>
  <c r="BH75" i="20" s="1"/>
  <c r="BF106" i="20"/>
  <c r="BE32" i="20"/>
  <c r="BF98" i="20"/>
  <c r="BB64" i="20"/>
  <c r="BD64" i="20" s="1"/>
  <c r="BH64" i="20" s="1"/>
  <c r="BB87" i="20"/>
  <c r="BD87" i="20" s="1"/>
  <c r="BH87" i="20" s="1"/>
  <c r="BE88" i="20"/>
  <c r="BE94" i="20"/>
  <c r="BB80" i="20"/>
  <c r="BD80" i="20" s="1"/>
  <c r="BH80" i="20" s="1"/>
  <c r="BF102" i="20"/>
  <c r="BJ64" i="20"/>
  <c r="BF85" i="20"/>
  <c r="BF82" i="20"/>
  <c r="BF109" i="20"/>
  <c r="BJ80" i="20"/>
  <c r="BB95" i="20"/>
  <c r="BD95" i="20" s="1"/>
  <c r="BH95" i="20" s="1"/>
  <c r="BJ95" i="20"/>
  <c r="BJ56" i="20"/>
  <c r="BB56" i="20"/>
  <c r="BD56" i="20" s="1"/>
  <c r="BH56" i="20" s="1"/>
  <c r="BE101" i="20"/>
  <c r="BF104" i="20"/>
  <c r="BF16" i="20"/>
  <c r="BF15" i="20"/>
  <c r="BE69" i="20"/>
  <c r="BE98" i="20"/>
  <c r="BF72" i="20"/>
  <c r="BF66" i="20"/>
  <c r="BF97" i="20"/>
  <c r="BF70" i="20"/>
  <c r="BF86" i="20"/>
  <c r="BE86" i="20"/>
  <c r="BF81" i="20"/>
  <c r="BF47" i="20"/>
  <c r="BE43" i="20"/>
  <c r="BE73" i="20"/>
  <c r="BJ35" i="20"/>
  <c r="BB35" i="20"/>
  <c r="BD35" i="20" s="1"/>
  <c r="BH35" i="20" s="1"/>
  <c r="BF35" i="20"/>
  <c r="BK35" i="20"/>
  <c r="BB32" i="20"/>
  <c r="BD32" i="20" s="1"/>
  <c r="BH32" i="20" s="1"/>
  <c r="BE23" i="20"/>
  <c r="BJ15" i="20"/>
  <c r="BF105" i="20"/>
  <c r="BJ105" i="20"/>
  <c r="BK47" i="20"/>
  <c r="BF37" i="20"/>
  <c r="BJ48" i="20"/>
  <c r="BJ43" i="20"/>
  <c r="BF43" i="20"/>
  <c r="BK48" i="20"/>
  <c r="BJ11" i="20"/>
  <c r="BK15" i="20"/>
  <c r="BJ24" i="20"/>
  <c r="BB24" i="20"/>
  <c r="BD24" i="20" s="1"/>
  <c r="BH24" i="20" s="1"/>
  <c r="BB11" i="20"/>
  <c r="BD11" i="20" s="1"/>
  <c r="BH11" i="20" s="1"/>
  <c r="BJ47" i="20"/>
  <c r="BB43" i="20"/>
  <c r="BD43" i="20" s="1"/>
  <c r="BH43" i="20" s="1"/>
  <c r="BB47" i="20"/>
  <c r="BD47" i="20" s="1"/>
  <c r="BH47" i="20" s="1"/>
  <c r="BE44" i="20"/>
  <c r="BF44" i="20"/>
  <c r="BF19" i="20"/>
  <c r="BB48" i="20"/>
  <c r="BD48" i="20" s="1"/>
  <c r="BH48" i="20" s="1"/>
  <c r="BF49" i="20"/>
  <c r="BB15" i="20"/>
  <c r="BD15" i="20" s="1"/>
  <c r="BH15" i="20" s="1"/>
  <c r="BE53" i="20"/>
  <c r="BE52" i="20"/>
  <c r="BF14" i="20"/>
  <c r="BF23" i="20"/>
  <c r="BI15" i="20"/>
  <c r="BE36" i="20"/>
  <c r="BF88" i="20"/>
  <c r="BF31" i="20"/>
  <c r="BK49" i="20"/>
  <c r="BK19" i="20"/>
  <c r="BJ16" i="20"/>
  <c r="BF89" i="20"/>
  <c r="BB16" i="20"/>
  <c r="BD16" i="20" s="1"/>
  <c r="BH16" i="20" s="1"/>
  <c r="BJ37" i="20"/>
  <c r="BF28" i="20"/>
  <c r="BE107" i="20"/>
  <c r="BB20" i="20"/>
  <c r="BD20" i="20" s="1"/>
  <c r="BH20" i="20" s="1"/>
  <c r="BK73" i="20"/>
  <c r="BB28" i="20"/>
  <c r="BD28" i="20" s="1"/>
  <c r="BH28" i="20" s="1"/>
  <c r="BF33" i="20"/>
  <c r="BK107" i="20"/>
  <c r="BK86" i="20"/>
  <c r="BE34" i="20"/>
  <c r="BF42" i="20"/>
  <c r="BJ28" i="20"/>
  <c r="BJ89" i="20"/>
  <c r="BJ77" i="20"/>
  <c r="BF18" i="20"/>
  <c r="BF77" i="20"/>
  <c r="BJ86" i="20"/>
  <c r="BE12" i="20"/>
  <c r="BJ78" i="20"/>
  <c r="BJ10" i="20"/>
  <c r="BB148" i="20"/>
  <c r="BD148" i="20" s="1"/>
  <c r="BH148" i="20" s="1"/>
  <c r="BF101" i="20"/>
  <c r="BK93" i="20"/>
  <c r="BJ93" i="20"/>
  <c r="BE105" i="20"/>
  <c r="BB104" i="20"/>
  <c r="BD104" i="20" s="1"/>
  <c r="BH104" i="20" s="1"/>
  <c r="BB86" i="20"/>
  <c r="BD86" i="20" s="1"/>
  <c r="BH86" i="20" s="1"/>
  <c r="BB62" i="20"/>
  <c r="BD62" i="20" s="1"/>
  <c r="BH62" i="20" s="1"/>
  <c r="BB19" i="20"/>
  <c r="BD19" i="20" s="1"/>
  <c r="BH19" i="20" s="1"/>
  <c r="BJ19" i="20"/>
  <c r="BB93" i="20"/>
  <c r="BD93" i="20" s="1"/>
  <c r="BH93" i="20" s="1"/>
  <c r="BF62" i="20"/>
  <c r="BJ62" i="20"/>
  <c r="BJ17" i="20"/>
  <c r="BJ52" i="20"/>
  <c r="BK98" i="20"/>
  <c r="BK148" i="20"/>
  <c r="BB101" i="20"/>
  <c r="BD101" i="20" s="1"/>
  <c r="BH101" i="20" s="1"/>
  <c r="BK44" i="20"/>
  <c r="BJ101" i="20"/>
  <c r="BE26" i="20"/>
  <c r="BJ107" i="20"/>
  <c r="BJ12" i="20"/>
  <c r="BJ36" i="20"/>
  <c r="BJ44" i="20"/>
  <c r="BE30" i="20"/>
  <c r="BB12" i="20"/>
  <c r="BD12" i="20" s="1"/>
  <c r="BH12" i="20" s="1"/>
  <c r="BB98" i="20"/>
  <c r="BD98" i="20" s="1"/>
  <c r="BH98" i="20" s="1"/>
  <c r="BK104" i="20"/>
  <c r="BB89" i="20"/>
  <c r="BD89" i="20" s="1"/>
  <c r="BH89" i="20" s="1"/>
  <c r="BJ23" i="20"/>
  <c r="BJ104" i="20"/>
  <c r="BJ98" i="20"/>
  <c r="BB105" i="20"/>
  <c r="BD105" i="20" s="1"/>
  <c r="BH105" i="20" s="1"/>
  <c r="BB36" i="20"/>
  <c r="BD36" i="20" s="1"/>
  <c r="BH36" i="20" s="1"/>
  <c r="BB52" i="20"/>
  <c r="BD52" i="20" s="1"/>
  <c r="BH52" i="20" s="1"/>
  <c r="BK78" i="20"/>
  <c r="BJ69" i="20"/>
  <c r="BE17" i="20"/>
  <c r="BB78" i="20"/>
  <c r="BD78" i="20" s="1"/>
  <c r="BH78" i="20" s="1"/>
  <c r="BJ49" i="20"/>
  <c r="BB44" i="20"/>
  <c r="BD44" i="20" s="1"/>
  <c r="BH44" i="20" s="1"/>
  <c r="BJ72" i="20"/>
  <c r="BB72" i="20"/>
  <c r="BD72" i="20" s="1"/>
  <c r="BH72" i="20" s="1"/>
  <c r="BK66" i="20"/>
  <c r="BB107" i="20"/>
  <c r="BD107" i="20" s="1"/>
  <c r="BH107" i="20" s="1"/>
  <c r="BJ88" i="20"/>
  <c r="BB23" i="20"/>
  <c r="BD23" i="20" s="1"/>
  <c r="BH23" i="20" s="1"/>
  <c r="BF65" i="20"/>
  <c r="BJ66" i="20"/>
  <c r="BF46" i="20"/>
  <c r="BF21" i="20"/>
  <c r="BK72" i="20"/>
  <c r="BB88" i="20"/>
  <c r="BD88" i="20" s="1"/>
  <c r="BH88" i="20" s="1"/>
  <c r="BE29" i="20"/>
  <c r="BF30" i="20"/>
  <c r="BF74" i="20"/>
  <c r="BF69" i="20"/>
  <c r="BF58" i="20"/>
  <c r="BF53" i="20"/>
  <c r="BK58" i="20"/>
  <c r="BJ13" i="20"/>
  <c r="BE54" i="20"/>
  <c r="BK38" i="20"/>
  <c r="BK74" i="20"/>
  <c r="BJ31" i="20"/>
  <c r="BB53" i="20"/>
  <c r="BD53" i="20" s="1"/>
  <c r="BH53" i="20" s="1"/>
  <c r="BJ30" i="20"/>
  <c r="BJ53" i="20"/>
  <c r="BJ92" i="20"/>
  <c r="BJ42" i="20"/>
  <c r="BE50" i="20"/>
  <c r="BB42" i="20"/>
  <c r="BD42" i="20" s="1"/>
  <c r="BH42" i="20" s="1"/>
  <c r="BJ58" i="20"/>
  <c r="BF41" i="20"/>
  <c r="BB49" i="20"/>
  <c r="BD49" i="20" s="1"/>
  <c r="BH49" i="20" s="1"/>
  <c r="BJ39" i="20"/>
  <c r="BB45" i="20"/>
  <c r="BD45" i="20" s="1"/>
  <c r="BH45" i="20" s="1"/>
  <c r="BJ41" i="20"/>
  <c r="BJ57" i="20"/>
  <c r="BE37" i="20"/>
  <c r="BK29" i="20"/>
  <c r="BB17" i="20"/>
  <c r="BD17" i="20" s="1"/>
  <c r="BH17" i="20" s="1"/>
  <c r="BB37" i="20"/>
  <c r="BD37" i="20" s="1"/>
  <c r="BH37" i="20" s="1"/>
  <c r="BB76" i="20"/>
  <c r="BD76" i="20" s="1"/>
  <c r="BH76" i="20" s="1"/>
  <c r="BB57" i="20"/>
  <c r="BD57" i="20" s="1"/>
  <c r="BH57" i="20" s="1"/>
  <c r="BJ46" i="20"/>
  <c r="BJ99" i="20"/>
  <c r="BJ45" i="20"/>
  <c r="BJ18" i="20"/>
  <c r="BJ27" i="20"/>
  <c r="BF27" i="20"/>
  <c r="BF25" i="20"/>
  <c r="BE38" i="20"/>
  <c r="BF39" i="20"/>
  <c r="BB30" i="20"/>
  <c r="BD30" i="20" s="1"/>
  <c r="BH30" i="20" s="1"/>
  <c r="BF45" i="20"/>
  <c r="BB31" i="20"/>
  <c r="BD31" i="20" s="1"/>
  <c r="BH31" i="20" s="1"/>
  <c r="BB60" i="20"/>
  <c r="BD60" i="20" s="1"/>
  <c r="BH60" i="20" s="1"/>
  <c r="BB99" i="20"/>
  <c r="BD99" i="20" s="1"/>
  <c r="BH99" i="20" s="1"/>
  <c r="BB92" i="20"/>
  <c r="BD92" i="20" s="1"/>
  <c r="BH92" i="20" s="1"/>
  <c r="BB91" i="20"/>
  <c r="BD91" i="20" s="1"/>
  <c r="BH91" i="20" s="1"/>
  <c r="BK27" i="20"/>
  <c r="BJ76" i="20"/>
  <c r="BJ91" i="20"/>
  <c r="BJ60" i="20"/>
  <c r="BK54" i="20"/>
  <c r="BB10" i="20"/>
  <c r="BD10" i="20" s="1"/>
  <c r="BH10" i="20" s="1"/>
  <c r="BF61" i="20"/>
  <c r="BJ61" i="20"/>
  <c r="BK61" i="20"/>
  <c r="BI10" i="20"/>
  <c r="BB13" i="20"/>
  <c r="BD13" i="20" s="1"/>
  <c r="BH13" i="20" s="1"/>
  <c r="BB100" i="20"/>
  <c r="BD100" i="20" s="1"/>
  <c r="BH100" i="20" s="1"/>
  <c r="BB41" i="20"/>
  <c r="BD41" i="20" s="1"/>
  <c r="BH41" i="20" s="1"/>
  <c r="BJ34" i="20"/>
  <c r="BK132" i="20"/>
  <c r="BJ74" i="20"/>
  <c r="BB46" i="20"/>
  <c r="BD46" i="20" s="1"/>
  <c r="BH46" i="20" s="1"/>
  <c r="BB97" i="20"/>
  <c r="BD97" i="20" s="1"/>
  <c r="BH97" i="20" s="1"/>
  <c r="BB39" i="20"/>
  <c r="BD39" i="20" s="1"/>
  <c r="BH39" i="20" s="1"/>
  <c r="BB58" i="20"/>
  <c r="BD58" i="20" s="1"/>
  <c r="BH58" i="20" s="1"/>
  <c r="BB82" i="20"/>
  <c r="BD82" i="20" s="1"/>
  <c r="BH82" i="20" s="1"/>
  <c r="H4" i="21"/>
  <c r="BB79" i="20"/>
  <c r="BD79" i="20" s="1"/>
  <c r="BH79" i="20" s="1"/>
  <c r="BB94" i="20"/>
  <c r="BD94" i="20" s="1"/>
  <c r="BH94" i="20" s="1"/>
  <c r="BB102" i="20"/>
  <c r="BD102" i="20" s="1"/>
  <c r="BH102" i="20" s="1"/>
  <c r="BB108" i="20"/>
  <c r="BD108" i="20" s="1"/>
  <c r="BH108" i="20" s="1"/>
  <c r="BK100" i="20"/>
  <c r="BK109" i="20"/>
  <c r="BJ97" i="20"/>
  <c r="BJ94" i="20"/>
  <c r="BJ82" i="20"/>
  <c r="BJ79" i="20"/>
  <c r="BJ108" i="20"/>
  <c r="BJ102" i="20"/>
  <c r="BJ106" i="20"/>
  <c r="BB81" i="20"/>
  <c r="BD81" i="20" s="1"/>
  <c r="BH81" i="20" s="1"/>
  <c r="BJ21" i="20"/>
  <c r="BB132" i="20"/>
  <c r="BD132" i="20" s="1"/>
  <c r="BH132" i="20" s="1"/>
  <c r="BF57" i="20"/>
  <c r="BJ90" i="20"/>
  <c r="BH9" i="20"/>
  <c r="B456" i="2" s="1"/>
  <c r="H2" i="20"/>
  <c r="BH209" i="20"/>
  <c r="B457" i="2" s="1"/>
  <c r="H4" i="20"/>
  <c r="BJ54" i="20"/>
  <c r="BK76" i="20"/>
  <c r="BB61" i="20"/>
  <c r="BD61" i="20" s="1"/>
  <c r="BH61" i="20" s="1"/>
  <c r="BK82" i="20"/>
  <c r="BK108" i="20"/>
  <c r="BK60" i="20"/>
  <c r="BK46" i="20"/>
  <c r="BJ148" i="20"/>
  <c r="BK81" i="20"/>
  <c r="BJ100" i="20"/>
  <c r="BK92" i="20"/>
  <c r="BK102" i="20"/>
  <c r="BK94" i="20"/>
  <c r="BK91" i="20"/>
  <c r="AI26" i="20"/>
  <c r="BK106" i="20"/>
  <c r="BK79" i="20"/>
  <c r="BJ132" i="20"/>
  <c r="BK97" i="20"/>
  <c r="BK99" i="20"/>
  <c r="AN33" i="20"/>
  <c r="BE33" i="20" s="1"/>
  <c r="BK23" i="21"/>
  <c r="BE23" i="21" s="1"/>
  <c r="BB23" i="21"/>
  <c r="BD23" i="21" s="1"/>
  <c r="BH23" i="21" s="1"/>
  <c r="BH19" i="21"/>
  <c r="H2" i="21"/>
  <c r="BH59" i="21"/>
  <c r="H3" i="21"/>
  <c r="BB54" i="20"/>
  <c r="BD54" i="20" s="1"/>
  <c r="BH54" i="20" s="1"/>
  <c r="BB34" i="20"/>
  <c r="BD34" i="20" s="1"/>
  <c r="BH34" i="20" s="1"/>
  <c r="BJ81" i="20"/>
  <c r="BB85" i="20"/>
  <c r="BD85" i="20" s="1"/>
  <c r="BH85" i="20" s="1"/>
  <c r="BB21" i="20"/>
  <c r="BD21" i="20" s="1"/>
  <c r="BH21" i="20" s="1"/>
  <c r="BB18" i="20"/>
  <c r="BD18" i="20" s="1"/>
  <c r="BH18" i="20" s="1"/>
  <c r="BB90" i="20"/>
  <c r="BD90" i="20" s="1"/>
  <c r="BH90" i="20" s="1"/>
  <c r="BK90" i="20"/>
  <c r="BB69" i="20"/>
  <c r="BD69" i="20" s="1"/>
  <c r="BH69" i="20" s="1"/>
  <c r="BI21" i="20"/>
  <c r="BJ38" i="20"/>
  <c r="BB65" i="20"/>
  <c r="BD65" i="20" s="1"/>
  <c r="BH65" i="20" s="1"/>
  <c r="BJ65" i="20"/>
  <c r="BK65" i="20"/>
  <c r="BK70" i="20"/>
  <c r="BK50" i="20"/>
  <c r="BJ50" i="20"/>
  <c r="BB74" i="20"/>
  <c r="BD74" i="20" s="1"/>
  <c r="BH74" i="20" s="1"/>
  <c r="BB70" i="20"/>
  <c r="BD70" i="20" s="1"/>
  <c r="BH70" i="20" s="1"/>
  <c r="BJ70" i="20"/>
  <c r="BJ109" i="20"/>
  <c r="BK85" i="20"/>
  <c r="BJ85" i="20"/>
  <c r="BB50" i="20"/>
  <c r="BD50" i="20" s="1"/>
  <c r="BH50" i="20" s="1"/>
  <c r="BB66" i="20"/>
  <c r="BD66" i="20" s="1"/>
  <c r="BH66" i="20" s="1"/>
  <c r="BB73" i="20"/>
  <c r="BD73" i="20" s="1"/>
  <c r="BH73" i="20" s="1"/>
  <c r="BJ73" i="20"/>
  <c r="BB77" i="20"/>
  <c r="BD77" i="20" s="1"/>
  <c r="BH77" i="20" s="1"/>
  <c r="BB106" i="20"/>
  <c r="BD106" i="20" s="1"/>
  <c r="BH106" i="20" s="1"/>
  <c r="BB29" i="20"/>
  <c r="BD29" i="20" s="1"/>
  <c r="BH29" i="20" s="1"/>
  <c r="BI109" i="20"/>
  <c r="BB109" i="20"/>
  <c r="BD109" i="20" s="1"/>
  <c r="BJ14" i="20"/>
  <c r="BK25" i="20"/>
  <c r="BJ25" i="20"/>
  <c r="BB25" i="20"/>
  <c r="BD25" i="20" s="1"/>
  <c r="BH25" i="20" s="1"/>
  <c r="BJ29" i="20"/>
  <c r="BB14" i="20"/>
  <c r="BD14" i="20" s="1"/>
  <c r="BH14" i="20" s="1"/>
  <c r="BB38" i="20"/>
  <c r="BD38" i="20" s="1"/>
  <c r="BH38" i="20" s="1"/>
  <c r="BI38" i="20"/>
  <c r="BK14" i="20"/>
  <c r="D607" i="17"/>
  <c r="D194" i="17"/>
  <c r="C598" i="17"/>
  <c r="D606" i="17"/>
  <c r="C174" i="17"/>
  <c r="D291" i="17"/>
  <c r="D60" i="17"/>
  <c r="C524" i="17"/>
  <c r="C420" i="17"/>
  <c r="C446" i="17"/>
  <c r="C228" i="17"/>
  <c r="D222" i="17"/>
  <c r="D562" i="17"/>
  <c r="C484" i="17"/>
  <c r="D418" i="17"/>
  <c r="D163" i="17"/>
  <c r="D472" i="17"/>
  <c r="D561" i="17"/>
  <c r="D381" i="17"/>
  <c r="C449" i="17"/>
  <c r="C123" i="17"/>
  <c r="C30" i="17"/>
  <c r="D594" i="17"/>
  <c r="C541" i="17"/>
  <c r="C516" i="17"/>
  <c r="C594" i="17"/>
  <c r="C546" i="17"/>
  <c r="C380" i="17"/>
  <c r="D227" i="17"/>
  <c r="D585" i="17"/>
  <c r="C535" i="17"/>
  <c r="C382" i="17"/>
  <c r="D215" i="17"/>
  <c r="D281" i="17"/>
  <c r="D509" i="17"/>
  <c r="D304" i="17"/>
  <c r="C513" i="17"/>
  <c r="D359" i="17"/>
  <c r="C251" i="17"/>
  <c r="D29" i="17"/>
  <c r="C77" i="17"/>
  <c r="D368" i="17"/>
  <c r="C610" i="17"/>
  <c r="D546" i="17"/>
  <c r="C570" i="17"/>
  <c r="D494" i="17"/>
  <c r="D430" i="17"/>
  <c r="C468" i="17"/>
  <c r="D559" i="17"/>
  <c r="D474" i="17"/>
  <c r="D575" i="17"/>
  <c r="C480" i="17"/>
  <c r="C404" i="17"/>
  <c r="C387" i="17"/>
  <c r="D259" i="17"/>
  <c r="D131" i="17"/>
  <c r="C571" i="17"/>
  <c r="D600" i="17"/>
  <c r="C590" i="17"/>
  <c r="D440" i="17"/>
  <c r="C414" i="17"/>
  <c r="C389" i="17"/>
  <c r="C343" i="17"/>
  <c r="D576" i="17"/>
  <c r="C345" i="17"/>
  <c r="C293" i="17"/>
  <c r="C471" i="17"/>
  <c r="D317" i="17"/>
  <c r="C164" i="17"/>
  <c r="C113" i="17"/>
  <c r="D92" i="17"/>
  <c r="D519" i="17"/>
  <c r="D391" i="17"/>
  <c r="D366" i="17"/>
  <c r="D314" i="17"/>
  <c r="C64" i="17"/>
  <c r="D158" i="17"/>
  <c r="D268" i="17"/>
  <c r="C13" i="17"/>
  <c r="C157" i="17"/>
  <c r="C240" i="17"/>
  <c r="D597" i="17"/>
  <c r="D598" i="17"/>
  <c r="D586" i="17"/>
  <c r="D554" i="17"/>
  <c r="D551" i="17"/>
  <c r="C586" i="17"/>
  <c r="C533" i="17"/>
  <c r="D502" i="17"/>
  <c r="D470" i="17"/>
  <c r="D438" i="17"/>
  <c r="C508" i="17"/>
  <c r="C476" i="17"/>
  <c r="C606" i="17"/>
  <c r="D591" i="17"/>
  <c r="C562" i="17"/>
  <c r="D490" i="17"/>
  <c r="D426" i="17"/>
  <c r="D566" i="17"/>
  <c r="D514" i="17"/>
  <c r="C496" i="17"/>
  <c r="C444" i="17"/>
  <c r="C412" i="17"/>
  <c r="C364" i="17"/>
  <c r="C403" i="17"/>
  <c r="C339" i="17"/>
  <c r="D275" i="17"/>
  <c r="D211" i="17"/>
  <c r="D147" i="17"/>
  <c r="C287" i="17"/>
  <c r="C587" i="17"/>
  <c r="D553" i="17"/>
  <c r="D534" i="17"/>
  <c r="D572" i="17"/>
  <c r="C534" i="17"/>
  <c r="C519" i="17"/>
  <c r="D456" i="17"/>
  <c r="C494" i="17"/>
  <c r="C430" i="17"/>
  <c r="C366" i="17"/>
  <c r="C405" i="17"/>
  <c r="D582" i="17"/>
  <c r="C407" i="17"/>
  <c r="D151" i="17"/>
  <c r="D538" i="17"/>
  <c r="D460" i="17"/>
  <c r="C409" i="17"/>
  <c r="D249" i="17"/>
  <c r="D121" i="17"/>
  <c r="C561" i="17"/>
  <c r="C503" i="17"/>
  <c r="D477" i="17"/>
  <c r="D349" i="17"/>
  <c r="D324" i="17"/>
  <c r="C196" i="17"/>
  <c r="D272" i="17"/>
  <c r="C145" i="17"/>
  <c r="C106" i="17"/>
  <c r="D76" i="17"/>
  <c r="C497" i="17"/>
  <c r="C433" i="17"/>
  <c r="D471" i="17"/>
  <c r="D407" i="17"/>
  <c r="D343" i="17"/>
  <c r="D382" i="17"/>
  <c r="C270" i="17"/>
  <c r="C142" i="17"/>
  <c r="C219" i="17"/>
  <c r="C32" i="17"/>
  <c r="D62" i="17"/>
  <c r="D190" i="17"/>
  <c r="D61" i="17"/>
  <c r="C91" i="17"/>
  <c r="D172" i="17"/>
  <c r="D79" i="17"/>
  <c r="C109" i="17"/>
  <c r="C125" i="17"/>
  <c r="C253" i="17"/>
  <c r="C176" i="17"/>
  <c r="D329" i="17"/>
  <c r="D544" i="17"/>
  <c r="C378" i="17"/>
  <c r="C208" i="17"/>
  <c r="D336" i="17"/>
  <c r="D361" i="17"/>
  <c r="D489" i="17"/>
  <c r="D573" i="17"/>
  <c r="D221" i="17"/>
  <c r="C506" i="17"/>
  <c r="D75" i="17"/>
  <c r="C585" i="17"/>
  <c r="C408" i="17"/>
  <c r="D599" i="17"/>
  <c r="D547" i="17"/>
  <c r="C442" i="17"/>
  <c r="C317" i="17"/>
  <c r="D189" i="17"/>
  <c r="C609" i="17"/>
  <c r="D527" i="17"/>
  <c r="C443" i="17"/>
  <c r="D473" i="17"/>
  <c r="D409" i="17"/>
  <c r="D345" i="17"/>
  <c r="D384" i="17"/>
  <c r="D320" i="17"/>
  <c r="C256" i="17"/>
  <c r="C192" i="17"/>
  <c r="C128" i="17"/>
  <c r="C269" i="17"/>
  <c r="C205" i="17"/>
  <c r="C141" i="17"/>
  <c r="C46" i="17"/>
  <c r="C110" i="17"/>
  <c r="C61" i="17"/>
  <c r="D95" i="17"/>
  <c r="D31" i="17"/>
  <c r="D156" i="17"/>
  <c r="D220" i="17"/>
  <c r="C107" i="17"/>
  <c r="C43" i="17"/>
  <c r="D77" i="17"/>
  <c r="D13" i="17"/>
  <c r="D174" i="17"/>
  <c r="D238" i="17"/>
  <c r="D78" i="17"/>
  <c r="D14" i="17"/>
  <c r="C48" i="17"/>
  <c r="C139" i="17"/>
  <c r="C203" i="17"/>
  <c r="C267" i="17"/>
  <c r="C126" i="17"/>
  <c r="C190" i="17"/>
  <c r="C254" i="17"/>
  <c r="D318" i="17"/>
  <c r="D374" i="17"/>
  <c r="D406" i="17"/>
  <c r="D335" i="17"/>
  <c r="D367" i="17"/>
  <c r="D399" i="17"/>
  <c r="D431" i="17"/>
  <c r="D463" i="17"/>
  <c r="D495" i="17"/>
  <c r="C425" i="17"/>
  <c r="C457" i="17"/>
  <c r="C489" i="17"/>
  <c r="D520" i="17"/>
  <c r="D84" i="17"/>
  <c r="D52" i="17"/>
  <c r="D20" i="17"/>
  <c r="C58" i="17"/>
  <c r="C129" i="17"/>
  <c r="C193" i="17"/>
  <c r="C257" i="17"/>
  <c r="C116" i="17"/>
  <c r="C180" i="17"/>
  <c r="C244" i="17"/>
  <c r="C308" i="17"/>
  <c r="D372" i="17"/>
  <c r="D333" i="17"/>
  <c r="D397" i="17"/>
  <c r="D461" i="17"/>
  <c r="C423" i="17"/>
  <c r="C487" i="17"/>
  <c r="C568" i="17"/>
  <c r="C545" i="17"/>
  <c r="D609" i="17"/>
  <c r="C309" i="17"/>
  <c r="D169" i="17"/>
  <c r="D233" i="17"/>
  <c r="D297" i="17"/>
  <c r="C377" i="17"/>
  <c r="C402" i="17"/>
  <c r="D428" i="17"/>
  <c r="C566" i="17"/>
  <c r="C608" i="17"/>
  <c r="C559" i="17"/>
  <c r="D610" i="17"/>
  <c r="D536" i="17"/>
  <c r="D446" i="17"/>
  <c r="D47" i="17"/>
  <c r="D603" i="17"/>
  <c r="D423" i="17"/>
  <c r="D510" i="17"/>
  <c r="C316" i="17"/>
  <c r="C318" i="17"/>
  <c r="C177" i="17"/>
  <c r="C59" i="17"/>
  <c r="D567" i="17"/>
  <c r="D602" i="17"/>
  <c r="C452" i="17"/>
  <c r="C303" i="17"/>
  <c r="C510" i="17"/>
  <c r="C523" i="17"/>
  <c r="D356" i="17"/>
  <c r="D487" i="17"/>
  <c r="D30" i="17"/>
  <c r="C221" i="17"/>
  <c r="D578" i="17"/>
  <c r="C525" i="17"/>
  <c r="C500" i="17"/>
  <c r="C537" i="17"/>
  <c r="D482" i="17"/>
  <c r="C348" i="17"/>
  <c r="D195" i="17"/>
  <c r="D533" i="17"/>
  <c r="D504" i="17"/>
  <c r="C350" i="17"/>
  <c r="C291" i="17"/>
  <c r="D217" i="17"/>
  <c r="D445" i="17"/>
  <c r="C241" i="17"/>
  <c r="C481" i="17"/>
  <c r="D327" i="17"/>
  <c r="C187" i="17"/>
  <c r="D93" i="17"/>
  <c r="C94" i="17"/>
  <c r="D393" i="17"/>
  <c r="C602" i="17"/>
  <c r="D583" i="17"/>
  <c r="C554" i="17"/>
  <c r="D486" i="17"/>
  <c r="D422" i="17"/>
  <c r="C460" i="17"/>
  <c r="C536" i="17"/>
  <c r="D458" i="17"/>
  <c r="C528" i="17"/>
  <c r="C464" i="17"/>
  <c r="C396" i="17"/>
  <c r="C371" i="17"/>
  <c r="D243" i="17"/>
  <c r="D115" i="17"/>
  <c r="C555" i="17"/>
  <c r="C604" i="17"/>
  <c r="C558" i="17"/>
  <c r="D424" i="17"/>
  <c r="C398" i="17"/>
  <c r="C373" i="17"/>
  <c r="D279" i="17"/>
  <c r="C538" i="17"/>
  <c r="D313" i="17"/>
  <c r="C605" i="17"/>
  <c r="C439" i="17"/>
  <c r="D388" i="17"/>
  <c r="C132" i="17"/>
  <c r="C42" i="17"/>
  <c r="D528" i="17"/>
  <c r="D503" i="17"/>
  <c r="D375" i="17"/>
  <c r="D334" i="17"/>
  <c r="D282" i="17"/>
  <c r="C96" i="17"/>
  <c r="D126" i="17"/>
  <c r="D236" i="17"/>
  <c r="C45" i="17"/>
  <c r="C189" i="17"/>
  <c r="C304" i="17"/>
  <c r="D157" i="17"/>
  <c r="C272" i="17"/>
  <c r="D425" i="17"/>
  <c r="C297" i="17"/>
  <c r="D577" i="17"/>
  <c r="C275" i="17"/>
  <c r="C548" i="17"/>
  <c r="C417" i="17"/>
  <c r="D125" i="17"/>
  <c r="C507" i="17"/>
  <c r="D441" i="17"/>
  <c r="D416" i="17"/>
  <c r="C288" i="17"/>
  <c r="C160" i="17"/>
  <c r="C237" i="17"/>
  <c r="C14" i="17"/>
  <c r="C93" i="17"/>
  <c r="D63" i="17"/>
  <c r="D188" i="17"/>
  <c r="C75" i="17"/>
  <c r="D45" i="17"/>
  <c r="D206" i="17"/>
  <c r="D46" i="17"/>
  <c r="C16" i="17"/>
  <c r="C235" i="17"/>
  <c r="C158" i="17"/>
  <c r="C286" i="17"/>
  <c r="D390" i="17"/>
  <c r="D351" i="17"/>
  <c r="D415" i="17"/>
  <c r="D479" i="17"/>
  <c r="C441" i="17"/>
  <c r="C505" i="17"/>
  <c r="D68" i="17"/>
  <c r="C90" i="17"/>
  <c r="C161" i="17"/>
  <c r="D288" i="17"/>
  <c r="C212" i="17"/>
  <c r="D340" i="17"/>
  <c r="D365" i="17"/>
  <c r="D493" i="17"/>
  <c r="C520" i="17"/>
  <c r="C577" i="17"/>
  <c r="D137" i="17"/>
  <c r="D265" i="17"/>
  <c r="C338" i="17"/>
  <c r="D492" i="17"/>
  <c r="D521" i="17"/>
  <c r="D119" i="17"/>
  <c r="D247" i="17"/>
  <c r="C375" i="17"/>
  <c r="C400" i="17"/>
  <c r="C544" i="17"/>
  <c r="C365" i="17"/>
  <c r="C397" i="17"/>
  <c r="C326" i="17"/>
  <c r="C358" i="17"/>
  <c r="C390" i="17"/>
  <c r="C422" i="17"/>
  <c r="C454" i="17"/>
  <c r="C486" i="17"/>
  <c r="C518" i="17"/>
  <c r="D448" i="17"/>
  <c r="D480" i="17"/>
  <c r="D512" i="17"/>
  <c r="C543" i="17"/>
  <c r="C526" i="17"/>
  <c r="D571" i="17"/>
  <c r="D564" i="17"/>
  <c r="C596" i="17"/>
  <c r="D608" i="17"/>
  <c r="C572" i="17"/>
  <c r="D541" i="17"/>
  <c r="C547" i="17"/>
  <c r="C579" i="17"/>
  <c r="D611" i="17"/>
  <c r="C279" i="17"/>
  <c r="C311" i="17"/>
  <c r="D139" i="17"/>
  <c r="D171" i="17"/>
  <c r="D203" i="17"/>
  <c r="D235" i="17"/>
  <c r="D267" i="17"/>
  <c r="D299" i="17"/>
  <c r="C331" i="17"/>
  <c r="C363" i="17"/>
  <c r="C395" i="17"/>
  <c r="C324" i="17"/>
  <c r="C356" i="17"/>
  <c r="C388" i="17"/>
  <c r="D127" i="17"/>
  <c r="D348" i="17"/>
  <c r="D342" i="17"/>
  <c r="C310" i="17"/>
  <c r="C278" i="17"/>
  <c r="C246" i="17"/>
  <c r="C214" i="17"/>
  <c r="C182" i="17"/>
  <c r="C150" i="17"/>
  <c r="C118" i="17"/>
  <c r="D290" i="17"/>
  <c r="C259" i="17"/>
  <c r="C227" i="17"/>
  <c r="C195" i="17"/>
  <c r="C163" i="17"/>
  <c r="C131" i="17"/>
  <c r="C24" i="17"/>
  <c r="C56" i="17"/>
  <c r="C88" i="17"/>
  <c r="D22" i="17"/>
  <c r="D54" i="17"/>
  <c r="D86" i="17"/>
  <c r="D262" i="17"/>
  <c r="D230" i="17"/>
  <c r="D198" i="17"/>
  <c r="D166" i="17"/>
  <c r="D134" i="17"/>
  <c r="D21" i="17"/>
  <c r="D53" i="17"/>
  <c r="D85" i="17"/>
  <c r="C19" i="17"/>
  <c r="C51" i="17"/>
  <c r="C83" i="17"/>
  <c r="D104" i="17"/>
  <c r="D244" i="17"/>
  <c r="D212" i="17"/>
  <c r="D180" i="17"/>
  <c r="D148" i="17"/>
  <c r="D116" i="17"/>
  <c r="D39" i="17"/>
  <c r="D71" i="17"/>
  <c r="D103" i="17"/>
  <c r="C37" i="17"/>
  <c r="C69" i="17"/>
  <c r="C101" i="17"/>
  <c r="C102" i="17"/>
  <c r="C70" i="17"/>
  <c r="C38" i="17"/>
  <c r="C117" i="17"/>
  <c r="C149" i="17"/>
  <c r="C181" i="17"/>
  <c r="C213" i="17"/>
  <c r="C245" i="17"/>
  <c r="D276" i="17"/>
  <c r="D308" i="17"/>
  <c r="C136" i="17"/>
  <c r="C168" i="17"/>
  <c r="C200" i="17"/>
  <c r="C232" i="17"/>
  <c r="C264" i="17"/>
  <c r="C296" i="17"/>
  <c r="D328" i="17"/>
  <c r="D360" i="17"/>
  <c r="D392" i="17"/>
  <c r="D321" i="17"/>
  <c r="D353" i="17"/>
  <c r="D385" i="17"/>
  <c r="D417" i="17"/>
  <c r="D449" i="17"/>
  <c r="D481" i="17"/>
  <c r="D513" i="17"/>
  <c r="C459" i="17"/>
  <c r="D522" i="17"/>
  <c r="D543" i="17"/>
  <c r="C581" i="17"/>
  <c r="C281" i="17"/>
  <c r="D141" i="17"/>
  <c r="D205" i="17"/>
  <c r="D269" i="17"/>
  <c r="C333" i="17"/>
  <c r="C346" i="17"/>
  <c r="C474" i="17"/>
  <c r="D500" i="17"/>
  <c r="D552" i="17"/>
  <c r="D529" i="17"/>
  <c r="C611" i="17"/>
  <c r="C319" i="17"/>
  <c r="C488" i="17"/>
  <c r="C482" i="17"/>
  <c r="D501" i="17"/>
  <c r="C151" i="17"/>
  <c r="D331" i="17"/>
  <c r="D159" i="17"/>
  <c r="D287" i="17"/>
  <c r="C415" i="17"/>
  <c r="C440" i="17"/>
  <c r="C504" i="17"/>
  <c r="D560" i="17"/>
  <c r="C450" i="17"/>
  <c r="D526" i="17"/>
  <c r="C156" i="17"/>
  <c r="C202" i="17"/>
  <c r="D507" i="17"/>
  <c r="D199" i="17"/>
  <c r="D508" i="17"/>
  <c r="D295" i="17"/>
  <c r="C337" i="17"/>
  <c r="C285" i="17"/>
  <c r="C463" i="17"/>
  <c r="D412" i="17"/>
  <c r="C233" i="17"/>
  <c r="D483" i="17"/>
  <c r="D278" i="17"/>
  <c r="D136" i="17"/>
  <c r="D302" i="17"/>
  <c r="D225" i="17"/>
  <c r="D427" i="17"/>
  <c r="D296" i="17"/>
  <c r="C82" i="17"/>
  <c r="C445" i="17"/>
  <c r="D394" i="17"/>
  <c r="C138" i="17"/>
  <c r="C68" i="17"/>
  <c r="D264" i="17"/>
  <c r="C613" i="17"/>
  <c r="D354" i="17"/>
  <c r="D256" i="17"/>
  <c r="C127" i="17"/>
  <c r="C23" i="17"/>
  <c r="D96" i="17"/>
  <c r="D515" i="17"/>
  <c r="D387" i="17"/>
  <c r="D362" i="17"/>
  <c r="C234" i="17"/>
  <c r="D310" i="17"/>
  <c r="C183" i="17"/>
  <c r="D34" i="17"/>
  <c r="D33" i="17"/>
  <c r="D200" i="17"/>
  <c r="C81" i="17"/>
  <c r="C447" i="17"/>
  <c r="D532" i="17"/>
  <c r="C226" i="17"/>
  <c r="D106" i="17"/>
  <c r="D128" i="17"/>
  <c r="C485" i="17"/>
  <c r="D226" i="17"/>
  <c r="D312" i="17"/>
  <c r="C514" i="17"/>
  <c r="D389" i="17"/>
  <c r="C100" i="17"/>
  <c r="D250" i="17"/>
  <c r="D122" i="17"/>
  <c r="C31" i="17"/>
  <c r="D232" i="17"/>
  <c r="D19" i="17"/>
  <c r="C49" i="17"/>
  <c r="C539" i="17"/>
  <c r="D531" i="17"/>
  <c r="C268" i="17"/>
  <c r="D40" i="17"/>
  <c r="D443" i="17"/>
  <c r="C290" i="17"/>
  <c r="C239" i="17"/>
  <c r="D42" i="17"/>
  <c r="D41" i="17"/>
  <c r="D192" i="17"/>
  <c r="C89" i="17"/>
  <c r="D581" i="17"/>
  <c r="D24" i="17"/>
  <c r="C306" i="17"/>
  <c r="D26" i="17"/>
  <c r="D208" i="17"/>
  <c r="D517" i="17"/>
  <c r="C210" i="17"/>
  <c r="D112" i="17"/>
  <c r="C223" i="17"/>
  <c r="C28" i="17"/>
  <c r="C453" i="17"/>
  <c r="C87" i="17"/>
  <c r="D161" i="17"/>
  <c r="D58" i="17"/>
  <c r="D56" i="17"/>
  <c r="C41" i="17"/>
  <c r="D130" i="17"/>
  <c r="D286" i="17"/>
  <c r="D491" i="17"/>
  <c r="D364" i="17"/>
  <c r="C307" i="17"/>
  <c r="D144" i="17"/>
  <c r="D89" i="17"/>
  <c r="D90" i="17"/>
  <c r="C191" i="17"/>
  <c r="C242" i="17"/>
  <c r="D395" i="17"/>
  <c r="D88" i="17"/>
  <c r="C172" i="17"/>
  <c r="C479" i="17"/>
  <c r="C361" i="17"/>
  <c r="C623" i="17"/>
  <c r="D91" i="17"/>
  <c r="D160" i="17"/>
  <c r="C103" i="17"/>
  <c r="D73" i="17"/>
  <c r="D178" i="17"/>
  <c r="D74" i="17"/>
  <c r="C44" i="17"/>
  <c r="C207" i="17"/>
  <c r="C130" i="17"/>
  <c r="C258" i="17"/>
  <c r="D386" i="17"/>
  <c r="D411" i="17"/>
  <c r="C437" i="17"/>
  <c r="D72" i="17"/>
  <c r="C153" i="17"/>
  <c r="C204" i="17"/>
  <c r="D357" i="17"/>
  <c r="C511" i="17"/>
  <c r="D129" i="17"/>
  <c r="C386" i="17"/>
  <c r="C384" i="17"/>
  <c r="C65" i="17"/>
  <c r="D99" i="17"/>
  <c r="D35" i="17"/>
  <c r="D152" i="17"/>
  <c r="D216" i="17"/>
  <c r="D100" i="17"/>
  <c r="C47" i="17"/>
  <c r="D81" i="17"/>
  <c r="D17" i="17"/>
  <c r="D170" i="17"/>
  <c r="D234" i="17"/>
  <c r="D82" i="17"/>
  <c r="D18" i="17"/>
  <c r="C52" i="17"/>
  <c r="C135" i="17"/>
  <c r="C199" i="17"/>
  <c r="C263" i="17"/>
  <c r="C122" i="17"/>
  <c r="C186" i="17"/>
  <c r="C250" i="17"/>
  <c r="C314" i="17"/>
  <c r="D378" i="17"/>
  <c r="D339" i="17"/>
  <c r="D403" i="17"/>
  <c r="D467" i="17"/>
  <c r="C429" i="17"/>
  <c r="C493" i="17"/>
  <c r="D80" i="17"/>
  <c r="D16" i="17"/>
  <c r="C137" i="17"/>
  <c r="C265" i="17"/>
  <c r="C188" i="17"/>
  <c r="D316" i="17"/>
  <c r="D341" i="17"/>
  <c r="D469" i="17"/>
  <c r="C495" i="17"/>
  <c r="C553" i="17"/>
  <c r="D113" i="17"/>
  <c r="D241" i="17"/>
  <c r="C322" i="17"/>
  <c r="C564" i="17"/>
  <c r="C320" i="17"/>
  <c r="C418" i="17"/>
  <c r="C522" i="17"/>
  <c r="C575" i="17"/>
  <c r="D263" i="17"/>
  <c r="C416" i="17"/>
  <c r="C578" i="17"/>
  <c r="C456" i="17"/>
  <c r="C392" i="17"/>
  <c r="C328" i="17"/>
  <c r="C367" i="17"/>
  <c r="D303" i="17"/>
  <c r="D239" i="17"/>
  <c r="D175" i="17"/>
  <c r="D111" i="17"/>
  <c r="C632" i="17"/>
  <c r="C551" i="17"/>
  <c r="C580" i="17"/>
  <c r="C600" i="17"/>
  <c r="D579" i="17"/>
  <c r="C550" i="17"/>
  <c r="D484" i="17"/>
  <c r="D420" i="17"/>
  <c r="C458" i="17"/>
  <c r="C394" i="17"/>
  <c r="C330" i="17"/>
  <c r="C369" i="17"/>
  <c r="C325" i="17"/>
  <c r="D293" i="17"/>
  <c r="D261" i="17"/>
  <c r="D229" i="17"/>
  <c r="D197" i="17"/>
  <c r="D165" i="17"/>
  <c r="D133" i="17"/>
  <c r="C305" i="17"/>
  <c r="C273" i="17"/>
  <c r="D605" i="17"/>
  <c r="C573" i="17"/>
  <c r="D589" i="17"/>
  <c r="D535" i="17"/>
  <c r="C560" i="17"/>
  <c r="C515" i="17"/>
  <c r="C483" i="17"/>
  <c r="C451" i="17"/>
  <c r="D231" i="17"/>
  <c r="D555" i="17"/>
  <c r="C368" i="17"/>
  <c r="D558" i="17"/>
  <c r="C370" i="17"/>
  <c r="C144" i="17"/>
  <c r="D506" i="17"/>
  <c r="C556" i="17"/>
  <c r="D153" i="17"/>
  <c r="D398" i="17"/>
  <c r="C419" i="17"/>
  <c r="D478" i="17"/>
  <c r="D442" i="17"/>
  <c r="C355" i="17"/>
  <c r="D588" i="17"/>
  <c r="C357" i="17"/>
  <c r="C593" i="17"/>
  <c r="C74" i="17"/>
  <c r="C302" i="17"/>
  <c r="D204" i="17"/>
  <c r="D285" i="17"/>
  <c r="C540" i="17"/>
  <c r="D462" i="17"/>
  <c r="D590" i="17"/>
  <c r="C512" i="17"/>
  <c r="C436" i="17"/>
  <c r="C323" i="17"/>
  <c r="C271" i="17"/>
  <c r="D556" i="17"/>
  <c r="C478" i="17"/>
  <c r="D466" i="17"/>
  <c r="C498" i="17"/>
  <c r="D565" i="17"/>
  <c r="C292" i="17"/>
  <c r="D28" i="17"/>
  <c r="D455" i="17"/>
  <c r="C238" i="17"/>
  <c r="D140" i="17"/>
  <c r="C531" i="17"/>
  <c r="C532" i="17"/>
  <c r="D454" i="17"/>
  <c r="D574" i="17"/>
  <c r="A622" i="17"/>
  <c r="C428" i="17"/>
  <c r="D307" i="17"/>
  <c r="C599" i="17"/>
  <c r="D587" i="17"/>
  <c r="C462" i="17"/>
  <c r="C432" i="17"/>
  <c r="C434" i="17"/>
  <c r="D523" i="17"/>
  <c r="C260" i="17"/>
  <c r="D44" i="17"/>
  <c r="D439" i="17"/>
  <c r="C206" i="17"/>
  <c r="D254" i="17"/>
  <c r="D15" i="17"/>
  <c r="C112" i="17"/>
  <c r="C383" i="17"/>
  <c r="C475" i="17"/>
  <c r="D355" i="17"/>
  <c r="D468" i="17"/>
  <c r="C565" i="17"/>
  <c r="D377" i="17"/>
  <c r="C224" i="17"/>
  <c r="C173" i="17"/>
  <c r="C29" i="17"/>
  <c r="D252" i="17"/>
  <c r="D142" i="17"/>
  <c r="C80" i="17"/>
  <c r="D298" i="17"/>
  <c r="D350" i="17"/>
  <c r="D383" i="17"/>
  <c r="D511" i="17"/>
  <c r="D540" i="17"/>
  <c r="C26" i="17"/>
  <c r="C148" i="17"/>
  <c r="D404" i="17"/>
  <c r="C455" i="17"/>
  <c r="C277" i="17"/>
  <c r="C329" i="17"/>
  <c r="D595" i="17"/>
  <c r="D183" i="17"/>
  <c r="C336" i="17"/>
  <c r="C349" i="17"/>
  <c r="C413" i="17"/>
  <c r="C374" i="17"/>
  <c r="C438" i="17"/>
  <c r="C502" i="17"/>
  <c r="D464" i="17"/>
  <c r="C527" i="17"/>
  <c r="C542" i="17"/>
  <c r="D580" i="17"/>
  <c r="D542" i="17"/>
  <c r="D569" i="17"/>
  <c r="C595" i="17"/>
  <c r="C295" i="17"/>
  <c r="D155" i="17"/>
  <c r="D219" i="17"/>
  <c r="D283" i="17"/>
  <c r="C347" i="17"/>
  <c r="C411" i="17"/>
  <c r="C372" i="17"/>
  <c r="D550" i="17"/>
  <c r="D326" i="17"/>
  <c r="C262" i="17"/>
  <c r="C198" i="17"/>
  <c r="C134" i="17"/>
  <c r="D274" i="17"/>
  <c r="C211" i="17"/>
  <c r="C147" i="17"/>
  <c r="C40" i="17"/>
  <c r="C104" i="17"/>
  <c r="D70" i="17"/>
  <c r="D246" i="17"/>
  <c r="D182" i="17"/>
  <c r="D118" i="17"/>
  <c r="D69" i="17"/>
  <c r="C35" i="17"/>
  <c r="C99" i="17"/>
  <c r="D228" i="17"/>
  <c r="D164" i="17"/>
  <c r="D23" i="17"/>
  <c r="D87" i="17"/>
  <c r="C53" i="17"/>
  <c r="C626" i="17"/>
  <c r="C54" i="17"/>
  <c r="C133" i="17"/>
  <c r="C197" i="17"/>
  <c r="C261" i="17"/>
  <c r="C120" i="17"/>
  <c r="C184" i="17"/>
  <c r="C248" i="17"/>
  <c r="C312" i="17"/>
  <c r="D376" i="17"/>
  <c r="D337" i="17"/>
  <c r="D401" i="17"/>
  <c r="D465" i="17"/>
  <c r="C427" i="17"/>
  <c r="C576" i="17"/>
  <c r="D613" i="17"/>
  <c r="D173" i="17"/>
  <c r="D301" i="17"/>
  <c r="C410" i="17"/>
  <c r="C582" i="17"/>
  <c r="C567" i="17"/>
  <c r="C344" i="17"/>
  <c r="D273" i="17"/>
  <c r="D146" i="17"/>
  <c r="D223" i="17"/>
  <c r="C376" i="17"/>
  <c r="C327" i="17"/>
  <c r="D145" i="17"/>
  <c r="C509" i="17"/>
  <c r="D363" i="17"/>
  <c r="C354" i="17"/>
  <c r="D209" i="17"/>
  <c r="D437" i="17"/>
  <c r="D32" i="17"/>
  <c r="D98" i="17"/>
  <c r="C25" i="17"/>
  <c r="C220" i="17"/>
  <c r="D64" i="17"/>
  <c r="C266" i="17"/>
  <c r="D154" i="17"/>
  <c r="C34" i="17"/>
  <c r="C249" i="17"/>
  <c r="C185" i="17"/>
  <c r="D451" i="17"/>
  <c r="C298" i="17"/>
  <c r="C247" i="17"/>
  <c r="D218" i="17"/>
  <c r="D51" i="17"/>
  <c r="C140" i="17"/>
  <c r="C175" i="17"/>
  <c r="D453" i="17"/>
  <c r="D43" i="17"/>
  <c r="D57" i="17"/>
  <c r="D66" i="17"/>
  <c r="D65" i="17"/>
  <c r="D168" i="17"/>
  <c r="D626" i="17"/>
  <c r="D421" i="17"/>
  <c r="C469" i="17"/>
  <c r="C162" i="17"/>
  <c r="D210" i="17"/>
  <c r="D59" i="17"/>
  <c r="C300" i="17"/>
  <c r="C255" i="17"/>
  <c r="C73" i="17"/>
  <c r="D258" i="17"/>
  <c r="C105" i="17"/>
  <c r="C146" i="17"/>
  <c r="D176" i="17"/>
  <c r="C552" i="17"/>
  <c r="C92" i="17"/>
  <c r="C66" i="17"/>
  <c r="D107" i="17"/>
  <c r="D162" i="17"/>
  <c r="C114" i="17"/>
  <c r="C421" i="17"/>
  <c r="D325" i="17"/>
  <c r="C359" i="17"/>
  <c r="D27" i="17"/>
  <c r="C39" i="17"/>
  <c r="D242" i="17"/>
  <c r="C143" i="17"/>
  <c r="C194" i="17"/>
  <c r="D347" i="17"/>
  <c r="C501" i="17"/>
  <c r="D280" i="17"/>
  <c r="D485" i="17"/>
  <c r="D257" i="17"/>
  <c r="C97" i="17"/>
  <c r="D67" i="17"/>
  <c r="D184" i="17"/>
  <c r="C79" i="17"/>
  <c r="D49" i="17"/>
  <c r="D202" i="17"/>
  <c r="D50" i="17"/>
  <c r="C20" i="17"/>
  <c r="C231" i="17"/>
  <c r="C154" i="17"/>
  <c r="C282" i="17"/>
  <c r="D410" i="17"/>
  <c r="D435" i="17"/>
  <c r="C461" i="17"/>
  <c r="D48" i="17"/>
  <c r="C201" i="17"/>
  <c r="C252" i="17"/>
  <c r="D405" i="17"/>
  <c r="C584" i="17"/>
  <c r="D177" i="17"/>
  <c r="D476" i="17"/>
  <c r="C393" i="17"/>
  <c r="D604" i="17"/>
  <c r="C391" i="17"/>
  <c r="D434" i="17"/>
  <c r="C360" i="17"/>
  <c r="C335" i="17"/>
  <c r="D207" i="17"/>
  <c r="C283" i="17"/>
  <c r="D545" i="17"/>
  <c r="D568" i="17"/>
  <c r="D516" i="17"/>
  <c r="C490" i="17"/>
  <c r="C362" i="17"/>
  <c r="C341" i="17"/>
  <c r="D277" i="17"/>
  <c r="D213" i="17"/>
  <c r="D149" i="17"/>
  <c r="C289" i="17"/>
  <c r="C589" i="17"/>
  <c r="D557" i="17"/>
  <c r="D530" i="17"/>
  <c r="C467" i="17"/>
  <c r="D94" i="17"/>
  <c r="D284" i="17"/>
  <c r="D570" i="17"/>
  <c r="D518" i="17"/>
  <c r="C492" i="17"/>
  <c r="C521" i="17"/>
  <c r="D450" i="17"/>
  <c r="C332" i="17"/>
  <c r="D179" i="17"/>
  <c r="C588" i="17"/>
  <c r="D488" i="17"/>
  <c r="C334" i="17"/>
  <c r="C591" i="17"/>
  <c r="D185" i="17"/>
  <c r="D413" i="17"/>
  <c r="C209" i="17"/>
  <c r="C465" i="17"/>
  <c r="D414" i="17"/>
  <c r="C155" i="17"/>
  <c r="C27" i="17"/>
  <c r="C62" i="17"/>
  <c r="D457" i="17"/>
  <c r="D400" i="17"/>
  <c r="C353" i="17"/>
  <c r="D255" i="17"/>
  <c r="D253" i="17"/>
  <c r="D505" i="17"/>
  <c r="D352" i="17"/>
  <c r="D300" i="17"/>
  <c r="C78" i="17"/>
  <c r="D124" i="17"/>
  <c r="D109" i="17"/>
  <c r="D110" i="17"/>
  <c r="C171" i="17"/>
  <c r="C222" i="17"/>
  <c r="D319" i="17"/>
  <c r="D447" i="17"/>
  <c r="C473" i="17"/>
  <c r="D36" i="17"/>
  <c r="C225" i="17"/>
  <c r="C276" i="17"/>
  <c r="D429" i="17"/>
  <c r="D539" i="17"/>
  <c r="D201" i="17"/>
  <c r="C466" i="17"/>
  <c r="C603" i="17"/>
  <c r="D311" i="17"/>
  <c r="C472" i="17"/>
  <c r="C381" i="17"/>
  <c r="C342" i="17"/>
  <c r="C406" i="17"/>
  <c r="C470" i="17"/>
  <c r="D432" i="17"/>
  <c r="D496" i="17"/>
  <c r="C574" i="17"/>
  <c r="D548" i="17"/>
  <c r="C612" i="17"/>
  <c r="D525" i="17"/>
  <c r="C563" i="17"/>
  <c r="C607" i="17"/>
  <c r="D123" i="17"/>
  <c r="D187" i="17"/>
  <c r="D251" i="17"/>
  <c r="C315" i="17"/>
  <c r="C379" i="17"/>
  <c r="C340" i="17"/>
  <c r="D584" i="17"/>
  <c r="D358" i="17"/>
  <c r="C294" i="17"/>
  <c r="C230" i="17"/>
  <c r="C166" i="17"/>
  <c r="D306" i="17"/>
  <c r="C243" i="17"/>
  <c r="C179" i="17"/>
  <c r="C115" i="17"/>
  <c r="C72" i="17"/>
  <c r="D38" i="17"/>
  <c r="D102" i="17"/>
  <c r="D214" i="17"/>
  <c r="D150" i="17"/>
  <c r="D37" i="17"/>
  <c r="D101" i="17"/>
  <c r="C67" i="17"/>
  <c r="D260" i="17"/>
  <c r="D196" i="17"/>
  <c r="D132" i="17"/>
  <c r="D55" i="17"/>
  <c r="C21" i="17"/>
  <c r="C85" i="17"/>
  <c r="C86" i="17"/>
  <c r="C22" i="17"/>
  <c r="C165" i="17"/>
  <c r="C229" i="17"/>
  <c r="D292" i="17"/>
  <c r="C152" i="17"/>
  <c r="C216" i="17"/>
  <c r="C280" i="17"/>
  <c r="D344" i="17"/>
  <c r="D408" i="17"/>
  <c r="D369" i="17"/>
  <c r="D433" i="17"/>
  <c r="D497" i="17"/>
  <c r="C491" i="17"/>
  <c r="C549" i="17"/>
  <c r="C313" i="17"/>
  <c r="D237" i="17"/>
  <c r="C385" i="17"/>
  <c r="D436" i="17"/>
  <c r="D596" i="17"/>
  <c r="D191" i="17"/>
  <c r="C352" i="17"/>
  <c r="C18" i="17"/>
  <c r="C299" i="17"/>
  <c r="C351" i="17"/>
  <c r="D498" i="17"/>
  <c r="C448" i="17"/>
  <c r="D373" i="17"/>
  <c r="D97" i="17"/>
  <c r="D537" i="17"/>
  <c r="D563" i="17"/>
  <c r="D549" i="17"/>
  <c r="C284" i="17"/>
  <c r="D330" i="17"/>
  <c r="D396" i="17"/>
  <c r="C55" i="17"/>
  <c r="C169" i="17"/>
  <c r="D419" i="17"/>
  <c r="C215" i="17"/>
  <c r="C17" i="17"/>
  <c r="C76" i="17"/>
  <c r="D289" i="17"/>
  <c r="C477" i="17"/>
  <c r="D323" i="17"/>
  <c r="C170" i="17"/>
  <c r="C119" i="17"/>
  <c r="C63" i="17"/>
  <c r="C321" i="17"/>
  <c r="D379" i="17"/>
  <c r="D105" i="17"/>
  <c r="C178" i="17"/>
  <c r="C159" i="17"/>
  <c r="C36" i="17"/>
  <c r="D186" i="17"/>
  <c r="C95" i="17"/>
  <c r="D83" i="17"/>
  <c r="D193" i="17"/>
  <c r="C217" i="17"/>
  <c r="D315" i="17"/>
  <c r="C111" i="17"/>
  <c r="C71" i="17"/>
  <c r="D592" i="17"/>
  <c r="D459" i="17"/>
  <c r="D25" i="17"/>
  <c r="C517" i="17"/>
  <c r="C236" i="17"/>
  <c r="C529" i="17"/>
  <c r="D402" i="17"/>
  <c r="C274" i="17"/>
  <c r="D240" i="17"/>
  <c r="D338" i="17"/>
  <c r="D601" i="17"/>
  <c r="D108" i="17"/>
  <c r="C60" i="17"/>
  <c r="D370" i="17"/>
  <c r="C121" i="17"/>
  <c r="C301" i="17"/>
  <c r="C57" i="17"/>
  <c r="D224" i="17"/>
  <c r="D114" i="17"/>
  <c r="C108" i="17"/>
  <c r="D270" i="17"/>
  <c r="D322" i="17"/>
  <c r="D475" i="17"/>
  <c r="C98" i="17"/>
  <c r="D332" i="17"/>
  <c r="C569" i="17"/>
  <c r="D593" i="17"/>
  <c r="C33" i="17"/>
  <c r="D120" i="17"/>
  <c r="D248" i="17"/>
  <c r="C15" i="17"/>
  <c r="D138" i="17"/>
  <c r="D266" i="17"/>
  <c r="C84" i="17"/>
  <c r="C167" i="17"/>
  <c r="D294" i="17"/>
  <c r="C218" i="17"/>
  <c r="D346" i="17"/>
  <c r="D371" i="17"/>
  <c r="D499" i="17"/>
  <c r="D524" i="17"/>
  <c r="C50" i="17"/>
  <c r="C124" i="17"/>
  <c r="D380" i="17"/>
  <c r="C431" i="17"/>
  <c r="C597" i="17"/>
  <c r="D305" i="17"/>
  <c r="D167" i="17"/>
  <c r="D444" i="17"/>
  <c r="D135" i="17"/>
  <c r="D623" i="17"/>
  <c r="C424" i="17"/>
  <c r="C399" i="17"/>
  <c r="D271" i="17"/>
  <c r="D143" i="17"/>
  <c r="C583" i="17"/>
  <c r="D612" i="17"/>
  <c r="C530" i="17"/>
  <c r="D452" i="17"/>
  <c r="C426" i="17"/>
  <c r="C401" i="17"/>
  <c r="D309" i="17"/>
  <c r="D245" i="17"/>
  <c r="D181" i="17"/>
  <c r="D117" i="17"/>
  <c r="C601" i="17"/>
  <c r="C557" i="17"/>
  <c r="C592" i="17"/>
  <c r="C499" i="17"/>
  <c r="C435" i="17"/>
  <c r="O13" i="8"/>
  <c r="B462" i="2" s="1"/>
  <c r="BJ26" i="20" l="1"/>
  <c r="BF26" i="20"/>
  <c r="BB26" i="20"/>
  <c r="BD26" i="20" s="1"/>
  <c r="BH26" i="20" s="1"/>
  <c r="BK26" i="20"/>
  <c r="BH109" i="20"/>
  <c r="B458" i="2" s="1"/>
  <c r="H3" i="20"/>
  <c r="BB33" i="20"/>
  <c r="BD33" i="20" s="1"/>
  <c r="BH33" i="20" s="1"/>
  <c r="BJ33" i="20"/>
  <c r="G622" i="17"/>
  <c r="H622" i="17"/>
  <c r="F622" i="17"/>
  <c r="E622" i="17"/>
  <c r="D622" i="17"/>
  <c r="C622" i="17"/>
  <c r="G4" i="8"/>
  <c r="O14" i="8" s="1"/>
  <c r="E31" i="1" s="1"/>
  <c r="B140" i="2" l="1"/>
  <c r="O6" i="8"/>
  <c r="B463" i="2" s="1"/>
  <c r="B461" i="2" l="1"/>
  <c r="A461" i="2" l="1"/>
  <c r="D71" i="16"/>
  <c r="E70" i="1" l="1"/>
  <c r="D65" i="16"/>
  <c r="C637" i="17" l="1"/>
  <c r="A628" i="17"/>
  <c r="O622" i="17"/>
  <c r="P623" i="17"/>
  <c r="P622" i="17"/>
  <c r="AB622" i="17" s="1"/>
  <c r="O626" i="17"/>
  <c r="AA626" i="17" s="1"/>
  <c r="O623" i="17"/>
  <c r="AA623" i="17" s="1"/>
  <c r="P626" i="17"/>
  <c r="AB626" i="17" s="1"/>
  <c r="N4" i="17"/>
  <c r="P573" i="17" s="1"/>
  <c r="AB573" i="17" s="1"/>
  <c r="B78" i="1"/>
  <c r="N7" i="8"/>
  <c r="O7" i="8" s="1"/>
  <c r="G628" i="17" l="1"/>
  <c r="H628" i="17"/>
  <c r="AA622" i="17"/>
  <c r="E632" i="17" s="1"/>
  <c r="AB623" i="17"/>
  <c r="D628" i="17"/>
  <c r="F628" i="17"/>
  <c r="P628" i="17"/>
  <c r="C628" i="17"/>
  <c r="E628" i="17"/>
  <c r="O628" i="17"/>
  <c r="E636" i="17"/>
  <c r="N27" i="8"/>
  <c r="O27" i="8"/>
  <c r="C78" i="1" s="1"/>
  <c r="O74" i="17"/>
  <c r="AA74" i="17" s="1"/>
  <c r="O121" i="17"/>
  <c r="AA121" i="17" s="1"/>
  <c r="O106" i="17"/>
  <c r="AA106" i="17" s="1"/>
  <c r="O90" i="17"/>
  <c r="AA90" i="17" s="1"/>
  <c r="O17" i="17"/>
  <c r="AA17" i="17" s="1"/>
  <c r="O81" i="17"/>
  <c r="AA81" i="17" s="1"/>
  <c r="O101" i="17"/>
  <c r="AA101" i="17" s="1"/>
  <c r="O58" i="17"/>
  <c r="AA58" i="17" s="1"/>
  <c r="O42" i="17"/>
  <c r="AA42" i="17" s="1"/>
  <c r="O26" i="17"/>
  <c r="AA26" i="17" s="1"/>
  <c r="O49" i="17"/>
  <c r="AA49" i="17" s="1"/>
  <c r="O69" i="17"/>
  <c r="AA69" i="17" s="1"/>
  <c r="O236" i="17"/>
  <c r="AA236" i="17" s="1"/>
  <c r="O300" i="17"/>
  <c r="AA300" i="17" s="1"/>
  <c r="O217" i="17"/>
  <c r="AA217" i="17" s="1"/>
  <c r="O281" i="17"/>
  <c r="AA281" i="17" s="1"/>
  <c r="O140" i="17"/>
  <c r="AA140" i="17" s="1"/>
  <c r="O70" i="17"/>
  <c r="AA70" i="17" s="1"/>
  <c r="O41" i="17"/>
  <c r="AA41" i="17" s="1"/>
  <c r="O105" i="17"/>
  <c r="AA105" i="17" s="1"/>
  <c r="O45" i="17"/>
  <c r="AA45" i="17" s="1"/>
  <c r="O77" i="17"/>
  <c r="AA77" i="17" s="1"/>
  <c r="O173" i="17"/>
  <c r="AA173" i="17" s="1"/>
  <c r="O237" i="17"/>
  <c r="AA237" i="17" s="1"/>
  <c r="O301" i="17"/>
  <c r="AA301" i="17" s="1"/>
  <c r="O160" i="17"/>
  <c r="AA160" i="17" s="1"/>
  <c r="O338" i="17"/>
  <c r="AA338" i="17" s="1"/>
  <c r="O370" i="17"/>
  <c r="AA370" i="17" s="1"/>
  <c r="O402" i="17"/>
  <c r="AA402" i="17" s="1"/>
  <c r="O172" i="17"/>
  <c r="AA172" i="17" s="1"/>
  <c r="O204" i="17"/>
  <c r="AA204" i="17" s="1"/>
  <c r="O153" i="17"/>
  <c r="AA153" i="17" s="1"/>
  <c r="O38" i="17"/>
  <c r="AA38" i="17" s="1"/>
  <c r="O73" i="17"/>
  <c r="AA73" i="17" s="1"/>
  <c r="O141" i="17"/>
  <c r="AA141" i="17" s="1"/>
  <c r="O269" i="17"/>
  <c r="AA269" i="17" s="1"/>
  <c r="O319" i="17"/>
  <c r="AA319" i="17" s="1"/>
  <c r="O383" i="17"/>
  <c r="AA383" i="17" s="1"/>
  <c r="O180" i="17"/>
  <c r="AA180" i="17" s="1"/>
  <c r="O244" i="17"/>
  <c r="AA244" i="17" s="1"/>
  <c r="O308" i="17"/>
  <c r="AA308" i="17" s="1"/>
  <c r="O339" i="17"/>
  <c r="AA339" i="17" s="1"/>
  <c r="O403" i="17"/>
  <c r="AA403" i="17" s="1"/>
  <c r="O366" i="17"/>
  <c r="AA366" i="17" s="1"/>
  <c r="O169" i="17"/>
  <c r="AA169" i="17" s="1"/>
  <c r="O233" i="17"/>
  <c r="AA233" i="17" s="1"/>
  <c r="O132" i="17"/>
  <c r="AA132" i="17" s="1"/>
  <c r="O62" i="17"/>
  <c r="AA62" i="17" s="1"/>
  <c r="O232" i="17"/>
  <c r="AA232" i="17" s="1"/>
  <c r="O296" i="17"/>
  <c r="AA296" i="17" s="1"/>
  <c r="O322" i="17"/>
  <c r="AA322" i="17" s="1"/>
  <c r="O386" i="17"/>
  <c r="AA386" i="17" s="1"/>
  <c r="O438" i="17"/>
  <c r="AA438" i="17" s="1"/>
  <c r="O65" i="17"/>
  <c r="AA65" i="17" s="1"/>
  <c r="O85" i="17"/>
  <c r="AA85" i="17" s="1"/>
  <c r="O117" i="17"/>
  <c r="AA117" i="17" s="1"/>
  <c r="O149" i="17"/>
  <c r="AA149" i="17" s="1"/>
  <c r="O181" i="17"/>
  <c r="AA181" i="17" s="1"/>
  <c r="O213" i="17"/>
  <c r="AA213" i="17" s="1"/>
  <c r="O245" i="17"/>
  <c r="AA245" i="17" s="1"/>
  <c r="O277" i="17"/>
  <c r="AA277" i="17" s="1"/>
  <c r="O309" i="17"/>
  <c r="AA309" i="17" s="1"/>
  <c r="O136" i="17"/>
  <c r="AA136" i="17" s="1"/>
  <c r="O168" i="17"/>
  <c r="AA168" i="17" s="1"/>
  <c r="O184" i="17"/>
  <c r="AA184" i="17" s="1"/>
  <c r="O248" i="17"/>
  <c r="AA248" i="17" s="1"/>
  <c r="O312" i="17"/>
  <c r="AA312" i="17" s="1"/>
  <c r="O327" i="17"/>
  <c r="AA327" i="17" s="1"/>
  <c r="O359" i="17"/>
  <c r="AA359" i="17" s="1"/>
  <c r="O391" i="17"/>
  <c r="AA391" i="17" s="1"/>
  <c r="O407" i="17"/>
  <c r="AA407" i="17" s="1"/>
  <c r="O378" i="17"/>
  <c r="AA378" i="17" s="1"/>
  <c r="O188" i="17"/>
  <c r="AA188" i="17" s="1"/>
  <c r="O252" i="17"/>
  <c r="AA252" i="17" s="1"/>
  <c r="O331" i="17"/>
  <c r="AA331" i="17" s="1"/>
  <c r="O363" i="17"/>
  <c r="AA363" i="17" s="1"/>
  <c r="O395" i="17"/>
  <c r="AA395" i="17" s="1"/>
  <c r="O411" i="17"/>
  <c r="AA411" i="17" s="1"/>
  <c r="O326" i="17"/>
  <c r="AA326" i="17" s="1"/>
  <c r="O358" i="17"/>
  <c r="AA358" i="17" s="1"/>
  <c r="O390" i="17"/>
  <c r="AA390" i="17" s="1"/>
  <c r="O454" i="17"/>
  <c r="AA454" i="17" s="1"/>
  <c r="O249" i="17"/>
  <c r="AA249" i="17" s="1"/>
  <c r="O297" i="17"/>
  <c r="AA297" i="17" s="1"/>
  <c r="O22" i="17"/>
  <c r="AA22" i="17" s="1"/>
  <c r="O86" i="17"/>
  <c r="AA86" i="17" s="1"/>
  <c r="O192" i="17"/>
  <c r="AA192" i="17" s="1"/>
  <c r="O256" i="17"/>
  <c r="AA256" i="17" s="1"/>
  <c r="O415" i="17"/>
  <c r="AA415" i="17" s="1"/>
  <c r="O462" i="17"/>
  <c r="AA462" i="17" s="1"/>
  <c r="O57" i="17"/>
  <c r="AA57" i="17" s="1"/>
  <c r="O289" i="17"/>
  <c r="AA289" i="17" s="1"/>
  <c r="O14" i="17"/>
  <c r="AA14" i="17" s="1"/>
  <c r="O78" i="17"/>
  <c r="AA78" i="17" s="1"/>
  <c r="O93" i="17"/>
  <c r="AA93" i="17" s="1"/>
  <c r="O125" i="17"/>
  <c r="AA125" i="17" s="1"/>
  <c r="O189" i="17"/>
  <c r="AA189" i="17" s="1"/>
  <c r="O253" i="17"/>
  <c r="AA253" i="17" s="1"/>
  <c r="O112" i="17"/>
  <c r="AA112" i="17" s="1"/>
  <c r="O176" i="17"/>
  <c r="AA176" i="17" s="1"/>
  <c r="O208" i="17"/>
  <c r="AA208" i="17" s="1"/>
  <c r="O272" i="17"/>
  <c r="AA272" i="17" s="1"/>
  <c r="O367" i="17"/>
  <c r="AA367" i="17" s="1"/>
  <c r="O330" i="17"/>
  <c r="AA330" i="17" s="1"/>
  <c r="O394" i="17"/>
  <c r="AA394" i="17" s="1"/>
  <c r="O228" i="17"/>
  <c r="AA228" i="17" s="1"/>
  <c r="O292" i="17"/>
  <c r="AA292" i="17" s="1"/>
  <c r="O323" i="17"/>
  <c r="AA323" i="17" s="1"/>
  <c r="O387" i="17"/>
  <c r="AA387" i="17" s="1"/>
  <c r="O350" i="17"/>
  <c r="AA350" i="17" s="1"/>
  <c r="O414" i="17"/>
  <c r="AA414" i="17" s="1"/>
  <c r="O446" i="17"/>
  <c r="AA446" i="17" s="1"/>
  <c r="O423" i="17"/>
  <c r="AA423" i="17" s="1"/>
  <c r="O487" i="17"/>
  <c r="AA487" i="17" s="1"/>
  <c r="O519" i="17"/>
  <c r="AA519" i="17" s="1"/>
  <c r="O528" i="17"/>
  <c r="AA528" i="17" s="1"/>
  <c r="O560" i="17"/>
  <c r="AA560" i="17" s="1"/>
  <c r="O606" i="17"/>
  <c r="AA606" i="17" s="1"/>
  <c r="P17" i="17"/>
  <c r="AB17" i="17" s="1"/>
  <c r="P81" i="17"/>
  <c r="AB81" i="17" s="1"/>
  <c r="P16" i="17"/>
  <c r="AB16" i="17" s="1"/>
  <c r="P80" i="17"/>
  <c r="AB80" i="17" s="1"/>
  <c r="O32" i="17"/>
  <c r="AA32" i="17" s="1"/>
  <c r="O96" i="17"/>
  <c r="AA96" i="17" s="1"/>
  <c r="O31" i="17"/>
  <c r="AA31" i="17" s="1"/>
  <c r="O95" i="17"/>
  <c r="AA95" i="17" s="1"/>
  <c r="O127" i="17"/>
  <c r="AA127" i="17" s="1"/>
  <c r="O191" i="17"/>
  <c r="AA191" i="17" s="1"/>
  <c r="O255" i="17"/>
  <c r="AA255" i="17" s="1"/>
  <c r="O114" i="17"/>
  <c r="AA114" i="17" s="1"/>
  <c r="O178" i="17"/>
  <c r="AA178" i="17" s="1"/>
  <c r="O210" i="17"/>
  <c r="AA210" i="17" s="1"/>
  <c r="O274" i="17"/>
  <c r="AA274" i="17" s="1"/>
  <c r="O369" i="17"/>
  <c r="AA369" i="17" s="1"/>
  <c r="O332" i="17"/>
  <c r="AA332" i="17" s="1"/>
  <c r="O396" i="17"/>
  <c r="AA396" i="17" s="1"/>
  <c r="O428" i="17"/>
  <c r="AA428" i="17" s="1"/>
  <c r="O492" i="17"/>
  <c r="AA492" i="17" s="1"/>
  <c r="O453" i="17"/>
  <c r="AA453" i="17" s="1"/>
  <c r="O517" i="17"/>
  <c r="AA517" i="17" s="1"/>
  <c r="O558" i="17"/>
  <c r="AA558" i="17" s="1"/>
  <c r="O571" i="17"/>
  <c r="AA571" i="17" s="1"/>
  <c r="O268" i="17"/>
  <c r="AA268" i="17" s="1"/>
  <c r="O313" i="17"/>
  <c r="AA313" i="17" s="1"/>
  <c r="O102" i="17"/>
  <c r="AA102" i="17" s="1"/>
  <c r="O109" i="17"/>
  <c r="AA109" i="17" s="1"/>
  <c r="O205" i="17"/>
  <c r="AA205" i="17" s="1"/>
  <c r="O128" i="17"/>
  <c r="AA128" i="17" s="1"/>
  <c r="O351" i="17"/>
  <c r="AA351" i="17" s="1"/>
  <c r="O212" i="17"/>
  <c r="AA212" i="17" s="1"/>
  <c r="O276" i="17"/>
  <c r="AA276" i="17" s="1"/>
  <c r="O371" i="17"/>
  <c r="AA371" i="17" s="1"/>
  <c r="O334" i="17"/>
  <c r="AA334" i="17" s="1"/>
  <c r="O398" i="17"/>
  <c r="AA398" i="17" s="1"/>
  <c r="O137" i="17"/>
  <c r="AA137" i="17" s="1"/>
  <c r="O201" i="17"/>
  <c r="AA201" i="17" s="1"/>
  <c r="O265" i="17"/>
  <c r="AA265" i="17" s="1"/>
  <c r="O305" i="17"/>
  <c r="AA305" i="17" s="1"/>
  <c r="O30" i="17"/>
  <c r="AA30" i="17" s="1"/>
  <c r="O94" i="17"/>
  <c r="AA94" i="17" s="1"/>
  <c r="O200" i="17"/>
  <c r="AA200" i="17" s="1"/>
  <c r="O264" i="17"/>
  <c r="AA264" i="17" s="1"/>
  <c r="O354" i="17"/>
  <c r="AA354" i="17" s="1"/>
  <c r="O156" i="17"/>
  <c r="AA156" i="17" s="1"/>
  <c r="O470" i="17"/>
  <c r="AA470" i="17" s="1"/>
  <c r="O33" i="17"/>
  <c r="AA33" i="17" s="1"/>
  <c r="O97" i="17"/>
  <c r="AA97" i="17" s="1"/>
  <c r="O29" i="17"/>
  <c r="AA29" i="17" s="1"/>
  <c r="O53" i="17"/>
  <c r="AA53" i="17" s="1"/>
  <c r="O133" i="17"/>
  <c r="AA133" i="17" s="1"/>
  <c r="O165" i="17"/>
  <c r="AA165" i="17" s="1"/>
  <c r="O197" i="17"/>
  <c r="AA197" i="17" s="1"/>
  <c r="O229" i="17"/>
  <c r="AA229" i="17" s="1"/>
  <c r="O261" i="17"/>
  <c r="AA261" i="17" s="1"/>
  <c r="O293" i="17"/>
  <c r="AA293" i="17" s="1"/>
  <c r="O120" i="17"/>
  <c r="AA120" i="17" s="1"/>
  <c r="O152" i="17"/>
  <c r="AA152" i="17" s="1"/>
  <c r="O216" i="17"/>
  <c r="AA216" i="17" s="1"/>
  <c r="O280" i="17"/>
  <c r="AA280" i="17" s="1"/>
  <c r="O343" i="17"/>
  <c r="AA343" i="17" s="1"/>
  <c r="O375" i="17"/>
  <c r="AA375" i="17" s="1"/>
  <c r="O346" i="17"/>
  <c r="AA346" i="17" s="1"/>
  <c r="O148" i="17"/>
  <c r="AA148" i="17" s="1"/>
  <c r="O220" i="17"/>
  <c r="AA220" i="17" s="1"/>
  <c r="O284" i="17"/>
  <c r="AA284" i="17" s="1"/>
  <c r="O315" i="17"/>
  <c r="AA315" i="17" s="1"/>
  <c r="O347" i="17"/>
  <c r="AA347" i="17" s="1"/>
  <c r="O379" i="17"/>
  <c r="AA379" i="17" s="1"/>
  <c r="O342" i="17"/>
  <c r="AA342" i="17" s="1"/>
  <c r="O374" i="17"/>
  <c r="AA374" i="17" s="1"/>
  <c r="O406" i="17"/>
  <c r="AA406" i="17" s="1"/>
  <c r="O422" i="17"/>
  <c r="AA422" i="17" s="1"/>
  <c r="O185" i="17"/>
  <c r="AA185" i="17" s="1"/>
  <c r="O124" i="17"/>
  <c r="AA124" i="17" s="1"/>
  <c r="O54" i="17"/>
  <c r="AA54" i="17" s="1"/>
  <c r="O224" i="17"/>
  <c r="AA224" i="17" s="1"/>
  <c r="O288" i="17"/>
  <c r="AA288" i="17" s="1"/>
  <c r="O430" i="17"/>
  <c r="AA430" i="17" s="1"/>
  <c r="O25" i="17"/>
  <c r="AA25" i="17" s="1"/>
  <c r="O89" i="17"/>
  <c r="AA89" i="17" s="1"/>
  <c r="O116" i="17"/>
  <c r="AA116" i="17" s="1"/>
  <c r="O46" i="17"/>
  <c r="AA46" i="17" s="1"/>
  <c r="O61" i="17"/>
  <c r="AA61" i="17" s="1"/>
  <c r="O157" i="17"/>
  <c r="AA157" i="17" s="1"/>
  <c r="O221" i="17"/>
  <c r="AA221" i="17" s="1"/>
  <c r="O285" i="17"/>
  <c r="AA285" i="17" s="1"/>
  <c r="O144" i="17"/>
  <c r="AA144" i="17" s="1"/>
  <c r="O240" i="17"/>
  <c r="AA240" i="17" s="1"/>
  <c r="O304" i="17"/>
  <c r="AA304" i="17" s="1"/>
  <c r="O335" i="17"/>
  <c r="AA335" i="17" s="1"/>
  <c r="O399" i="17"/>
  <c r="AA399" i="17" s="1"/>
  <c r="O362" i="17"/>
  <c r="AA362" i="17" s="1"/>
  <c r="O164" i="17"/>
  <c r="AA164" i="17" s="1"/>
  <c r="O196" i="17"/>
  <c r="AA196" i="17" s="1"/>
  <c r="O260" i="17"/>
  <c r="AA260" i="17" s="1"/>
  <c r="O355" i="17"/>
  <c r="AA355" i="17" s="1"/>
  <c r="O318" i="17"/>
  <c r="AA318" i="17" s="1"/>
  <c r="O382" i="17"/>
  <c r="AA382" i="17" s="1"/>
  <c r="O478" i="17"/>
  <c r="AA478" i="17" s="1"/>
  <c r="O494" i="17"/>
  <c r="AA494" i="17" s="1"/>
  <c r="O455" i="17"/>
  <c r="AA455" i="17" s="1"/>
  <c r="O592" i="17"/>
  <c r="AA592" i="17" s="1"/>
  <c r="O573" i="17"/>
  <c r="AA573" i="17" s="1"/>
  <c r="P49" i="17"/>
  <c r="AB49" i="17" s="1"/>
  <c r="P48" i="17"/>
  <c r="AB48" i="17" s="1"/>
  <c r="O64" i="17"/>
  <c r="AA64" i="17" s="1"/>
  <c r="O63" i="17"/>
  <c r="AA63" i="17" s="1"/>
  <c r="O159" i="17"/>
  <c r="AA159" i="17" s="1"/>
  <c r="O223" i="17"/>
  <c r="AA223" i="17" s="1"/>
  <c r="O287" i="17"/>
  <c r="AA287" i="17" s="1"/>
  <c r="O146" i="17"/>
  <c r="AA146" i="17" s="1"/>
  <c r="O242" i="17"/>
  <c r="AA242" i="17" s="1"/>
  <c r="O306" i="17"/>
  <c r="AA306" i="17" s="1"/>
  <c r="O337" i="17"/>
  <c r="AA337" i="17" s="1"/>
  <c r="O401" i="17"/>
  <c r="AA401" i="17" s="1"/>
  <c r="O364" i="17"/>
  <c r="AA364" i="17" s="1"/>
  <c r="O460" i="17"/>
  <c r="AA460" i="17" s="1"/>
  <c r="O421" i="17"/>
  <c r="AA421" i="17" s="1"/>
  <c r="O485" i="17"/>
  <c r="AA485" i="17" s="1"/>
  <c r="O526" i="17"/>
  <c r="AA526" i="17" s="1"/>
  <c r="O590" i="17"/>
  <c r="AA590" i="17" s="1"/>
  <c r="O604" i="17"/>
  <c r="AA604" i="17" s="1"/>
  <c r="P15" i="17"/>
  <c r="AB15" i="17" s="1"/>
  <c r="P79" i="17"/>
  <c r="AB79" i="17" s="1"/>
  <c r="P14" i="17"/>
  <c r="AB14" i="17" s="1"/>
  <c r="P78" i="17"/>
  <c r="AB78" i="17" s="1"/>
  <c r="O450" i="17"/>
  <c r="AA450" i="17" s="1"/>
  <c r="O514" i="17"/>
  <c r="AA514" i="17" s="1"/>
  <c r="O475" i="17"/>
  <c r="AA475" i="17" s="1"/>
  <c r="O76" i="17"/>
  <c r="AA76" i="17" s="1"/>
  <c r="O43" i="17"/>
  <c r="AA43" i="17" s="1"/>
  <c r="O75" i="17"/>
  <c r="AA75" i="17" s="1"/>
  <c r="O107" i="17"/>
  <c r="AA107" i="17" s="1"/>
  <c r="O139" i="17"/>
  <c r="AA139" i="17" s="1"/>
  <c r="O203" i="17"/>
  <c r="AA203" i="17" s="1"/>
  <c r="O267" i="17"/>
  <c r="AA267" i="17" s="1"/>
  <c r="O158" i="17"/>
  <c r="AA158" i="17" s="1"/>
  <c r="O440" i="17"/>
  <c r="AA440" i="17" s="1"/>
  <c r="O472" i="17"/>
  <c r="AA472" i="17" s="1"/>
  <c r="O504" i="17"/>
  <c r="AA504" i="17" s="1"/>
  <c r="O433" i="17"/>
  <c r="AA433" i="17" s="1"/>
  <c r="O465" i="17"/>
  <c r="AA465" i="17" s="1"/>
  <c r="O497" i="17"/>
  <c r="AA497" i="17" s="1"/>
  <c r="O597" i="17"/>
  <c r="AA597" i="17" s="1"/>
  <c r="P59" i="17"/>
  <c r="AB59" i="17" s="1"/>
  <c r="O431" i="17"/>
  <c r="AA431" i="17" s="1"/>
  <c r="O495" i="17"/>
  <c r="AA495" i="17" s="1"/>
  <c r="O527" i="17"/>
  <c r="AA527" i="17" s="1"/>
  <c r="O536" i="17"/>
  <c r="AA536" i="17" s="1"/>
  <c r="O568" i="17"/>
  <c r="AA568" i="17" s="1"/>
  <c r="O549" i="17"/>
  <c r="AA549" i="17" s="1"/>
  <c r="O595" i="17"/>
  <c r="AA595" i="17" s="1"/>
  <c r="P25" i="17"/>
  <c r="AB25" i="17" s="1"/>
  <c r="P89" i="17"/>
  <c r="AB89" i="17" s="1"/>
  <c r="P24" i="17"/>
  <c r="AB24" i="17" s="1"/>
  <c r="P88" i="17"/>
  <c r="AB88" i="17" s="1"/>
  <c r="O40" i="17"/>
  <c r="AA40" i="17" s="1"/>
  <c r="O104" i="17"/>
  <c r="AA104" i="17" s="1"/>
  <c r="O39" i="17"/>
  <c r="AA39" i="17" s="1"/>
  <c r="O103" i="17"/>
  <c r="AA103" i="17" s="1"/>
  <c r="O135" i="17"/>
  <c r="AA135" i="17" s="1"/>
  <c r="O199" i="17"/>
  <c r="AA199" i="17" s="1"/>
  <c r="O263" i="17"/>
  <c r="AA263" i="17" s="1"/>
  <c r="O122" i="17"/>
  <c r="AA122" i="17" s="1"/>
  <c r="O218" i="17"/>
  <c r="AA218" i="17" s="1"/>
  <c r="O282" i="17"/>
  <c r="AA282" i="17" s="1"/>
  <c r="O314" i="17"/>
  <c r="AA314" i="17" s="1"/>
  <c r="O377" i="17"/>
  <c r="AA377" i="17" s="1"/>
  <c r="O409" i="17"/>
  <c r="AA409" i="17" s="1"/>
  <c r="O340" i="17"/>
  <c r="AA340" i="17" s="1"/>
  <c r="O404" i="17"/>
  <c r="AA404" i="17" s="1"/>
  <c r="O436" i="17"/>
  <c r="AA436" i="17" s="1"/>
  <c r="O500" i="17"/>
  <c r="AA500" i="17" s="1"/>
  <c r="O461" i="17"/>
  <c r="AA461" i="17" s="1"/>
  <c r="O566" i="17"/>
  <c r="AA566" i="17" s="1"/>
  <c r="O579" i="17"/>
  <c r="AA579" i="17" s="1"/>
  <c r="P55" i="17"/>
  <c r="AB55" i="17" s="1"/>
  <c r="P54" i="17"/>
  <c r="AB54" i="17" s="1"/>
  <c r="O426" i="17"/>
  <c r="AA426" i="17" s="1"/>
  <c r="O490" i="17"/>
  <c r="AA490" i="17" s="1"/>
  <c r="O451" i="17"/>
  <c r="AA451" i="17" s="1"/>
  <c r="O588" i="17"/>
  <c r="AA588" i="17" s="1"/>
  <c r="P45" i="17"/>
  <c r="AB45" i="17" s="1"/>
  <c r="P109" i="17"/>
  <c r="AB109" i="17" s="1"/>
  <c r="O50" i="17"/>
  <c r="AA50" i="17" s="1"/>
  <c r="O177" i="17"/>
  <c r="AA177" i="17" s="1"/>
  <c r="O37" i="17"/>
  <c r="AA37" i="17" s="1"/>
  <c r="O84" i="17"/>
  <c r="AA84" i="17" s="1"/>
  <c r="O147" i="17"/>
  <c r="AA147" i="17" s="1"/>
  <c r="O211" i="17"/>
  <c r="AA211" i="17" s="1"/>
  <c r="O275" i="17"/>
  <c r="AA275" i="17" s="1"/>
  <c r="O134" i="17"/>
  <c r="AA134" i="17" s="1"/>
  <c r="O230" i="17"/>
  <c r="AA230" i="17" s="1"/>
  <c r="O294" i="17"/>
  <c r="AA294" i="17" s="1"/>
  <c r="P35" i="17"/>
  <c r="AB35" i="17" s="1"/>
  <c r="P99" i="17"/>
  <c r="AB99" i="17" s="1"/>
  <c r="P34" i="17"/>
  <c r="AB34" i="17" s="1"/>
  <c r="P100" i="17"/>
  <c r="AB100" i="17" s="1"/>
  <c r="O507" i="17"/>
  <c r="AA507" i="17" s="1"/>
  <c r="O561" i="17"/>
  <c r="AA561" i="17" s="1"/>
  <c r="P36" i="17"/>
  <c r="AB36" i="17" s="1"/>
  <c r="O52" i="17"/>
  <c r="AA52" i="17" s="1"/>
  <c r="O27" i="17"/>
  <c r="AA27" i="17" s="1"/>
  <c r="O91" i="17"/>
  <c r="AA91" i="17" s="1"/>
  <c r="O333" i="17"/>
  <c r="AA333" i="17" s="1"/>
  <c r="O397" i="17"/>
  <c r="AA397" i="17" s="1"/>
  <c r="O360" i="17"/>
  <c r="AA360" i="17" s="1"/>
  <c r="O456" i="17"/>
  <c r="AA456" i="17" s="1"/>
  <c r="O481" i="17"/>
  <c r="AA481" i="17" s="1"/>
  <c r="O522" i="17"/>
  <c r="AA522" i="17" s="1"/>
  <c r="O586" i="17"/>
  <c r="AA586" i="17" s="1"/>
  <c r="O600" i="17"/>
  <c r="AA600" i="17" s="1"/>
  <c r="O439" i="17"/>
  <c r="AA439" i="17" s="1"/>
  <c r="O503" i="17"/>
  <c r="AA503" i="17" s="1"/>
  <c r="O535" i="17"/>
  <c r="AA535" i="17" s="1"/>
  <c r="O576" i="17"/>
  <c r="AA576" i="17" s="1"/>
  <c r="O557" i="17"/>
  <c r="AA557" i="17" s="1"/>
  <c r="P33" i="17"/>
  <c r="AB33" i="17" s="1"/>
  <c r="P97" i="17"/>
  <c r="AB97" i="17" s="1"/>
  <c r="P32" i="17"/>
  <c r="AB32" i="17" s="1"/>
  <c r="O48" i="17"/>
  <c r="AA48" i="17" s="1"/>
  <c r="O47" i="17"/>
  <c r="AA47" i="17" s="1"/>
  <c r="O143" i="17"/>
  <c r="AA143" i="17" s="1"/>
  <c r="O207" i="17"/>
  <c r="AA207" i="17" s="1"/>
  <c r="O271" i="17"/>
  <c r="AA271" i="17" s="1"/>
  <c r="O130" i="17"/>
  <c r="AA130" i="17" s="1"/>
  <c r="O226" i="17"/>
  <c r="AA226" i="17" s="1"/>
  <c r="O290" i="17"/>
  <c r="AA290" i="17" s="1"/>
  <c r="O321" i="17"/>
  <c r="AA321" i="17" s="1"/>
  <c r="O385" i="17"/>
  <c r="AA385" i="17" s="1"/>
  <c r="O348" i="17"/>
  <c r="AA348" i="17" s="1"/>
  <c r="O412" i="17"/>
  <c r="AA412" i="17" s="1"/>
  <c r="O444" i="17"/>
  <c r="AA444" i="17" s="1"/>
  <c r="O508" i="17"/>
  <c r="AA508" i="17" s="1"/>
  <c r="O469" i="17"/>
  <c r="AA469" i="17" s="1"/>
  <c r="O574" i="17"/>
  <c r="AA574" i="17" s="1"/>
  <c r="O587" i="17"/>
  <c r="AA587" i="17" s="1"/>
  <c r="O601" i="17"/>
  <c r="AA601" i="17" s="1"/>
  <c r="P63" i="17"/>
  <c r="AB63" i="17" s="1"/>
  <c r="P62" i="17"/>
  <c r="AB62" i="17" s="1"/>
  <c r="O434" i="17"/>
  <c r="AA434" i="17" s="1"/>
  <c r="O498" i="17"/>
  <c r="AA498" i="17" s="1"/>
  <c r="O459" i="17"/>
  <c r="AA459" i="17" s="1"/>
  <c r="O564" i="17"/>
  <c r="AA564" i="17" s="1"/>
  <c r="P47" i="17"/>
  <c r="AB47" i="17" s="1"/>
  <c r="P46" i="17"/>
  <c r="AB46" i="17" s="1"/>
  <c r="O418" i="17"/>
  <c r="AA418" i="17" s="1"/>
  <c r="O482" i="17"/>
  <c r="AA482" i="17" s="1"/>
  <c r="O443" i="17"/>
  <c r="AA443" i="17" s="1"/>
  <c r="O532" i="17"/>
  <c r="AA532" i="17" s="1"/>
  <c r="O36" i="17"/>
  <c r="AA36" i="17" s="1"/>
  <c r="O108" i="17"/>
  <c r="AA108" i="17" s="1"/>
  <c r="O171" i="17"/>
  <c r="AA171" i="17" s="1"/>
  <c r="O235" i="17"/>
  <c r="AA235" i="17" s="1"/>
  <c r="O299" i="17"/>
  <c r="AA299" i="17" s="1"/>
  <c r="O126" i="17"/>
  <c r="AA126" i="17" s="1"/>
  <c r="O538" i="17"/>
  <c r="AA538" i="17" s="1"/>
  <c r="O570" i="17"/>
  <c r="AA570" i="17" s="1"/>
  <c r="O551" i="17"/>
  <c r="AA551" i="17" s="1"/>
  <c r="O583" i="17"/>
  <c r="AA583" i="17" s="1"/>
  <c r="P27" i="17"/>
  <c r="AB27" i="17" s="1"/>
  <c r="P91" i="17"/>
  <c r="AB91" i="17" s="1"/>
  <c r="O502" i="17"/>
  <c r="AA502" i="17" s="1"/>
  <c r="O463" i="17"/>
  <c r="AA463" i="17" s="1"/>
  <c r="O581" i="17"/>
  <c r="AA581" i="17" s="1"/>
  <c r="P57" i="17"/>
  <c r="AB57" i="17" s="1"/>
  <c r="P56" i="17"/>
  <c r="AB56" i="17" s="1"/>
  <c r="O72" i="17"/>
  <c r="AA72" i="17" s="1"/>
  <c r="O71" i="17"/>
  <c r="AA71" i="17" s="1"/>
  <c r="O167" i="17"/>
  <c r="AA167" i="17" s="1"/>
  <c r="O231" i="17"/>
  <c r="AA231" i="17" s="1"/>
  <c r="O295" i="17"/>
  <c r="AA295" i="17" s="1"/>
  <c r="O154" i="17"/>
  <c r="AA154" i="17" s="1"/>
  <c r="O186" i="17"/>
  <c r="AA186" i="17" s="1"/>
  <c r="O250" i="17"/>
  <c r="AA250" i="17" s="1"/>
  <c r="O345" i="17"/>
  <c r="AA345" i="17" s="1"/>
  <c r="O372" i="17"/>
  <c r="AA372" i="17" s="1"/>
  <c r="O468" i="17"/>
  <c r="AA468" i="17" s="1"/>
  <c r="O429" i="17"/>
  <c r="AA429" i="17" s="1"/>
  <c r="O493" i="17"/>
  <c r="AA493" i="17" s="1"/>
  <c r="O525" i="17"/>
  <c r="AA525" i="17" s="1"/>
  <c r="O534" i="17"/>
  <c r="AA534" i="17" s="1"/>
  <c r="O547" i="17"/>
  <c r="AA547" i="17" s="1"/>
  <c r="O612" i="17"/>
  <c r="AA612" i="17" s="1"/>
  <c r="P23" i="17"/>
  <c r="AB23" i="17" s="1"/>
  <c r="P87" i="17"/>
  <c r="AB87" i="17" s="1"/>
  <c r="P22" i="17"/>
  <c r="AB22" i="17" s="1"/>
  <c r="P86" i="17"/>
  <c r="AB86" i="17" s="1"/>
  <c r="O458" i="17"/>
  <c r="AA458" i="17" s="1"/>
  <c r="O419" i="17"/>
  <c r="AA419" i="17" s="1"/>
  <c r="O524" i="17"/>
  <c r="AA524" i="17" s="1"/>
  <c r="O556" i="17"/>
  <c r="AA556" i="17" s="1"/>
  <c r="P13" i="17"/>
  <c r="AB13" i="17" s="1"/>
  <c r="P77" i="17"/>
  <c r="AB77" i="17" s="1"/>
  <c r="O113" i="17"/>
  <c r="AA113" i="17" s="1"/>
  <c r="O241" i="17"/>
  <c r="AA241" i="17" s="1"/>
  <c r="O115" i="17"/>
  <c r="AA115" i="17" s="1"/>
  <c r="O179" i="17"/>
  <c r="AA179" i="17" s="1"/>
  <c r="O243" i="17"/>
  <c r="AA243" i="17" s="1"/>
  <c r="O307" i="17"/>
  <c r="AA307" i="17" s="1"/>
  <c r="O166" i="17"/>
  <c r="AA166" i="17" s="1"/>
  <c r="O198" i="17"/>
  <c r="AA198" i="17" s="1"/>
  <c r="O262" i="17"/>
  <c r="AA262" i="17" s="1"/>
  <c r="O605" i="17"/>
  <c r="AA605" i="17" s="1"/>
  <c r="P67" i="17"/>
  <c r="AB67" i="17" s="1"/>
  <c r="P66" i="17"/>
  <c r="AB66" i="17" s="1"/>
  <c r="P132" i="17"/>
  <c r="AB132" i="17" s="1"/>
  <c r="O593" i="17"/>
  <c r="AA593" i="17" s="1"/>
  <c r="P68" i="17"/>
  <c r="AB68" i="17" s="1"/>
  <c r="O20" i="17"/>
  <c r="AA20" i="17" s="1"/>
  <c r="O59" i="17"/>
  <c r="AA59" i="17" s="1"/>
  <c r="O365" i="17"/>
  <c r="AA365" i="17" s="1"/>
  <c r="O328" i="17"/>
  <c r="AA328" i="17" s="1"/>
  <c r="O392" i="17"/>
  <c r="AA392" i="17" s="1"/>
  <c r="O424" i="17"/>
  <c r="AA424" i="17" s="1"/>
  <c r="O488" i="17"/>
  <c r="AA488" i="17" s="1"/>
  <c r="O417" i="17"/>
  <c r="AA417" i="17" s="1"/>
  <c r="O449" i="17"/>
  <c r="AA449" i="17" s="1"/>
  <c r="O513" i="17"/>
  <c r="AA513" i="17" s="1"/>
  <c r="O554" i="17"/>
  <c r="AA554" i="17" s="1"/>
  <c r="O567" i="17"/>
  <c r="AA567" i="17" s="1"/>
  <c r="O510" i="17"/>
  <c r="AA510" i="17" s="1"/>
  <c r="O471" i="17"/>
  <c r="AA471" i="17" s="1"/>
  <c r="O544" i="17"/>
  <c r="AA544" i="17" s="1"/>
  <c r="O589" i="17"/>
  <c r="AA589" i="17" s="1"/>
  <c r="O603" i="17"/>
  <c r="AA603" i="17" s="1"/>
  <c r="P65" i="17"/>
  <c r="AB65" i="17" s="1"/>
  <c r="P64" i="17"/>
  <c r="AB64" i="17" s="1"/>
  <c r="O16" i="17"/>
  <c r="AA16" i="17" s="1"/>
  <c r="O80" i="17"/>
  <c r="AA80" i="17" s="1"/>
  <c r="O15" i="17"/>
  <c r="AA15" i="17" s="1"/>
  <c r="O79" i="17"/>
  <c r="AA79" i="17" s="1"/>
  <c r="O111" i="17"/>
  <c r="AA111" i="17" s="1"/>
  <c r="O175" i="17"/>
  <c r="AA175" i="17" s="1"/>
  <c r="O239" i="17"/>
  <c r="AA239" i="17" s="1"/>
  <c r="O303" i="17"/>
  <c r="AA303" i="17" s="1"/>
  <c r="O162" i="17"/>
  <c r="AA162" i="17" s="1"/>
  <c r="O194" i="17"/>
  <c r="AA194" i="17" s="1"/>
  <c r="O258" i="17"/>
  <c r="AA258" i="17" s="1"/>
  <c r="O353" i="17"/>
  <c r="AA353" i="17" s="1"/>
  <c r="O316" i="17"/>
  <c r="AA316" i="17" s="1"/>
  <c r="O380" i="17"/>
  <c r="AA380" i="17" s="1"/>
  <c r="O476" i="17"/>
  <c r="AA476" i="17" s="1"/>
  <c r="O437" i="17"/>
  <c r="AA437" i="17" s="1"/>
  <c r="O501" i="17"/>
  <c r="AA501" i="17" s="1"/>
  <c r="O533" i="17"/>
  <c r="AA533" i="17" s="1"/>
  <c r="O542" i="17"/>
  <c r="AA542" i="17" s="1"/>
  <c r="O555" i="17"/>
  <c r="AA555" i="17" s="1"/>
  <c r="P31" i="17"/>
  <c r="AB31" i="17" s="1"/>
  <c r="P95" i="17"/>
  <c r="AB95" i="17" s="1"/>
  <c r="P30" i="17"/>
  <c r="AB30" i="17" s="1"/>
  <c r="P96" i="17"/>
  <c r="AB96" i="17" s="1"/>
  <c r="O466" i="17"/>
  <c r="AA466" i="17" s="1"/>
  <c r="O427" i="17"/>
  <c r="AA427" i="17" s="1"/>
  <c r="O491" i="17"/>
  <c r="AA491" i="17" s="1"/>
  <c r="O523" i="17"/>
  <c r="AA523" i="17" s="1"/>
  <c r="O539" i="17"/>
  <c r="AA539" i="17" s="1"/>
  <c r="O548" i="17"/>
  <c r="AA548" i="17" s="1"/>
  <c r="O580" i="17"/>
  <c r="AA580" i="17" s="1"/>
  <c r="O545" i="17"/>
  <c r="AA545" i="17" s="1"/>
  <c r="O610" i="17"/>
  <c r="AA610" i="17" s="1"/>
  <c r="O607" i="17"/>
  <c r="AA607" i="17" s="1"/>
  <c r="P37" i="17"/>
  <c r="AB37" i="17" s="1"/>
  <c r="P69" i="17"/>
  <c r="AB69" i="17" s="1"/>
  <c r="P101" i="17"/>
  <c r="AB101" i="17" s="1"/>
  <c r="P20" i="17"/>
  <c r="AB20" i="17" s="1"/>
  <c r="P84" i="17"/>
  <c r="AB84" i="17" s="1"/>
  <c r="O34" i="17"/>
  <c r="AA34" i="17" s="1"/>
  <c r="O98" i="17"/>
  <c r="AA98" i="17" s="1"/>
  <c r="O161" i="17"/>
  <c r="AA161" i="17" s="1"/>
  <c r="O225" i="17"/>
  <c r="AA225" i="17" s="1"/>
  <c r="O21" i="17"/>
  <c r="AA21" i="17" s="1"/>
  <c r="O60" i="17"/>
  <c r="AA60" i="17" s="1"/>
  <c r="O19" i="17"/>
  <c r="AA19" i="17" s="1"/>
  <c r="O83" i="17"/>
  <c r="AA83" i="17" s="1"/>
  <c r="O155" i="17"/>
  <c r="AA155" i="17" s="1"/>
  <c r="O219" i="17"/>
  <c r="AA219" i="17" s="1"/>
  <c r="O283" i="17"/>
  <c r="AA283" i="17" s="1"/>
  <c r="O110" i="17"/>
  <c r="AA110" i="17" s="1"/>
  <c r="O142" i="17"/>
  <c r="AA142" i="17" s="1"/>
  <c r="O206" i="17"/>
  <c r="AA206" i="17" s="1"/>
  <c r="O238" i="17"/>
  <c r="AA238" i="17" s="1"/>
  <c r="O270" i="17"/>
  <c r="AA270" i="17" s="1"/>
  <c r="O302" i="17"/>
  <c r="AA302" i="17" s="1"/>
  <c r="O317" i="17"/>
  <c r="AA317" i="17" s="1"/>
  <c r="O381" i="17"/>
  <c r="AA381" i="17" s="1"/>
  <c r="O413" i="17"/>
  <c r="AA413" i="17" s="1"/>
  <c r="O344" i="17"/>
  <c r="AA344" i="17" s="1"/>
  <c r="O408" i="17"/>
  <c r="AA408" i="17" s="1"/>
  <c r="O480" i="17"/>
  <c r="AA480" i="17" s="1"/>
  <c r="O441" i="17"/>
  <c r="AA441" i="17" s="1"/>
  <c r="O505" i="17"/>
  <c r="AA505" i="17" s="1"/>
  <c r="O546" i="17"/>
  <c r="AA546" i="17" s="1"/>
  <c r="O559" i="17"/>
  <c r="AA559" i="17" s="1"/>
  <c r="O613" i="17"/>
  <c r="AA613" i="17" s="1"/>
  <c r="P75" i="17"/>
  <c r="AB75" i="17" s="1"/>
  <c r="P42" i="17"/>
  <c r="AB42" i="17" s="1"/>
  <c r="P74" i="17"/>
  <c r="AB74" i="17" s="1"/>
  <c r="P108" i="17"/>
  <c r="AB108" i="17" s="1"/>
  <c r="O483" i="17"/>
  <c r="AA483" i="17" s="1"/>
  <c r="O602" i="17"/>
  <c r="AA602" i="17" s="1"/>
  <c r="P76" i="17"/>
  <c r="AB76" i="17" s="1"/>
  <c r="O325" i="17"/>
  <c r="AA325" i="17" s="1"/>
  <c r="O389" i="17"/>
  <c r="AA389" i="17" s="1"/>
  <c r="O352" i="17"/>
  <c r="AA352" i="17" s="1"/>
  <c r="O416" i="17"/>
  <c r="AA416" i="17" s="1"/>
  <c r="O479" i="17"/>
  <c r="AA479" i="17" s="1"/>
  <c r="O543" i="17"/>
  <c r="AA543" i="17" s="1"/>
  <c r="O552" i="17"/>
  <c r="AA552" i="17" s="1"/>
  <c r="O598" i="17"/>
  <c r="AA598" i="17" s="1"/>
  <c r="O611" i="17"/>
  <c r="AA611" i="17" s="1"/>
  <c r="P73" i="17"/>
  <c r="AB73" i="17" s="1"/>
  <c r="P72" i="17"/>
  <c r="AB72" i="17" s="1"/>
  <c r="O24" i="17"/>
  <c r="AA24" i="17" s="1"/>
  <c r="O88" i="17"/>
  <c r="AA88" i="17" s="1"/>
  <c r="O23" i="17"/>
  <c r="AA23" i="17" s="1"/>
  <c r="O87" i="17"/>
  <c r="AA87" i="17" s="1"/>
  <c r="O119" i="17"/>
  <c r="AA119" i="17" s="1"/>
  <c r="O183" i="17"/>
  <c r="AA183" i="17" s="1"/>
  <c r="O247" i="17"/>
  <c r="AA247" i="17" s="1"/>
  <c r="O311" i="17"/>
  <c r="AA311" i="17" s="1"/>
  <c r="O170" i="17"/>
  <c r="AA170" i="17" s="1"/>
  <c r="O202" i="17"/>
  <c r="AA202" i="17" s="1"/>
  <c r="O266" i="17"/>
  <c r="AA266" i="17" s="1"/>
  <c r="O361" i="17"/>
  <c r="AA361" i="17" s="1"/>
  <c r="O324" i="17"/>
  <c r="AA324" i="17" s="1"/>
  <c r="O388" i="17"/>
  <c r="AA388" i="17" s="1"/>
  <c r="O420" i="17"/>
  <c r="AA420" i="17" s="1"/>
  <c r="O484" i="17"/>
  <c r="AA484" i="17" s="1"/>
  <c r="O445" i="17"/>
  <c r="AA445" i="17" s="1"/>
  <c r="O509" i="17"/>
  <c r="AA509" i="17" s="1"/>
  <c r="O550" i="17"/>
  <c r="AA550" i="17" s="1"/>
  <c r="O563" i="17"/>
  <c r="AA563" i="17" s="1"/>
  <c r="P39" i="17"/>
  <c r="AB39" i="17" s="1"/>
  <c r="P103" i="17"/>
  <c r="AB103" i="17" s="1"/>
  <c r="P38" i="17"/>
  <c r="AB38" i="17" s="1"/>
  <c r="O474" i="17"/>
  <c r="AA474" i="17" s="1"/>
  <c r="O435" i="17"/>
  <c r="AA435" i="17" s="1"/>
  <c r="O499" i="17"/>
  <c r="AA499" i="17" s="1"/>
  <c r="O531" i="17"/>
  <c r="AA531" i="17" s="1"/>
  <c r="O540" i="17"/>
  <c r="AA540" i="17" s="1"/>
  <c r="O572" i="17"/>
  <c r="AA572" i="17" s="1"/>
  <c r="O553" i="17"/>
  <c r="AA553" i="17" s="1"/>
  <c r="P29" i="17"/>
  <c r="AB29" i="17" s="1"/>
  <c r="P93" i="17"/>
  <c r="AB93" i="17" s="1"/>
  <c r="P28" i="17"/>
  <c r="AB28" i="17" s="1"/>
  <c r="P92" i="17"/>
  <c r="AB92" i="17" s="1"/>
  <c r="O44" i="17"/>
  <c r="AA44" i="17" s="1"/>
  <c r="O82" i="17"/>
  <c r="AA82" i="17" s="1"/>
  <c r="O209" i="17"/>
  <c r="AA209" i="17" s="1"/>
  <c r="O100" i="17"/>
  <c r="AA100" i="17" s="1"/>
  <c r="O35" i="17"/>
  <c r="AA35" i="17" s="1"/>
  <c r="O99" i="17"/>
  <c r="AA99" i="17" s="1"/>
  <c r="O131" i="17"/>
  <c r="AA131" i="17" s="1"/>
  <c r="O195" i="17"/>
  <c r="AA195" i="17" s="1"/>
  <c r="O259" i="17"/>
  <c r="AA259" i="17" s="1"/>
  <c r="O118" i="17"/>
  <c r="AA118" i="17" s="1"/>
  <c r="O214" i="17"/>
  <c r="AA214" i="17" s="1"/>
  <c r="O278" i="17"/>
  <c r="AA278" i="17" s="1"/>
  <c r="O373" i="17"/>
  <c r="AA373" i="17" s="1"/>
  <c r="O336" i="17"/>
  <c r="AA336" i="17" s="1"/>
  <c r="O400" i="17"/>
  <c r="AA400" i="17" s="1"/>
  <c r="O432" i="17"/>
  <c r="AA432" i="17" s="1"/>
  <c r="O496" i="17"/>
  <c r="AA496" i="17" s="1"/>
  <c r="O457" i="17"/>
  <c r="AA457" i="17" s="1"/>
  <c r="O562" i="17"/>
  <c r="AA562" i="17" s="1"/>
  <c r="O575" i="17"/>
  <c r="AA575" i="17" s="1"/>
  <c r="P51" i="17"/>
  <c r="AB51" i="17" s="1"/>
  <c r="P50" i="17"/>
  <c r="AB50" i="17" s="1"/>
  <c r="P116" i="17"/>
  <c r="AB116" i="17" s="1"/>
  <c r="P180" i="17"/>
  <c r="AB180" i="17" s="1"/>
  <c r="P160" i="17"/>
  <c r="AB160" i="17" s="1"/>
  <c r="P224" i="17"/>
  <c r="AB224" i="17" s="1"/>
  <c r="P288" i="17"/>
  <c r="AB288" i="17" s="1"/>
  <c r="P147" i="17"/>
  <c r="AB147" i="17" s="1"/>
  <c r="P211" i="17"/>
  <c r="AB211" i="17" s="1"/>
  <c r="P275" i="17"/>
  <c r="AB275" i="17" s="1"/>
  <c r="P372" i="17"/>
  <c r="AB372" i="17" s="1"/>
  <c r="P365" i="17"/>
  <c r="AB365" i="17" s="1"/>
  <c r="P461" i="17"/>
  <c r="AB461" i="17" s="1"/>
  <c r="P424" i="17"/>
  <c r="AB424" i="17" s="1"/>
  <c r="P488" i="17"/>
  <c r="AB488" i="17" s="1"/>
  <c r="P583" i="17"/>
  <c r="AB583" i="17" s="1"/>
  <c r="P541" i="17"/>
  <c r="AB541" i="17" s="1"/>
  <c r="P603" i="17"/>
  <c r="AB603" i="17" s="1"/>
  <c r="P94" i="17"/>
  <c r="AB94" i="17" s="1"/>
  <c r="P158" i="17"/>
  <c r="AB158" i="17" s="1"/>
  <c r="P222" i="17"/>
  <c r="AB222" i="17" s="1"/>
  <c r="P286" i="17"/>
  <c r="AB286" i="17" s="1"/>
  <c r="P145" i="17"/>
  <c r="AB145" i="17" s="1"/>
  <c r="P209" i="17"/>
  <c r="AB209" i="17" s="1"/>
  <c r="P273" i="17"/>
  <c r="AB273" i="17" s="1"/>
  <c r="P370" i="17"/>
  <c r="AB370" i="17" s="1"/>
  <c r="P363" i="17"/>
  <c r="AB363" i="17" s="1"/>
  <c r="P459" i="17"/>
  <c r="AB459" i="17" s="1"/>
  <c r="P422" i="17"/>
  <c r="AB422" i="17" s="1"/>
  <c r="P486" i="17"/>
  <c r="AB486" i="17" s="1"/>
  <c r="P549" i="17"/>
  <c r="AB549" i="17" s="1"/>
  <c r="P539" i="17"/>
  <c r="AB539" i="17" s="1"/>
  <c r="P601" i="17"/>
  <c r="AB601" i="17" s="1"/>
  <c r="O518" i="17"/>
  <c r="AA518" i="17" s="1"/>
  <c r="O577" i="17"/>
  <c r="AA577" i="17" s="1"/>
  <c r="P21" i="17"/>
  <c r="AB21" i="17" s="1"/>
  <c r="P53" i="17"/>
  <c r="AB53" i="17" s="1"/>
  <c r="P85" i="17"/>
  <c r="AB85" i="17" s="1"/>
  <c r="P52" i="17"/>
  <c r="AB52" i="17" s="1"/>
  <c r="O28" i="17"/>
  <c r="AA28" i="17" s="1"/>
  <c r="O66" i="17"/>
  <c r="AA66" i="17" s="1"/>
  <c r="O129" i="17"/>
  <c r="AA129" i="17" s="1"/>
  <c r="O193" i="17"/>
  <c r="AA193" i="17" s="1"/>
  <c r="O257" i="17"/>
  <c r="AA257" i="17" s="1"/>
  <c r="O92" i="17"/>
  <c r="AA92" i="17" s="1"/>
  <c r="O51" i="17"/>
  <c r="AA51" i="17" s="1"/>
  <c r="O123" i="17"/>
  <c r="AA123" i="17" s="1"/>
  <c r="O187" i="17"/>
  <c r="AA187" i="17" s="1"/>
  <c r="O251" i="17"/>
  <c r="AA251" i="17" s="1"/>
  <c r="O174" i="17"/>
  <c r="AA174" i="17" s="1"/>
  <c r="O190" i="17"/>
  <c r="AA190" i="17" s="1"/>
  <c r="O222" i="17"/>
  <c r="AA222" i="17" s="1"/>
  <c r="O254" i="17"/>
  <c r="AA254" i="17" s="1"/>
  <c r="O286" i="17"/>
  <c r="AA286" i="17" s="1"/>
  <c r="O349" i="17"/>
  <c r="AA349" i="17" s="1"/>
  <c r="O376" i="17"/>
  <c r="AA376" i="17" s="1"/>
  <c r="O448" i="17"/>
  <c r="AA448" i="17" s="1"/>
  <c r="O512" i="17"/>
  <c r="AA512" i="17" s="1"/>
  <c r="O473" i="17"/>
  <c r="AA473" i="17" s="1"/>
  <c r="O529" i="17"/>
  <c r="AA529" i="17" s="1"/>
  <c r="O578" i="17"/>
  <c r="AA578" i="17" s="1"/>
  <c r="O591" i="17"/>
  <c r="AA591" i="17" s="1"/>
  <c r="P43" i="17"/>
  <c r="AB43" i="17" s="1"/>
  <c r="P107" i="17"/>
  <c r="AB107" i="17" s="1"/>
  <c r="P26" i="17"/>
  <c r="AB26" i="17" s="1"/>
  <c r="P58" i="17"/>
  <c r="AB58" i="17" s="1"/>
  <c r="P90" i="17"/>
  <c r="AB90" i="17" s="1"/>
  <c r="P124" i="17"/>
  <c r="AB124" i="17" s="1"/>
  <c r="O515" i="17"/>
  <c r="AA515" i="17" s="1"/>
  <c r="O569" i="17"/>
  <c r="AA569" i="17" s="1"/>
  <c r="P44" i="17"/>
  <c r="AB44" i="17" s="1"/>
  <c r="O357" i="17"/>
  <c r="AA357" i="17" s="1"/>
  <c r="O320" i="17"/>
  <c r="AA320" i="17" s="1"/>
  <c r="O384" i="17"/>
  <c r="AA384" i="17" s="1"/>
  <c r="O537" i="17"/>
  <c r="AA537" i="17" s="1"/>
  <c r="O486" i="17"/>
  <c r="AA486" i="17" s="1"/>
  <c r="O520" i="17"/>
  <c r="AA520" i="17" s="1"/>
  <c r="O447" i="17"/>
  <c r="AA447" i="17" s="1"/>
  <c r="O511" i="17"/>
  <c r="AA511" i="17" s="1"/>
  <c r="O584" i="17"/>
  <c r="AA584" i="17" s="1"/>
  <c r="O565" i="17"/>
  <c r="AA565" i="17" s="1"/>
  <c r="P41" i="17"/>
  <c r="AB41" i="17" s="1"/>
  <c r="P105" i="17"/>
  <c r="AB105" i="17" s="1"/>
  <c r="P40" i="17"/>
  <c r="AB40" i="17" s="1"/>
  <c r="O56" i="17"/>
  <c r="AA56" i="17" s="1"/>
  <c r="O55" i="17"/>
  <c r="AA55" i="17" s="1"/>
  <c r="O151" i="17"/>
  <c r="AA151" i="17" s="1"/>
  <c r="O215" i="17"/>
  <c r="AA215" i="17" s="1"/>
  <c r="O279" i="17"/>
  <c r="AA279" i="17" s="1"/>
  <c r="O138" i="17"/>
  <c r="AA138" i="17" s="1"/>
  <c r="O234" i="17"/>
  <c r="AA234" i="17" s="1"/>
  <c r="O298" i="17"/>
  <c r="AA298" i="17" s="1"/>
  <c r="O329" i="17"/>
  <c r="AA329" i="17" s="1"/>
  <c r="O393" i="17"/>
  <c r="AA393" i="17" s="1"/>
  <c r="O356" i="17"/>
  <c r="AA356" i="17" s="1"/>
  <c r="O452" i="17"/>
  <c r="AA452" i="17" s="1"/>
  <c r="O516" i="17"/>
  <c r="AA516" i="17" s="1"/>
  <c r="O477" i="17"/>
  <c r="AA477" i="17" s="1"/>
  <c r="O541" i="17"/>
  <c r="AA541" i="17" s="1"/>
  <c r="O582" i="17"/>
  <c r="AA582" i="17" s="1"/>
  <c r="O596" i="17"/>
  <c r="AA596" i="17" s="1"/>
  <c r="O609" i="17"/>
  <c r="AA609" i="17" s="1"/>
  <c r="P71" i="17"/>
  <c r="AB71" i="17" s="1"/>
  <c r="P70" i="17"/>
  <c r="AB70" i="17" s="1"/>
  <c r="O410" i="17"/>
  <c r="AA410" i="17" s="1"/>
  <c r="O442" i="17"/>
  <c r="AA442" i="17" s="1"/>
  <c r="O506" i="17"/>
  <c r="AA506" i="17" s="1"/>
  <c r="O467" i="17"/>
  <c r="AA467" i="17" s="1"/>
  <c r="O585" i="17"/>
  <c r="AA585" i="17" s="1"/>
  <c r="O599" i="17"/>
  <c r="AA599" i="17" s="1"/>
  <c r="P61" i="17"/>
  <c r="AB61" i="17" s="1"/>
  <c r="P60" i="17"/>
  <c r="AB60" i="17" s="1"/>
  <c r="O18" i="17"/>
  <c r="AA18" i="17" s="1"/>
  <c r="O145" i="17"/>
  <c r="AA145" i="17" s="1"/>
  <c r="O273" i="17"/>
  <c r="AA273" i="17" s="1"/>
  <c r="O68" i="17"/>
  <c r="AA68" i="17" s="1"/>
  <c r="O67" i="17"/>
  <c r="AA67" i="17" s="1"/>
  <c r="O163" i="17"/>
  <c r="AA163" i="17" s="1"/>
  <c r="O227" i="17"/>
  <c r="AA227" i="17" s="1"/>
  <c r="O291" i="17"/>
  <c r="AA291" i="17" s="1"/>
  <c r="O150" i="17"/>
  <c r="AA150" i="17" s="1"/>
  <c r="O182" i="17"/>
  <c r="AA182" i="17" s="1"/>
  <c r="O246" i="17"/>
  <c r="AA246" i="17" s="1"/>
  <c r="O310" i="17"/>
  <c r="AA310" i="17" s="1"/>
  <c r="O341" i="17"/>
  <c r="AA341" i="17" s="1"/>
  <c r="O405" i="17"/>
  <c r="AA405" i="17" s="1"/>
  <c r="O368" i="17"/>
  <c r="AA368" i="17" s="1"/>
  <c r="O464" i="17"/>
  <c r="AA464" i="17" s="1"/>
  <c r="O425" i="17"/>
  <c r="AA425" i="17" s="1"/>
  <c r="O489" i="17"/>
  <c r="AA489" i="17" s="1"/>
  <c r="O521" i="17"/>
  <c r="AA521" i="17" s="1"/>
  <c r="O530" i="17"/>
  <c r="AA530" i="17" s="1"/>
  <c r="O594" i="17"/>
  <c r="AA594" i="17" s="1"/>
  <c r="O608" i="17"/>
  <c r="AA608" i="17" s="1"/>
  <c r="P19" i="17"/>
  <c r="AB19" i="17" s="1"/>
  <c r="P83" i="17"/>
  <c r="AB83" i="17" s="1"/>
  <c r="P18" i="17"/>
  <c r="AB18" i="17" s="1"/>
  <c r="P82" i="17"/>
  <c r="AB82" i="17" s="1"/>
  <c r="P148" i="17"/>
  <c r="AB148" i="17" s="1"/>
  <c r="P128" i="17"/>
  <c r="AB128" i="17" s="1"/>
  <c r="P192" i="17"/>
  <c r="AB192" i="17" s="1"/>
  <c r="P256" i="17"/>
  <c r="AB256" i="17" s="1"/>
  <c r="P115" i="17"/>
  <c r="AB115" i="17" s="1"/>
  <c r="P179" i="17"/>
  <c r="AB179" i="17" s="1"/>
  <c r="P243" i="17"/>
  <c r="AB243" i="17" s="1"/>
  <c r="P307" i="17"/>
  <c r="AB307" i="17" s="1"/>
  <c r="P340" i="17"/>
  <c r="AB340" i="17" s="1"/>
  <c r="P404" i="17"/>
  <c r="AB404" i="17" s="1"/>
  <c r="P333" i="17"/>
  <c r="AB333" i="17" s="1"/>
  <c r="P397" i="17"/>
  <c r="AB397" i="17" s="1"/>
  <c r="P429" i="17"/>
  <c r="AB429" i="17" s="1"/>
  <c r="P493" i="17"/>
  <c r="AB493" i="17" s="1"/>
  <c r="P456" i="17"/>
  <c r="AB456" i="17" s="1"/>
  <c r="P518" i="17"/>
  <c r="AB518" i="17" s="1"/>
  <c r="P551" i="17"/>
  <c r="AB551" i="17" s="1"/>
  <c r="P572" i="17"/>
  <c r="AB572" i="17" s="1"/>
  <c r="P126" i="17"/>
  <c r="AB126" i="17" s="1"/>
  <c r="P190" i="17"/>
  <c r="AB190" i="17" s="1"/>
  <c r="P254" i="17"/>
  <c r="AB254" i="17" s="1"/>
  <c r="P113" i="17"/>
  <c r="AB113" i="17" s="1"/>
  <c r="P177" i="17"/>
  <c r="AB177" i="17" s="1"/>
  <c r="P241" i="17"/>
  <c r="AB241" i="17" s="1"/>
  <c r="P305" i="17"/>
  <c r="AB305" i="17" s="1"/>
  <c r="P338" i="17"/>
  <c r="AB338" i="17" s="1"/>
  <c r="P402" i="17"/>
  <c r="AB402" i="17" s="1"/>
  <c r="P331" i="17"/>
  <c r="AB331" i="17" s="1"/>
  <c r="P395" i="17"/>
  <c r="AB395" i="17" s="1"/>
  <c r="P427" i="17"/>
  <c r="AB427" i="17" s="1"/>
  <c r="P491" i="17"/>
  <c r="AB491" i="17" s="1"/>
  <c r="P454" i="17"/>
  <c r="AB454" i="17" s="1"/>
  <c r="P519" i="17"/>
  <c r="AB519" i="17" s="1"/>
  <c r="P581" i="17"/>
  <c r="AB581" i="17" s="1"/>
  <c r="P570" i="17"/>
  <c r="AB570" i="17" s="1"/>
  <c r="P212" i="17"/>
  <c r="AB212" i="17" s="1"/>
  <c r="P172" i="17"/>
  <c r="AB172" i="17" s="1"/>
  <c r="P152" i="17"/>
  <c r="AB152" i="17" s="1"/>
  <c r="P216" i="17"/>
  <c r="AB216" i="17" s="1"/>
  <c r="P280" i="17"/>
  <c r="AB280" i="17" s="1"/>
  <c r="P139" i="17"/>
  <c r="AB139" i="17" s="1"/>
  <c r="P203" i="17"/>
  <c r="AB203" i="17" s="1"/>
  <c r="P267" i="17"/>
  <c r="AB267" i="17" s="1"/>
  <c r="P364" i="17"/>
  <c r="AB364" i="17" s="1"/>
  <c r="P357" i="17"/>
  <c r="AB357" i="17" s="1"/>
  <c r="P453" i="17"/>
  <c r="AB453" i="17" s="1"/>
  <c r="P517" i="17"/>
  <c r="AB517" i="17" s="1"/>
  <c r="P480" i="17"/>
  <c r="AB480" i="17" s="1"/>
  <c r="P542" i="17"/>
  <c r="AB542" i="17" s="1"/>
  <c r="P575" i="17"/>
  <c r="AB575" i="17" s="1"/>
  <c r="P533" i="17"/>
  <c r="AB533" i="17" s="1"/>
  <c r="P595" i="17"/>
  <c r="AB595" i="17" s="1"/>
  <c r="P608" i="17"/>
  <c r="AB608" i="17" s="1"/>
  <c r="P150" i="17"/>
  <c r="AB150" i="17" s="1"/>
  <c r="P214" i="17"/>
  <c r="AB214" i="17" s="1"/>
  <c r="P278" i="17"/>
  <c r="AB278" i="17" s="1"/>
  <c r="P137" i="17"/>
  <c r="AB137" i="17" s="1"/>
  <c r="P201" i="17"/>
  <c r="AB201" i="17" s="1"/>
  <c r="P265" i="17"/>
  <c r="AB265" i="17" s="1"/>
  <c r="P362" i="17"/>
  <c r="AB362" i="17" s="1"/>
  <c r="P355" i="17"/>
  <c r="AB355" i="17" s="1"/>
  <c r="P451" i="17"/>
  <c r="AB451" i="17" s="1"/>
  <c r="P515" i="17"/>
  <c r="AB515" i="17" s="1"/>
  <c r="P478" i="17"/>
  <c r="AB478" i="17" s="1"/>
  <c r="P540" i="17"/>
  <c r="AB540" i="17" s="1"/>
  <c r="P531" i="17"/>
  <c r="AB531" i="17" s="1"/>
  <c r="P594" i="17"/>
  <c r="AB594" i="17" s="1"/>
  <c r="P606" i="17"/>
  <c r="AB606" i="17" s="1"/>
  <c r="P252" i="17"/>
  <c r="AB252" i="17" s="1"/>
  <c r="P164" i="17"/>
  <c r="AB164" i="17" s="1"/>
  <c r="P144" i="17"/>
  <c r="AB144" i="17" s="1"/>
  <c r="P208" i="17"/>
  <c r="AB208" i="17" s="1"/>
  <c r="P272" i="17"/>
  <c r="AB272" i="17" s="1"/>
  <c r="P131" i="17"/>
  <c r="AB131" i="17" s="1"/>
  <c r="P195" i="17"/>
  <c r="AB195" i="17" s="1"/>
  <c r="P259" i="17"/>
  <c r="AB259" i="17" s="1"/>
  <c r="P356" i="17"/>
  <c r="AB356" i="17" s="1"/>
  <c r="P349" i="17"/>
  <c r="AB349" i="17" s="1"/>
  <c r="P413" i="17"/>
  <c r="AB413" i="17" s="1"/>
  <c r="P445" i="17"/>
  <c r="AB445" i="17" s="1"/>
  <c r="P509" i="17"/>
  <c r="AB509" i="17" s="1"/>
  <c r="P472" i="17"/>
  <c r="AB472" i="17" s="1"/>
  <c r="P534" i="17"/>
  <c r="AB534" i="17" s="1"/>
  <c r="P567" i="17"/>
  <c r="AB567" i="17" s="1"/>
  <c r="P525" i="17"/>
  <c r="AB525" i="17" s="1"/>
  <c r="P588" i="17"/>
  <c r="AB588" i="17" s="1"/>
  <c r="P600" i="17"/>
  <c r="AB600" i="17" s="1"/>
  <c r="P142" i="17"/>
  <c r="AB142" i="17" s="1"/>
  <c r="P206" i="17"/>
  <c r="AB206" i="17" s="1"/>
  <c r="P270" i="17"/>
  <c r="AB270" i="17" s="1"/>
  <c r="P129" i="17"/>
  <c r="AB129" i="17" s="1"/>
  <c r="P193" i="17"/>
  <c r="AB193" i="17" s="1"/>
  <c r="P257" i="17"/>
  <c r="AB257" i="17" s="1"/>
  <c r="P354" i="17"/>
  <c r="AB354" i="17" s="1"/>
  <c r="P347" i="17"/>
  <c r="AB347" i="17" s="1"/>
  <c r="P411" i="17"/>
  <c r="AB411" i="17" s="1"/>
  <c r="P443" i="17"/>
  <c r="AB443" i="17" s="1"/>
  <c r="P507" i="17"/>
  <c r="AB507" i="17" s="1"/>
  <c r="P470" i="17"/>
  <c r="AB470" i="17" s="1"/>
  <c r="P532" i="17"/>
  <c r="AB532" i="17" s="1"/>
  <c r="P523" i="17"/>
  <c r="AB523" i="17" s="1"/>
  <c r="P586" i="17"/>
  <c r="AB586" i="17" s="1"/>
  <c r="P598" i="17"/>
  <c r="AB598" i="17" s="1"/>
  <c r="P228" i="17"/>
  <c r="AB228" i="17" s="1"/>
  <c r="P104" i="17"/>
  <c r="AB104" i="17" s="1"/>
  <c r="P168" i="17"/>
  <c r="AB168" i="17" s="1"/>
  <c r="P232" i="17"/>
  <c r="AB232" i="17" s="1"/>
  <c r="P296" i="17"/>
  <c r="AB296" i="17" s="1"/>
  <c r="P155" i="17"/>
  <c r="AB155" i="17" s="1"/>
  <c r="P219" i="17"/>
  <c r="AB219" i="17" s="1"/>
  <c r="P283" i="17"/>
  <c r="AB283" i="17" s="1"/>
  <c r="P316" i="17"/>
  <c r="AB316" i="17" s="1"/>
  <c r="P380" i="17"/>
  <c r="AB380" i="17" s="1"/>
  <c r="P373" i="17"/>
  <c r="AB373" i="17" s="1"/>
  <c r="P469" i="17"/>
  <c r="AB469" i="17" s="1"/>
  <c r="P432" i="17"/>
  <c r="AB432" i="17" s="1"/>
  <c r="P496" i="17"/>
  <c r="AB496" i="17" s="1"/>
  <c r="P591" i="17"/>
  <c r="AB591" i="17" s="1"/>
  <c r="P548" i="17"/>
  <c r="AB548" i="17" s="1"/>
  <c r="P611" i="17"/>
  <c r="AB611" i="17" s="1"/>
  <c r="P102" i="17"/>
  <c r="AB102" i="17" s="1"/>
  <c r="P166" i="17"/>
  <c r="AB166" i="17" s="1"/>
  <c r="P230" i="17"/>
  <c r="AB230" i="17" s="1"/>
  <c r="P294" i="17"/>
  <c r="AB294" i="17" s="1"/>
  <c r="P153" i="17"/>
  <c r="AB153" i="17" s="1"/>
  <c r="P217" i="17"/>
  <c r="AB217" i="17" s="1"/>
  <c r="P281" i="17"/>
  <c r="AB281" i="17" s="1"/>
  <c r="P378" i="17"/>
  <c r="AB378" i="17" s="1"/>
  <c r="P371" i="17"/>
  <c r="AB371" i="17" s="1"/>
  <c r="P467" i="17"/>
  <c r="AB467" i="17" s="1"/>
  <c r="P430" i="17"/>
  <c r="AB430" i="17" s="1"/>
  <c r="P494" i="17"/>
  <c r="AB494" i="17" s="1"/>
  <c r="P557" i="17"/>
  <c r="AB557" i="17" s="1"/>
  <c r="P546" i="17"/>
  <c r="AB546" i="17" s="1"/>
  <c r="P609" i="17"/>
  <c r="AB609" i="17" s="1"/>
  <c r="P188" i="17"/>
  <c r="AB188" i="17" s="1"/>
  <c r="P268" i="17"/>
  <c r="AB268" i="17" s="1"/>
  <c r="P127" i="17"/>
  <c r="AB127" i="17" s="1"/>
  <c r="P191" i="17"/>
  <c r="AB191" i="17" s="1"/>
  <c r="P255" i="17"/>
  <c r="AB255" i="17" s="1"/>
  <c r="P352" i="17"/>
  <c r="AB352" i="17" s="1"/>
  <c r="P416" i="17"/>
  <c r="AB416" i="17" s="1"/>
  <c r="P345" i="17"/>
  <c r="AB345" i="17" s="1"/>
  <c r="P409" i="17"/>
  <c r="AB409" i="17" s="1"/>
  <c r="P441" i="17"/>
  <c r="AB441" i="17" s="1"/>
  <c r="P505" i="17"/>
  <c r="AB505" i="17" s="1"/>
  <c r="P436" i="17"/>
  <c r="AB436" i="17" s="1"/>
  <c r="P500" i="17"/>
  <c r="AB500" i="17" s="1"/>
  <c r="P552" i="17"/>
  <c r="AB552" i="17" s="1"/>
  <c r="P106" i="17"/>
  <c r="AB106" i="17" s="1"/>
  <c r="P170" i="17"/>
  <c r="AB170" i="17" s="1"/>
  <c r="P234" i="17"/>
  <c r="AB234" i="17" s="1"/>
  <c r="P298" i="17"/>
  <c r="AB298" i="17" s="1"/>
  <c r="P157" i="17"/>
  <c r="AB157" i="17" s="1"/>
  <c r="P221" i="17"/>
  <c r="AB221" i="17" s="1"/>
  <c r="P285" i="17"/>
  <c r="AB285" i="17" s="1"/>
  <c r="P318" i="17"/>
  <c r="AB318" i="17" s="1"/>
  <c r="P382" i="17"/>
  <c r="AB382" i="17" s="1"/>
  <c r="P375" i="17"/>
  <c r="AB375" i="17" s="1"/>
  <c r="P471" i="17"/>
  <c r="AB471" i="17" s="1"/>
  <c r="P434" i="17"/>
  <c r="AB434" i="17" s="1"/>
  <c r="P498" i="17"/>
  <c r="AB498" i="17" s="1"/>
  <c r="P561" i="17"/>
  <c r="AB561" i="17" s="1"/>
  <c r="P550" i="17"/>
  <c r="AB550" i="17" s="1"/>
  <c r="P613" i="17"/>
  <c r="AB613" i="17" s="1"/>
  <c r="P207" i="17"/>
  <c r="AB207" i="17" s="1"/>
  <c r="P368" i="17"/>
  <c r="AB368" i="17" s="1"/>
  <c r="P457" i="17"/>
  <c r="AB457" i="17" s="1"/>
  <c r="P516" i="17"/>
  <c r="AB516" i="17" s="1"/>
  <c r="P547" i="17"/>
  <c r="AB547" i="17" s="1"/>
  <c r="P122" i="17"/>
  <c r="AB122" i="17" s="1"/>
  <c r="P186" i="17"/>
  <c r="AB186" i="17" s="1"/>
  <c r="P250" i="17"/>
  <c r="AB250" i="17" s="1"/>
  <c r="P314" i="17"/>
  <c r="AB314" i="17" s="1"/>
  <c r="P173" i="17"/>
  <c r="AB173" i="17" s="1"/>
  <c r="P237" i="17"/>
  <c r="AB237" i="17" s="1"/>
  <c r="P301" i="17"/>
  <c r="AB301" i="17" s="1"/>
  <c r="P334" i="17"/>
  <c r="AB334" i="17" s="1"/>
  <c r="P359" i="17"/>
  <c r="AB359" i="17" s="1"/>
  <c r="P487" i="17"/>
  <c r="AB487" i="17" s="1"/>
  <c r="P514" i="17"/>
  <c r="AB514" i="17" s="1"/>
  <c r="P566" i="17"/>
  <c r="AB566" i="17" s="1"/>
  <c r="P610" i="17"/>
  <c r="AB610" i="17" s="1"/>
  <c r="P244" i="17"/>
  <c r="AB244" i="17" s="1"/>
  <c r="P140" i="17"/>
  <c r="AB140" i="17" s="1"/>
  <c r="P120" i="17"/>
  <c r="AB120" i="17" s="1"/>
  <c r="P184" i="17"/>
  <c r="AB184" i="17" s="1"/>
  <c r="P248" i="17"/>
  <c r="AB248" i="17" s="1"/>
  <c r="P312" i="17"/>
  <c r="AB312" i="17" s="1"/>
  <c r="P171" i="17"/>
  <c r="AB171" i="17" s="1"/>
  <c r="P235" i="17"/>
  <c r="AB235" i="17" s="1"/>
  <c r="P299" i="17"/>
  <c r="AB299" i="17" s="1"/>
  <c r="P332" i="17"/>
  <c r="AB332" i="17" s="1"/>
  <c r="P396" i="17"/>
  <c r="AB396" i="17" s="1"/>
  <c r="P325" i="17"/>
  <c r="AB325" i="17" s="1"/>
  <c r="P389" i="17"/>
  <c r="AB389" i="17" s="1"/>
  <c r="P421" i="17"/>
  <c r="AB421" i="17" s="1"/>
  <c r="P485" i="17"/>
  <c r="AB485" i="17" s="1"/>
  <c r="P448" i="17"/>
  <c r="AB448" i="17" s="1"/>
  <c r="P512" i="17"/>
  <c r="AB512" i="17" s="1"/>
  <c r="P564" i="17"/>
  <c r="AB564" i="17" s="1"/>
  <c r="P118" i="17"/>
  <c r="AB118" i="17" s="1"/>
  <c r="P182" i="17"/>
  <c r="AB182" i="17" s="1"/>
  <c r="P246" i="17"/>
  <c r="AB246" i="17" s="1"/>
  <c r="P310" i="17"/>
  <c r="AB310" i="17" s="1"/>
  <c r="P169" i="17"/>
  <c r="AB169" i="17" s="1"/>
  <c r="P233" i="17"/>
  <c r="AB233" i="17" s="1"/>
  <c r="P297" i="17"/>
  <c r="AB297" i="17" s="1"/>
  <c r="P330" i="17"/>
  <c r="AB330" i="17" s="1"/>
  <c r="P394" i="17"/>
  <c r="AB394" i="17" s="1"/>
  <c r="P323" i="17"/>
  <c r="AB323" i="17" s="1"/>
  <c r="P387" i="17"/>
  <c r="AB387" i="17" s="1"/>
  <c r="P419" i="17"/>
  <c r="AB419" i="17" s="1"/>
  <c r="P483" i="17"/>
  <c r="AB483" i="17" s="1"/>
  <c r="P446" i="17"/>
  <c r="AB446" i="17" s="1"/>
  <c r="P510" i="17"/>
  <c r="AB510" i="17" s="1"/>
  <c r="P562" i="17"/>
  <c r="AB562" i="17" s="1"/>
  <c r="P204" i="17"/>
  <c r="AB204" i="17" s="1"/>
  <c r="P284" i="17"/>
  <c r="AB284" i="17" s="1"/>
  <c r="P112" i="17"/>
  <c r="AB112" i="17" s="1"/>
  <c r="P176" i="17"/>
  <c r="AB176" i="17" s="1"/>
  <c r="P240" i="17"/>
  <c r="AB240" i="17" s="1"/>
  <c r="P304" i="17"/>
  <c r="AB304" i="17" s="1"/>
  <c r="P163" i="17"/>
  <c r="AB163" i="17" s="1"/>
  <c r="P227" i="17"/>
  <c r="AB227" i="17" s="1"/>
  <c r="P291" i="17"/>
  <c r="AB291" i="17" s="1"/>
  <c r="P324" i="17"/>
  <c r="AB324" i="17" s="1"/>
  <c r="P388" i="17"/>
  <c r="AB388" i="17" s="1"/>
  <c r="P317" i="17"/>
  <c r="AB317" i="17" s="1"/>
  <c r="P381" i="17"/>
  <c r="AB381" i="17" s="1"/>
  <c r="P477" i="17"/>
  <c r="AB477" i="17" s="1"/>
  <c r="P440" i="17"/>
  <c r="AB440" i="17" s="1"/>
  <c r="P504" i="17"/>
  <c r="AB504" i="17" s="1"/>
  <c r="P556" i="17"/>
  <c r="AB556" i="17" s="1"/>
  <c r="P110" i="17"/>
  <c r="AB110" i="17" s="1"/>
  <c r="P174" i="17"/>
  <c r="AB174" i="17" s="1"/>
  <c r="P238" i="17"/>
  <c r="AB238" i="17" s="1"/>
  <c r="P302" i="17"/>
  <c r="AB302" i="17" s="1"/>
  <c r="P161" i="17"/>
  <c r="AB161" i="17" s="1"/>
  <c r="P225" i="17"/>
  <c r="AB225" i="17" s="1"/>
  <c r="P289" i="17"/>
  <c r="AB289" i="17" s="1"/>
  <c r="P322" i="17"/>
  <c r="AB322" i="17" s="1"/>
  <c r="P386" i="17"/>
  <c r="AB386" i="17" s="1"/>
  <c r="P315" i="17"/>
  <c r="AB315" i="17" s="1"/>
  <c r="P379" i="17"/>
  <c r="AB379" i="17" s="1"/>
  <c r="P475" i="17"/>
  <c r="AB475" i="17" s="1"/>
  <c r="P438" i="17"/>
  <c r="AB438" i="17" s="1"/>
  <c r="P502" i="17"/>
  <c r="AB502" i="17" s="1"/>
  <c r="P565" i="17"/>
  <c r="AB565" i="17" s="1"/>
  <c r="P554" i="17"/>
  <c r="AB554" i="17" s="1"/>
  <c r="P196" i="17"/>
  <c r="AB196" i="17" s="1"/>
  <c r="P260" i="17"/>
  <c r="AB260" i="17" s="1"/>
  <c r="P156" i="17"/>
  <c r="AB156" i="17" s="1"/>
  <c r="P136" i="17"/>
  <c r="AB136" i="17" s="1"/>
  <c r="P200" i="17"/>
  <c r="AB200" i="17" s="1"/>
  <c r="P264" i="17"/>
  <c r="AB264" i="17" s="1"/>
  <c r="P123" i="17"/>
  <c r="AB123" i="17" s="1"/>
  <c r="P187" i="17"/>
  <c r="AB187" i="17" s="1"/>
  <c r="P251" i="17"/>
  <c r="AB251" i="17" s="1"/>
  <c r="P348" i="17"/>
  <c r="AB348" i="17" s="1"/>
  <c r="P412" i="17"/>
  <c r="AB412" i="17" s="1"/>
  <c r="P341" i="17"/>
  <c r="AB341" i="17" s="1"/>
  <c r="P405" i="17"/>
  <c r="AB405" i="17" s="1"/>
  <c r="P437" i="17"/>
  <c r="AB437" i="17" s="1"/>
  <c r="P501" i="17"/>
  <c r="AB501" i="17" s="1"/>
  <c r="P464" i="17"/>
  <c r="AB464" i="17" s="1"/>
  <c r="P526" i="17"/>
  <c r="AB526" i="17" s="1"/>
  <c r="P559" i="17"/>
  <c r="AB559" i="17" s="1"/>
  <c r="P580" i="17"/>
  <c r="AB580" i="17" s="1"/>
  <c r="P134" i="17"/>
  <c r="AB134" i="17" s="1"/>
  <c r="P198" i="17"/>
  <c r="AB198" i="17" s="1"/>
  <c r="P262" i="17"/>
  <c r="AB262" i="17" s="1"/>
  <c r="P121" i="17"/>
  <c r="AB121" i="17" s="1"/>
  <c r="P185" i="17"/>
  <c r="AB185" i="17" s="1"/>
  <c r="P249" i="17"/>
  <c r="AB249" i="17" s="1"/>
  <c r="P313" i="17"/>
  <c r="AB313" i="17" s="1"/>
  <c r="P346" i="17"/>
  <c r="AB346" i="17" s="1"/>
  <c r="P410" i="17"/>
  <c r="AB410" i="17" s="1"/>
  <c r="P339" i="17"/>
  <c r="AB339" i="17" s="1"/>
  <c r="P403" i="17"/>
  <c r="AB403" i="17" s="1"/>
  <c r="P435" i="17"/>
  <c r="AB435" i="17" s="1"/>
  <c r="P499" i="17"/>
  <c r="AB499" i="17" s="1"/>
  <c r="P462" i="17"/>
  <c r="AB462" i="17" s="1"/>
  <c r="P524" i="17"/>
  <c r="AB524" i="17" s="1"/>
  <c r="P589" i="17"/>
  <c r="AB589" i="17" s="1"/>
  <c r="P578" i="17"/>
  <c r="AB578" i="17" s="1"/>
  <c r="P220" i="17"/>
  <c r="AB220" i="17" s="1"/>
  <c r="P300" i="17"/>
  <c r="AB300" i="17" s="1"/>
  <c r="P159" i="17"/>
  <c r="AB159" i="17" s="1"/>
  <c r="P223" i="17"/>
  <c r="AB223" i="17" s="1"/>
  <c r="P287" i="17"/>
  <c r="AB287" i="17" s="1"/>
  <c r="P320" i="17"/>
  <c r="AB320" i="17" s="1"/>
  <c r="P384" i="17"/>
  <c r="AB384" i="17" s="1"/>
  <c r="P377" i="17"/>
  <c r="AB377" i="17" s="1"/>
  <c r="P473" i="17"/>
  <c r="AB473" i="17" s="1"/>
  <c r="P468" i="17"/>
  <c r="AB468" i="17" s="1"/>
  <c r="P530" i="17"/>
  <c r="AB530" i="17" s="1"/>
  <c r="P563" i="17"/>
  <c r="AB563" i="17" s="1"/>
  <c r="P521" i="17"/>
  <c r="AB521" i="17" s="1"/>
  <c r="P584" i="17"/>
  <c r="AB584" i="17" s="1"/>
  <c r="P596" i="17"/>
  <c r="AB596" i="17" s="1"/>
  <c r="P138" i="17"/>
  <c r="AB138" i="17" s="1"/>
  <c r="P202" i="17"/>
  <c r="AB202" i="17" s="1"/>
  <c r="P266" i="17"/>
  <c r="AB266" i="17" s="1"/>
  <c r="P125" i="17"/>
  <c r="AB125" i="17" s="1"/>
  <c r="P189" i="17"/>
  <c r="AB189" i="17" s="1"/>
  <c r="P253" i="17"/>
  <c r="AB253" i="17" s="1"/>
  <c r="P350" i="17"/>
  <c r="AB350" i="17" s="1"/>
  <c r="P414" i="17"/>
  <c r="AB414" i="17" s="1"/>
  <c r="P343" i="17"/>
  <c r="AB343" i="17" s="1"/>
  <c r="P407" i="17"/>
  <c r="AB407" i="17" s="1"/>
  <c r="P439" i="17"/>
  <c r="AB439" i="17" s="1"/>
  <c r="P503" i="17"/>
  <c r="AB503" i="17" s="1"/>
  <c r="P466" i="17"/>
  <c r="AB466" i="17" s="1"/>
  <c r="P528" i="17"/>
  <c r="AB528" i="17" s="1"/>
  <c r="P593" i="17"/>
  <c r="AB593" i="17" s="1"/>
  <c r="P582" i="17"/>
  <c r="AB582" i="17" s="1"/>
  <c r="P143" i="17"/>
  <c r="AB143" i="17" s="1"/>
  <c r="P271" i="17"/>
  <c r="AB271" i="17" s="1"/>
  <c r="P336" i="17"/>
  <c r="AB336" i="17" s="1"/>
  <c r="P400" i="17"/>
  <c r="AB400" i="17" s="1"/>
  <c r="P361" i="17"/>
  <c r="AB361" i="17" s="1"/>
  <c r="P425" i="17"/>
  <c r="AB425" i="17" s="1"/>
  <c r="P489" i="17"/>
  <c r="AB489" i="17" s="1"/>
  <c r="P452" i="17"/>
  <c r="AB452" i="17" s="1"/>
  <c r="P579" i="17"/>
  <c r="AB579" i="17" s="1"/>
  <c r="P568" i="17"/>
  <c r="AB568" i="17" s="1"/>
  <c r="P612" i="17"/>
  <c r="AB612" i="17" s="1"/>
  <c r="P154" i="17"/>
  <c r="AB154" i="17" s="1"/>
  <c r="P218" i="17"/>
  <c r="AB218" i="17" s="1"/>
  <c r="P282" i="17"/>
  <c r="AB282" i="17" s="1"/>
  <c r="P141" i="17"/>
  <c r="AB141" i="17" s="1"/>
  <c r="P205" i="17"/>
  <c r="AB205" i="17" s="1"/>
  <c r="P269" i="17"/>
  <c r="AB269" i="17" s="1"/>
  <c r="P398" i="17"/>
  <c r="AB398" i="17" s="1"/>
  <c r="P327" i="17"/>
  <c r="AB327" i="17" s="1"/>
  <c r="P391" i="17"/>
  <c r="AB391" i="17" s="1"/>
  <c r="P423" i="17"/>
  <c r="AB423" i="17" s="1"/>
  <c r="P450" i="17"/>
  <c r="AB450" i="17" s="1"/>
  <c r="P577" i="17"/>
  <c r="AB577" i="17" s="1"/>
  <c r="P276" i="17"/>
  <c r="AB276" i="17" s="1"/>
  <c r="P135" i="17"/>
  <c r="AB135" i="17" s="1"/>
  <c r="P199" i="17"/>
  <c r="AB199" i="17" s="1"/>
  <c r="P263" i="17"/>
  <c r="AB263" i="17" s="1"/>
  <c r="P360" i="17"/>
  <c r="AB360" i="17" s="1"/>
  <c r="P111" i="17"/>
  <c r="AB111" i="17" s="1"/>
  <c r="P239" i="17"/>
  <c r="AB239" i="17" s="1"/>
  <c r="P329" i="17"/>
  <c r="AB329" i="17" s="1"/>
  <c r="P420" i="17"/>
  <c r="AB420" i="17" s="1"/>
  <c r="P537" i="17"/>
  <c r="AB537" i="17" s="1"/>
  <c r="P366" i="17"/>
  <c r="AB366" i="17" s="1"/>
  <c r="P418" i="17"/>
  <c r="AB418" i="17" s="1"/>
  <c r="P545" i="17"/>
  <c r="AB545" i="17" s="1"/>
  <c r="P597" i="17"/>
  <c r="AB597" i="17" s="1"/>
  <c r="P292" i="17"/>
  <c r="AB292" i="17" s="1"/>
  <c r="P151" i="17"/>
  <c r="AB151" i="17" s="1"/>
  <c r="P215" i="17"/>
  <c r="AB215" i="17" s="1"/>
  <c r="P279" i="17"/>
  <c r="AB279" i="17" s="1"/>
  <c r="P376" i="17"/>
  <c r="AB376" i="17" s="1"/>
  <c r="P369" i="17"/>
  <c r="AB369" i="17" s="1"/>
  <c r="P465" i="17"/>
  <c r="AB465" i="17" s="1"/>
  <c r="P460" i="17"/>
  <c r="AB460" i="17" s="1"/>
  <c r="P353" i="17"/>
  <c r="AB353" i="17" s="1"/>
  <c r="P417" i="17"/>
  <c r="AB417" i="17" s="1"/>
  <c r="P481" i="17"/>
  <c r="AB481" i="17" s="1"/>
  <c r="P508" i="17"/>
  <c r="AB508" i="17" s="1"/>
  <c r="P560" i="17"/>
  <c r="AB560" i="17" s="1"/>
  <c r="P114" i="17"/>
  <c r="AB114" i="17" s="1"/>
  <c r="P178" i="17"/>
  <c r="AB178" i="17" s="1"/>
  <c r="P242" i="17"/>
  <c r="AB242" i="17" s="1"/>
  <c r="P306" i="17"/>
  <c r="AB306" i="17" s="1"/>
  <c r="P165" i="17"/>
  <c r="AB165" i="17" s="1"/>
  <c r="P229" i="17"/>
  <c r="AB229" i="17" s="1"/>
  <c r="P293" i="17"/>
  <c r="AB293" i="17" s="1"/>
  <c r="P326" i="17"/>
  <c r="AB326" i="17" s="1"/>
  <c r="P390" i="17"/>
  <c r="AB390" i="17" s="1"/>
  <c r="P319" i="17"/>
  <c r="AB319" i="17" s="1"/>
  <c r="P383" i="17"/>
  <c r="AB383" i="17" s="1"/>
  <c r="P479" i="17"/>
  <c r="AB479" i="17" s="1"/>
  <c r="P442" i="17"/>
  <c r="AB442" i="17" s="1"/>
  <c r="P506" i="17"/>
  <c r="AB506" i="17" s="1"/>
  <c r="P569" i="17"/>
  <c r="AB569" i="17" s="1"/>
  <c r="P558" i="17"/>
  <c r="AB558" i="17" s="1"/>
  <c r="P308" i="17"/>
  <c r="AB308" i="17" s="1"/>
  <c r="P167" i="17"/>
  <c r="AB167" i="17" s="1"/>
  <c r="P231" i="17"/>
  <c r="AB231" i="17" s="1"/>
  <c r="P295" i="17"/>
  <c r="AB295" i="17" s="1"/>
  <c r="P328" i="17"/>
  <c r="AB328" i="17" s="1"/>
  <c r="P392" i="17"/>
  <c r="AB392" i="17" s="1"/>
  <c r="P321" i="17"/>
  <c r="AB321" i="17" s="1"/>
  <c r="P175" i="17"/>
  <c r="AB175" i="17" s="1"/>
  <c r="P303" i="17"/>
  <c r="AB303" i="17" s="1"/>
  <c r="P393" i="17"/>
  <c r="AB393" i="17" s="1"/>
  <c r="P484" i="17"/>
  <c r="AB484" i="17" s="1"/>
  <c r="P599" i="17"/>
  <c r="AB599" i="17" s="1"/>
  <c r="P455" i="17"/>
  <c r="AB455" i="17" s="1"/>
  <c r="P482" i="17"/>
  <c r="AB482" i="17" s="1"/>
  <c r="P535" i="17"/>
  <c r="AB535" i="17" s="1"/>
  <c r="P236" i="17"/>
  <c r="AB236" i="17" s="1"/>
  <c r="P119" i="17"/>
  <c r="AB119" i="17" s="1"/>
  <c r="P183" i="17"/>
  <c r="AB183" i="17" s="1"/>
  <c r="P247" i="17"/>
  <c r="AB247" i="17" s="1"/>
  <c r="P311" i="17"/>
  <c r="AB311" i="17" s="1"/>
  <c r="P344" i="17"/>
  <c r="AB344" i="17" s="1"/>
  <c r="P408" i="17"/>
  <c r="AB408" i="17" s="1"/>
  <c r="P337" i="17"/>
  <c r="AB337" i="17" s="1"/>
  <c r="P401" i="17"/>
  <c r="AB401" i="17" s="1"/>
  <c r="P433" i="17"/>
  <c r="AB433" i="17" s="1"/>
  <c r="P497" i="17"/>
  <c r="AB497" i="17" s="1"/>
  <c r="P428" i="17"/>
  <c r="AB428" i="17" s="1"/>
  <c r="P492" i="17"/>
  <c r="AB492" i="17" s="1"/>
  <c r="P449" i="17"/>
  <c r="AB449" i="17" s="1"/>
  <c r="P513" i="17"/>
  <c r="AB513" i="17" s="1"/>
  <c r="P444" i="17"/>
  <c r="AB444" i="17" s="1"/>
  <c r="P538" i="17"/>
  <c r="AB538" i="17" s="1"/>
  <c r="P571" i="17"/>
  <c r="AB571" i="17" s="1"/>
  <c r="P529" i="17"/>
  <c r="AB529" i="17" s="1"/>
  <c r="P592" i="17"/>
  <c r="AB592" i="17" s="1"/>
  <c r="P604" i="17"/>
  <c r="AB604" i="17" s="1"/>
  <c r="P146" i="17"/>
  <c r="AB146" i="17" s="1"/>
  <c r="P210" i="17"/>
  <c r="AB210" i="17" s="1"/>
  <c r="P274" i="17"/>
  <c r="AB274" i="17" s="1"/>
  <c r="P133" i="17"/>
  <c r="AB133" i="17" s="1"/>
  <c r="P197" i="17"/>
  <c r="AB197" i="17" s="1"/>
  <c r="P261" i="17"/>
  <c r="AB261" i="17" s="1"/>
  <c r="P358" i="17"/>
  <c r="AB358" i="17" s="1"/>
  <c r="P351" i="17"/>
  <c r="AB351" i="17" s="1"/>
  <c r="P415" i="17"/>
  <c r="AB415" i="17" s="1"/>
  <c r="P447" i="17"/>
  <c r="AB447" i="17" s="1"/>
  <c r="P511" i="17"/>
  <c r="AB511" i="17" s="1"/>
  <c r="P474" i="17"/>
  <c r="AB474" i="17" s="1"/>
  <c r="P536" i="17"/>
  <c r="AB536" i="17" s="1"/>
  <c r="P527" i="17"/>
  <c r="AB527" i="17" s="1"/>
  <c r="P590" i="17"/>
  <c r="AB590" i="17" s="1"/>
  <c r="P602" i="17"/>
  <c r="AB602" i="17" s="1"/>
  <c r="P476" i="17"/>
  <c r="AB476" i="17" s="1"/>
  <c r="P587" i="17"/>
  <c r="AB587" i="17" s="1"/>
  <c r="P544" i="17"/>
  <c r="AB544" i="17" s="1"/>
  <c r="P607" i="17"/>
  <c r="AB607" i="17" s="1"/>
  <c r="P98" i="17"/>
  <c r="AB98" i="17" s="1"/>
  <c r="P162" i="17"/>
  <c r="AB162" i="17" s="1"/>
  <c r="P226" i="17"/>
  <c r="AB226" i="17" s="1"/>
  <c r="P290" i="17"/>
  <c r="AB290" i="17" s="1"/>
  <c r="P149" i="17"/>
  <c r="AB149" i="17" s="1"/>
  <c r="P213" i="17"/>
  <c r="AB213" i="17" s="1"/>
  <c r="P277" i="17"/>
  <c r="AB277" i="17" s="1"/>
  <c r="P374" i="17"/>
  <c r="AB374" i="17" s="1"/>
  <c r="P367" i="17"/>
  <c r="AB367" i="17" s="1"/>
  <c r="P463" i="17"/>
  <c r="AB463" i="17" s="1"/>
  <c r="P426" i="17"/>
  <c r="AB426" i="17" s="1"/>
  <c r="P490" i="17"/>
  <c r="AB490" i="17" s="1"/>
  <c r="P553" i="17"/>
  <c r="AB553" i="17" s="1"/>
  <c r="P543" i="17"/>
  <c r="AB543" i="17" s="1"/>
  <c r="P605" i="17"/>
  <c r="AB605" i="17" s="1"/>
  <c r="P385" i="17"/>
  <c r="AB385" i="17" s="1"/>
  <c r="P522" i="17"/>
  <c r="AB522" i="17" s="1"/>
  <c r="P555" i="17"/>
  <c r="AB555" i="17" s="1"/>
  <c r="P576" i="17"/>
  <c r="AB576" i="17" s="1"/>
  <c r="P130" i="17"/>
  <c r="AB130" i="17" s="1"/>
  <c r="P194" i="17"/>
  <c r="AB194" i="17" s="1"/>
  <c r="P258" i="17"/>
  <c r="AB258" i="17" s="1"/>
  <c r="P117" i="17"/>
  <c r="AB117" i="17" s="1"/>
  <c r="P181" i="17"/>
  <c r="AB181" i="17" s="1"/>
  <c r="P245" i="17"/>
  <c r="AB245" i="17" s="1"/>
  <c r="P309" i="17"/>
  <c r="AB309" i="17" s="1"/>
  <c r="P342" i="17"/>
  <c r="AB342" i="17" s="1"/>
  <c r="P406" i="17"/>
  <c r="AB406" i="17" s="1"/>
  <c r="P335" i="17"/>
  <c r="AB335" i="17" s="1"/>
  <c r="P399" i="17"/>
  <c r="AB399" i="17" s="1"/>
  <c r="P431" i="17"/>
  <c r="AB431" i="17" s="1"/>
  <c r="P495" i="17"/>
  <c r="AB495" i="17" s="1"/>
  <c r="P458" i="17"/>
  <c r="AB458" i="17" s="1"/>
  <c r="P520" i="17"/>
  <c r="AB520" i="17" s="1"/>
  <c r="P585" i="17"/>
  <c r="AB585" i="17" s="1"/>
  <c r="P574" i="17"/>
  <c r="AB574" i="17" s="1"/>
  <c r="O13" i="17"/>
  <c r="AA13" i="17" s="1"/>
  <c r="E633" i="17"/>
  <c r="AB628" i="17" l="1"/>
  <c r="A423" i="2"/>
  <c r="B423" i="2"/>
  <c r="C64" i="16"/>
  <c r="D64" i="16" s="1"/>
  <c r="B322" i="2"/>
  <c r="B79" i="1" l="1"/>
  <c r="AA628" i="17"/>
  <c r="E637" i="17" s="1"/>
  <c r="A441" i="2"/>
  <c r="B441" i="2"/>
  <c r="D52" i="16" l="1"/>
  <c r="C3" i="8" l="1"/>
  <c r="C159" i="8" s="1"/>
  <c r="C158" i="8" s="1"/>
  <c r="C157" i="8" s="1"/>
  <c r="C156" i="8" s="1"/>
  <c r="C155" i="8" s="1"/>
  <c r="C154" i="8" s="1"/>
  <c r="C153" i="8" s="1"/>
  <c r="C152" i="8" s="1"/>
  <c r="C151" i="8" s="1"/>
  <c r="C150" i="8" s="1"/>
  <c r="C149" i="8" s="1"/>
  <c r="C148" i="8" s="1"/>
  <c r="C147" i="8" s="1"/>
  <c r="C146" i="8" s="1"/>
  <c r="C145" i="8" s="1"/>
  <c r="C144" i="8" s="1"/>
  <c r="C143" i="8" s="1"/>
  <c r="C142" i="8" s="1"/>
  <c r="C141" i="8" s="1"/>
  <c r="C140" i="8" s="1"/>
  <c r="C139" i="8" s="1"/>
  <c r="C138" i="8" s="1"/>
  <c r="C137" i="8" s="1"/>
  <c r="C136" i="8" s="1"/>
  <c r="C135" i="8" s="1"/>
  <c r="C134" i="8" s="1"/>
  <c r="C133" i="8" s="1"/>
  <c r="C132" i="8" s="1"/>
  <c r="C131" i="8" s="1"/>
  <c r="C130" i="8" s="1"/>
  <c r="C129" i="8" s="1"/>
  <c r="C128" i="8" s="1"/>
  <c r="C127" i="8" s="1"/>
  <c r="C126" i="8" s="1"/>
  <c r="C125" i="8" s="1"/>
  <c r="C124" i="8" s="1"/>
  <c r="C123" i="8" s="1"/>
  <c r="C122" i="8" s="1"/>
  <c r="C121" i="8" s="1"/>
  <c r="C120" i="8" s="1"/>
  <c r="C119" i="8" s="1"/>
  <c r="C118" i="8" s="1"/>
  <c r="C117" i="8" s="1"/>
  <c r="C116" i="8" s="1"/>
  <c r="C115" i="8" s="1"/>
  <c r="C114" i="8" s="1"/>
  <c r="C113" i="8" s="1"/>
  <c r="C112" i="8" s="1"/>
  <c r="C111" i="8" s="1"/>
  <c r="C110" i="8" s="1"/>
  <c r="C109" i="8" s="1"/>
  <c r="C108" i="8" s="1"/>
  <c r="C107" i="8" s="1"/>
  <c r="C106" i="8" s="1"/>
  <c r="C105" i="8" s="1"/>
  <c r="C104" i="8" s="1"/>
  <c r="C103" i="8" s="1"/>
  <c r="C102" i="8" s="1"/>
  <c r="C101" i="8" s="1"/>
  <c r="C100" i="8" s="1"/>
  <c r="C99" i="8" s="1"/>
  <c r="C98" i="8" s="1"/>
  <c r="C97" i="8" s="1"/>
  <c r="C96" i="8" s="1"/>
  <c r="C95" i="8" s="1"/>
  <c r="C94" i="8" s="1"/>
  <c r="C93" i="8" s="1"/>
  <c r="C92" i="8" s="1"/>
  <c r="C91" i="8" s="1"/>
  <c r="C90" i="8" s="1"/>
  <c r="C89" i="8" s="1"/>
  <c r="C88" i="8" s="1"/>
  <c r="C87" i="8" s="1"/>
  <c r="C86" i="8" s="1"/>
  <c r="C85" i="8" s="1"/>
  <c r="C84" i="8" s="1"/>
  <c r="C83" i="8" s="1"/>
  <c r="C82" i="8" s="1"/>
  <c r="C81" i="8" s="1"/>
  <c r="C80" i="8" s="1"/>
  <c r="C79" i="8" s="1"/>
  <c r="C78" i="8" s="1"/>
  <c r="C77" i="8" s="1"/>
  <c r="C76" i="8" s="1"/>
  <c r="C75" i="8" s="1"/>
  <c r="C74" i="8" s="1"/>
  <c r="C73" i="8" s="1"/>
  <c r="C72" i="8" s="1"/>
  <c r="C71" i="8" s="1"/>
  <c r="C70" i="8" s="1"/>
  <c r="C69" i="8" s="1"/>
  <c r="C68" i="8" s="1"/>
  <c r="C67" i="8" s="1"/>
  <c r="C66" i="8" s="1"/>
  <c r="C65" i="8" s="1"/>
  <c r="C64" i="8" s="1"/>
  <c r="C63" i="8" s="1"/>
  <c r="C62" i="8" s="1"/>
  <c r="C61" i="8" s="1"/>
  <c r="C60" i="8" s="1"/>
  <c r="C59" i="8" s="1"/>
  <c r="C58" i="8" s="1"/>
  <c r="C57" i="8" s="1"/>
  <c r="C56" i="8" s="1"/>
  <c r="C55" i="8" s="1"/>
  <c r="C54" i="8" s="1"/>
  <c r="C53" i="8" s="1"/>
  <c r="C52" i="8" s="1"/>
  <c r="C51" i="8" s="1"/>
  <c r="C50" i="8" s="1"/>
  <c r="C49" i="8" s="1"/>
  <c r="C48" i="8" s="1"/>
  <c r="C47" i="8" s="1"/>
  <c r="C46" i="8" s="1"/>
  <c r="C45" i="8" s="1"/>
  <c r="C44" i="8" s="1"/>
  <c r="C43" i="8" s="1"/>
  <c r="C42" i="8" s="1"/>
  <c r="C41" i="8" s="1"/>
  <c r="C40" i="8" s="1"/>
  <c r="C39" i="8" s="1"/>
  <c r="C38" i="8" s="1"/>
  <c r="C37" i="8" s="1"/>
  <c r="C36" i="8" s="1"/>
  <c r="C35" i="8" s="1"/>
  <c r="C34" i="8" s="1"/>
  <c r="C33" i="8" s="1"/>
  <c r="C32" i="8" s="1"/>
  <c r="C31" i="8" s="1"/>
  <c r="C30" i="8" s="1"/>
  <c r="C29" i="8" s="1"/>
  <c r="C28" i="8" s="1"/>
  <c r="C27" i="8" s="1"/>
  <c r="C26" i="8" s="1"/>
  <c r="C25" i="8" s="1"/>
  <c r="C24" i="8" s="1"/>
  <c r="C23" i="8" s="1"/>
  <c r="C22" i="8" s="1"/>
  <c r="C21" i="8" s="1"/>
  <c r="C20" i="8" s="1"/>
  <c r="C19" i="8" s="1"/>
  <c r="C18" i="8" s="1"/>
  <c r="C17" i="8" s="1"/>
  <c r="C16" i="8" s="1"/>
  <c r="C15" i="8" s="1"/>
  <c r="C14" i="8" s="1"/>
  <c r="C13" i="8" s="1"/>
  <c r="C12" i="8" s="1"/>
  <c r="C11" i="8" s="1"/>
  <c r="C10" i="8" s="1"/>
  <c r="C9" i="8" s="1"/>
  <c r="C8" i="8" s="1"/>
  <c r="C7" i="8" s="1"/>
  <c r="C6" i="8" s="1"/>
  <c r="C4" i="8" s="1"/>
  <c r="N28" i="8" s="1"/>
  <c r="D3" i="8"/>
  <c r="D159" i="8" s="1"/>
  <c r="D158" i="8" s="1"/>
  <c r="D157" i="8" s="1"/>
  <c r="D156" i="8" s="1"/>
  <c r="D155" i="8" s="1"/>
  <c r="D154" i="8" s="1"/>
  <c r="D153" i="8" s="1"/>
  <c r="D152" i="8" s="1"/>
  <c r="D151" i="8" s="1"/>
  <c r="D150" i="8" s="1"/>
  <c r="D149" i="8" s="1"/>
  <c r="D148" i="8" s="1"/>
  <c r="D147" i="8" s="1"/>
  <c r="D146" i="8" s="1"/>
  <c r="D145" i="8" s="1"/>
  <c r="D144" i="8" s="1"/>
  <c r="D143" i="8" s="1"/>
  <c r="D142" i="8" s="1"/>
  <c r="D141" i="8" s="1"/>
  <c r="D140" i="8" s="1"/>
  <c r="D139" i="8" s="1"/>
  <c r="D138" i="8" s="1"/>
  <c r="D137" i="8" s="1"/>
  <c r="D136" i="8" s="1"/>
  <c r="D135" i="8" s="1"/>
  <c r="D134" i="8" s="1"/>
  <c r="D133" i="8" s="1"/>
  <c r="D132" i="8" s="1"/>
  <c r="D131" i="8" s="1"/>
  <c r="D130" i="8" s="1"/>
  <c r="D129" i="8" s="1"/>
  <c r="D128" i="8" s="1"/>
  <c r="D127" i="8" s="1"/>
  <c r="D126" i="8" s="1"/>
  <c r="D125" i="8" s="1"/>
  <c r="D124" i="8" s="1"/>
  <c r="D123" i="8" s="1"/>
  <c r="D122" i="8" s="1"/>
  <c r="D121" i="8" s="1"/>
  <c r="D120" i="8" s="1"/>
  <c r="D119" i="8" s="1"/>
  <c r="D118" i="8" s="1"/>
  <c r="D117" i="8" s="1"/>
  <c r="D116" i="8" s="1"/>
  <c r="D115" i="8" s="1"/>
  <c r="D114" i="8" s="1"/>
  <c r="D113" i="8" s="1"/>
  <c r="D112" i="8" s="1"/>
  <c r="D111" i="8" s="1"/>
  <c r="D110" i="8" s="1"/>
  <c r="D109" i="8" s="1"/>
  <c r="D108" i="8" s="1"/>
  <c r="D107" i="8" s="1"/>
  <c r="D106" i="8" s="1"/>
  <c r="D105" i="8" s="1"/>
  <c r="D104" i="8" s="1"/>
  <c r="D103" i="8" s="1"/>
  <c r="D102" i="8" s="1"/>
  <c r="D101" i="8" s="1"/>
  <c r="D100" i="8" s="1"/>
  <c r="D99" i="8" s="1"/>
  <c r="D98" i="8" s="1"/>
  <c r="D97" i="8" s="1"/>
  <c r="D96" i="8" s="1"/>
  <c r="D95" i="8" s="1"/>
  <c r="D94" i="8" s="1"/>
  <c r="D93" i="8" s="1"/>
  <c r="D92" i="8" s="1"/>
  <c r="D91" i="8" s="1"/>
  <c r="D90" i="8" s="1"/>
  <c r="D89" i="8" s="1"/>
  <c r="D88" i="8" s="1"/>
  <c r="D87" i="8" s="1"/>
  <c r="D86" i="8" s="1"/>
  <c r="D85" i="8" s="1"/>
  <c r="D84" i="8" s="1"/>
  <c r="D83" i="8" s="1"/>
  <c r="D82" i="8" s="1"/>
  <c r="D81" i="8" s="1"/>
  <c r="D80" i="8" s="1"/>
  <c r="D79" i="8" s="1"/>
  <c r="D78" i="8" s="1"/>
  <c r="D77" i="8" s="1"/>
  <c r="D76" i="8" s="1"/>
  <c r="D75" i="8" s="1"/>
  <c r="D74" i="8" s="1"/>
  <c r="D73" i="8" s="1"/>
  <c r="D72" i="8" s="1"/>
  <c r="D71" i="8" s="1"/>
  <c r="D70" i="8" s="1"/>
  <c r="D69" i="8" s="1"/>
  <c r="D68" i="8" s="1"/>
  <c r="D67" i="8" s="1"/>
  <c r="D66" i="8" s="1"/>
  <c r="D65" i="8" s="1"/>
  <c r="D64" i="8" s="1"/>
  <c r="D63" i="8" s="1"/>
  <c r="D62" i="8" s="1"/>
  <c r="D61" i="8" s="1"/>
  <c r="D60" i="8" s="1"/>
  <c r="D59" i="8" s="1"/>
  <c r="D58" i="8" s="1"/>
  <c r="D57" i="8" s="1"/>
  <c r="D56" i="8" s="1"/>
  <c r="D55" i="8" s="1"/>
  <c r="D54" i="8" s="1"/>
  <c r="D53" i="8" s="1"/>
  <c r="D52" i="8" s="1"/>
  <c r="D51" i="8" s="1"/>
  <c r="D50" i="8" s="1"/>
  <c r="D49" i="8" s="1"/>
  <c r="D48" i="8" s="1"/>
  <c r="D47" i="8" s="1"/>
  <c r="D46" i="8" s="1"/>
  <c r="D45" i="8" s="1"/>
  <c r="D44" i="8" s="1"/>
  <c r="D43" i="8" s="1"/>
  <c r="D42" i="8" s="1"/>
  <c r="D41" i="8" s="1"/>
  <c r="D40" i="8" s="1"/>
  <c r="D39" i="8" s="1"/>
  <c r="D38" i="8" s="1"/>
  <c r="D37" i="8" s="1"/>
  <c r="D36" i="8" s="1"/>
  <c r="D35" i="8" s="1"/>
  <c r="D34" i="8" s="1"/>
  <c r="D33" i="8" s="1"/>
  <c r="D32" i="8" s="1"/>
  <c r="D31" i="8" s="1"/>
  <c r="D30" i="8" s="1"/>
  <c r="D29" i="8" s="1"/>
  <c r="D28" i="8" s="1"/>
  <c r="D27" i="8" s="1"/>
  <c r="D26" i="8" s="1"/>
  <c r="D25" i="8" s="1"/>
  <c r="D24" i="8" s="1"/>
  <c r="D23" i="8" s="1"/>
  <c r="D22" i="8" s="1"/>
  <c r="D21" i="8" s="1"/>
  <c r="D20" i="8" s="1"/>
  <c r="D19" i="8" s="1"/>
  <c r="D18" i="8" s="1"/>
  <c r="D17" i="8" s="1"/>
  <c r="D16" i="8" s="1"/>
  <c r="D15" i="8" s="1"/>
  <c r="D14" i="8" s="1"/>
  <c r="D13" i="8" s="1"/>
  <c r="D12" i="8" s="1"/>
  <c r="D11" i="8" s="1"/>
  <c r="D10" i="8" s="1"/>
  <c r="D9" i="8" s="1"/>
  <c r="D8" i="8" s="1"/>
  <c r="D7" i="8" s="1"/>
  <c r="D6" i="8" s="1"/>
  <c r="D4" i="8" s="1"/>
  <c r="O28" i="8" l="1"/>
  <c r="C79" i="1" s="1"/>
  <c r="O29" i="8"/>
  <c r="C80" i="1" s="1"/>
  <c r="N29" i="8"/>
  <c r="B323" i="2" l="1"/>
  <c r="B442" i="2" s="1"/>
  <c r="C50" i="16"/>
  <c r="D50" i="16" s="1"/>
  <c r="B310" i="2" l="1"/>
  <c r="A442" i="2"/>
  <c r="B324" i="2"/>
  <c r="B443" i="2" s="1"/>
  <c r="C51" i="16"/>
  <c r="D51" i="16" s="1"/>
  <c r="B329" i="2"/>
  <c r="A443" i="2" l="1"/>
  <c r="B311" i="2"/>
  <c r="C7" i="17" s="1"/>
  <c r="B330" i="2"/>
  <c r="F78" i="1"/>
  <c r="C5" i="17"/>
  <c r="E72" i="1"/>
  <c r="F79" i="1"/>
  <c r="C4" i="17"/>
  <c r="F80" i="1" l="1"/>
  <c r="A629" i="17"/>
  <c r="A627" i="17"/>
  <c r="H627" i="17" s="1"/>
  <c r="N592" i="17"/>
  <c r="N628" i="17"/>
  <c r="M628" i="17"/>
  <c r="J628" i="17"/>
  <c r="I628" i="17"/>
  <c r="K628" i="17"/>
  <c r="L628" i="17"/>
  <c r="J610" i="17"/>
  <c r="I613" i="17"/>
  <c r="J606" i="17"/>
  <c r="J602" i="17"/>
  <c r="J598" i="17"/>
  <c r="C634" i="17"/>
  <c r="I612" i="17"/>
  <c r="I608" i="17"/>
  <c r="I604" i="17"/>
  <c r="I600" i="17"/>
  <c r="I596" i="17"/>
  <c r="J592" i="17"/>
  <c r="J588" i="17"/>
  <c r="J584" i="17"/>
  <c r="J580" i="17"/>
  <c r="J576" i="17"/>
  <c r="J572" i="17"/>
  <c r="J568" i="17"/>
  <c r="J564" i="17"/>
  <c r="J560" i="17"/>
  <c r="J556" i="17"/>
  <c r="J552" i="17"/>
  <c r="J548" i="17"/>
  <c r="J544" i="17"/>
  <c r="J587" i="17"/>
  <c r="J579" i="17"/>
  <c r="J571" i="17"/>
  <c r="J563" i="17"/>
  <c r="J555" i="17"/>
  <c r="J547" i="17"/>
  <c r="J541" i="17"/>
  <c r="J537" i="17"/>
  <c r="J533" i="17"/>
  <c r="J529" i="17"/>
  <c r="J525" i="17"/>
  <c r="J521" i="17"/>
  <c r="I588" i="17"/>
  <c r="I580" i="17"/>
  <c r="I572" i="17"/>
  <c r="I564" i="17"/>
  <c r="I556" i="17"/>
  <c r="I548" i="17"/>
  <c r="J542" i="17"/>
  <c r="J538" i="17"/>
  <c r="J534" i="17"/>
  <c r="J530" i="17"/>
  <c r="J526" i="17"/>
  <c r="J522" i="17"/>
  <c r="I520" i="17"/>
  <c r="I515" i="17"/>
  <c r="I511" i="17"/>
  <c r="I507" i="17"/>
  <c r="I503" i="17"/>
  <c r="I499" i="17"/>
  <c r="I495" i="17"/>
  <c r="I491" i="17"/>
  <c r="I487" i="17"/>
  <c r="I483" i="17"/>
  <c r="I479" i="17"/>
  <c r="I475" i="17"/>
  <c r="I471" i="17"/>
  <c r="I467" i="17"/>
  <c r="I463" i="17"/>
  <c r="I459" i="17"/>
  <c r="I455" i="17"/>
  <c r="I451" i="17"/>
  <c r="I447" i="17"/>
  <c r="I443" i="17"/>
  <c r="I439" i="17"/>
  <c r="I435" i="17"/>
  <c r="I431" i="17"/>
  <c r="I427" i="17"/>
  <c r="I423" i="17"/>
  <c r="I419" i="17"/>
  <c r="I518" i="17"/>
  <c r="I514" i="17"/>
  <c r="I510" i="17"/>
  <c r="I506" i="17"/>
  <c r="I502" i="17"/>
  <c r="I498" i="17"/>
  <c r="I494" i="17"/>
  <c r="I490" i="17"/>
  <c r="I486" i="17"/>
  <c r="I482" i="17"/>
  <c r="I478" i="17"/>
  <c r="I474" i="17"/>
  <c r="I470" i="17"/>
  <c r="I466" i="17"/>
  <c r="I462" i="17"/>
  <c r="I458" i="17"/>
  <c r="I454" i="17"/>
  <c r="I450" i="17"/>
  <c r="I446" i="17"/>
  <c r="I442" i="17"/>
  <c r="I438" i="17"/>
  <c r="I434" i="17"/>
  <c r="I430" i="17"/>
  <c r="I426" i="17"/>
  <c r="I422" i="17"/>
  <c r="I418" i="17"/>
  <c r="I414" i="17"/>
  <c r="I410" i="17"/>
  <c r="I406" i="17"/>
  <c r="I402" i="17"/>
  <c r="I398" i="17"/>
  <c r="I394" i="17"/>
  <c r="I390" i="17"/>
  <c r="I386" i="17"/>
  <c r="I382" i="17"/>
  <c r="I378" i="17"/>
  <c r="I374" i="17"/>
  <c r="I370" i="17"/>
  <c r="I366" i="17"/>
  <c r="I362" i="17"/>
  <c r="I358" i="17"/>
  <c r="I354" i="17"/>
  <c r="I350" i="17"/>
  <c r="I346" i="17"/>
  <c r="I342" i="17"/>
  <c r="I338" i="17"/>
  <c r="I334" i="17"/>
  <c r="I330" i="17"/>
  <c r="I326" i="17"/>
  <c r="I322" i="17"/>
  <c r="I318" i="17"/>
  <c r="J416" i="17"/>
  <c r="J412" i="17"/>
  <c r="J408" i="17"/>
  <c r="J404" i="17"/>
  <c r="J400" i="17"/>
  <c r="J396" i="17"/>
  <c r="J392" i="17"/>
  <c r="J388" i="17"/>
  <c r="J384" i="17"/>
  <c r="J380" i="17"/>
  <c r="J376" i="17"/>
  <c r="J372" i="17"/>
  <c r="J368" i="17"/>
  <c r="J364" i="17"/>
  <c r="J360" i="17"/>
  <c r="J356" i="17"/>
  <c r="J352" i="17"/>
  <c r="J348" i="17"/>
  <c r="J344" i="17"/>
  <c r="J340" i="17"/>
  <c r="J336" i="17"/>
  <c r="J332" i="17"/>
  <c r="J328" i="17"/>
  <c r="J324" i="17"/>
  <c r="J320" i="17"/>
  <c r="J316" i="17"/>
  <c r="I312" i="17"/>
  <c r="I308" i="17"/>
  <c r="I304" i="17"/>
  <c r="I300" i="17"/>
  <c r="I296" i="17"/>
  <c r="I292" i="17"/>
  <c r="I288" i="17"/>
  <c r="I284" i="17"/>
  <c r="I280" i="17"/>
  <c r="I276" i="17"/>
  <c r="I272" i="17"/>
  <c r="I268" i="17"/>
  <c r="I264" i="17"/>
  <c r="I260" i="17"/>
  <c r="I256" i="17"/>
  <c r="I252" i="17"/>
  <c r="I248" i="17"/>
  <c r="I244" i="17"/>
  <c r="I240" i="17"/>
  <c r="I236" i="17"/>
  <c r="I232" i="17"/>
  <c r="I228" i="17"/>
  <c r="I224" i="17"/>
  <c r="I220" i="17"/>
  <c r="I216" i="17"/>
  <c r="I212" i="17"/>
  <c r="I208" i="17"/>
  <c r="I204" i="17"/>
  <c r="I200" i="17"/>
  <c r="I196" i="17"/>
  <c r="I192" i="17"/>
  <c r="I188" i="17"/>
  <c r="I184" i="17"/>
  <c r="I180" i="17"/>
  <c r="I176" i="17"/>
  <c r="I172" i="17"/>
  <c r="I168" i="17"/>
  <c r="I164" i="17"/>
  <c r="I160" i="17"/>
  <c r="I156" i="17"/>
  <c r="I152" i="17"/>
  <c r="I148" i="17"/>
  <c r="I144" i="17"/>
  <c r="I140" i="17"/>
  <c r="I136" i="17"/>
  <c r="I132" i="17"/>
  <c r="I128" i="17"/>
  <c r="I124" i="17"/>
  <c r="I120" i="17"/>
  <c r="I116" i="17"/>
  <c r="I112" i="17"/>
  <c r="I313" i="17"/>
  <c r="I309" i="17"/>
  <c r="I305" i="17"/>
  <c r="I301" i="17"/>
  <c r="I297" i="17"/>
  <c r="I293" i="17"/>
  <c r="I289" i="17"/>
  <c r="I285" i="17"/>
  <c r="I281" i="17"/>
  <c r="I277" i="17"/>
  <c r="I273" i="17"/>
  <c r="I269" i="17"/>
  <c r="I265" i="17"/>
  <c r="I261" i="17"/>
  <c r="I257" i="17"/>
  <c r="I253" i="17"/>
  <c r="I249" i="17"/>
  <c r="I245" i="17"/>
  <c r="I241" i="17"/>
  <c r="I237" i="17"/>
  <c r="I233" i="17"/>
  <c r="I229" i="17"/>
  <c r="I225" i="17"/>
  <c r="I221" i="17"/>
  <c r="I217" i="17"/>
  <c r="I213" i="17"/>
  <c r="I209" i="17"/>
  <c r="I205" i="17"/>
  <c r="I201" i="17"/>
  <c r="I197" i="17"/>
  <c r="I193" i="17"/>
  <c r="I189" i="17"/>
  <c r="I185" i="17"/>
  <c r="I181" i="17"/>
  <c r="I177" i="17"/>
  <c r="I173" i="17"/>
  <c r="I169" i="17"/>
  <c r="I165" i="17"/>
  <c r="I161" i="17"/>
  <c r="I157" i="17"/>
  <c r="I153" i="17"/>
  <c r="I149" i="17"/>
  <c r="I145" i="17"/>
  <c r="I141" i="17"/>
  <c r="I611" i="17"/>
  <c r="I605" i="17"/>
  <c r="I601" i="17"/>
  <c r="I597" i="17"/>
  <c r="W624" i="17"/>
  <c r="J611" i="17"/>
  <c r="J607" i="17"/>
  <c r="J603" i="17"/>
  <c r="J599" i="17"/>
  <c r="J612" i="17"/>
  <c r="J608" i="17"/>
  <c r="I609" i="17"/>
  <c r="J604" i="17"/>
  <c r="J600" i="17"/>
  <c r="J596" i="17"/>
  <c r="A624" i="17"/>
  <c r="I610" i="17"/>
  <c r="I606" i="17"/>
  <c r="I602" i="17"/>
  <c r="I598" i="17"/>
  <c r="J594" i="17"/>
  <c r="J590" i="17"/>
  <c r="J586" i="17"/>
  <c r="J582" i="17"/>
  <c r="J578" i="17"/>
  <c r="J574" i="17"/>
  <c r="J570" i="17"/>
  <c r="J566" i="17"/>
  <c r="J562" i="17"/>
  <c r="J558" i="17"/>
  <c r="J554" i="17"/>
  <c r="J550" i="17"/>
  <c r="J546" i="17"/>
  <c r="J591" i="17"/>
  <c r="J583" i="17"/>
  <c r="J575" i="17"/>
  <c r="J567" i="17"/>
  <c r="J559" i="17"/>
  <c r="J551" i="17"/>
  <c r="J543" i="17"/>
  <c r="J539" i="17"/>
  <c r="J535" i="17"/>
  <c r="J531" i="17"/>
  <c r="J527" i="17"/>
  <c r="J523" i="17"/>
  <c r="I592" i="17"/>
  <c r="I584" i="17"/>
  <c r="I576" i="17"/>
  <c r="I568" i="17"/>
  <c r="I560" i="17"/>
  <c r="I552" i="17"/>
  <c r="I544" i="17"/>
  <c r="J540" i="17"/>
  <c r="J536" i="17"/>
  <c r="J532" i="17"/>
  <c r="J528" i="17"/>
  <c r="J524" i="17"/>
  <c r="J520" i="17"/>
  <c r="I517" i="17"/>
  <c r="I513" i="17"/>
  <c r="I509" i="17"/>
  <c r="I505" i="17"/>
  <c r="I501" i="17"/>
  <c r="I497" i="17"/>
  <c r="I493" i="17"/>
  <c r="I489" i="17"/>
  <c r="I485" i="17"/>
  <c r="I481" i="17"/>
  <c r="I477" i="17"/>
  <c r="I473" i="17"/>
  <c r="I469" i="17"/>
  <c r="I465" i="17"/>
  <c r="I461" i="17"/>
  <c r="I457" i="17"/>
  <c r="I453" i="17"/>
  <c r="I449" i="17"/>
  <c r="I445" i="17"/>
  <c r="I441" i="17"/>
  <c r="I437" i="17"/>
  <c r="I433" i="17"/>
  <c r="I429" i="17"/>
  <c r="I425" i="17"/>
  <c r="I421" i="17"/>
  <c r="I417" i="17"/>
  <c r="I516" i="17"/>
  <c r="I512" i="17"/>
  <c r="I508" i="17"/>
  <c r="I504" i="17"/>
  <c r="I500" i="17"/>
  <c r="I496" i="17"/>
  <c r="I492" i="17"/>
  <c r="I488" i="17"/>
  <c r="I484" i="17"/>
  <c r="I480" i="17"/>
  <c r="I476" i="17"/>
  <c r="I472" i="17"/>
  <c r="I468" i="17"/>
  <c r="I464" i="17"/>
  <c r="I460" i="17"/>
  <c r="I456" i="17"/>
  <c r="I452" i="17"/>
  <c r="I448" i="17"/>
  <c r="I444" i="17"/>
  <c r="I440" i="17"/>
  <c r="I436" i="17"/>
  <c r="I432" i="17"/>
  <c r="I428" i="17"/>
  <c r="I424" i="17"/>
  <c r="I420" i="17"/>
  <c r="I416" i="17"/>
  <c r="I412" i="17"/>
  <c r="I408" i="17"/>
  <c r="I404" i="17"/>
  <c r="I400" i="17"/>
  <c r="I396" i="17"/>
  <c r="I392" i="17"/>
  <c r="I388" i="17"/>
  <c r="I384" i="17"/>
  <c r="I380" i="17"/>
  <c r="I376" i="17"/>
  <c r="I372" i="17"/>
  <c r="I368" i="17"/>
  <c r="I364" i="17"/>
  <c r="I360" i="17"/>
  <c r="I356" i="17"/>
  <c r="I352" i="17"/>
  <c r="I348" i="17"/>
  <c r="I344" i="17"/>
  <c r="I340" i="17"/>
  <c r="I336" i="17"/>
  <c r="I332" i="17"/>
  <c r="I328" i="17"/>
  <c r="I324" i="17"/>
  <c r="I320" i="17"/>
  <c r="I316" i="17"/>
  <c r="J414" i="17"/>
  <c r="J410" i="17"/>
  <c r="J406" i="17"/>
  <c r="J402" i="17"/>
  <c r="J398" i="17"/>
  <c r="J394" i="17"/>
  <c r="J390" i="17"/>
  <c r="J386" i="17"/>
  <c r="J382" i="17"/>
  <c r="J378" i="17"/>
  <c r="J374" i="17"/>
  <c r="J370" i="17"/>
  <c r="J366" i="17"/>
  <c r="J362" i="17"/>
  <c r="J358" i="17"/>
  <c r="J354" i="17"/>
  <c r="J350" i="17"/>
  <c r="J346" i="17"/>
  <c r="J342" i="17"/>
  <c r="J338" i="17"/>
  <c r="J334" i="17"/>
  <c r="J330" i="17"/>
  <c r="J326" i="17"/>
  <c r="J322" i="17"/>
  <c r="J318" i="17"/>
  <c r="I314" i="17"/>
  <c r="I310" i="17"/>
  <c r="I306" i="17"/>
  <c r="I302" i="17"/>
  <c r="I298" i="17"/>
  <c r="I294" i="17"/>
  <c r="I290" i="17"/>
  <c r="I286" i="17"/>
  <c r="I282" i="17"/>
  <c r="I278" i="17"/>
  <c r="I274" i="17"/>
  <c r="I270" i="17"/>
  <c r="I266" i="17"/>
  <c r="I262" i="17"/>
  <c r="I258" i="17"/>
  <c r="I254" i="17"/>
  <c r="I250" i="17"/>
  <c r="I246" i="17"/>
  <c r="I242" i="17"/>
  <c r="I238" i="17"/>
  <c r="I234" i="17"/>
  <c r="I230" i="17"/>
  <c r="I226" i="17"/>
  <c r="I222" i="17"/>
  <c r="I218" i="17"/>
  <c r="I214" i="17"/>
  <c r="I210" i="17"/>
  <c r="I206" i="17"/>
  <c r="I202" i="17"/>
  <c r="I198" i="17"/>
  <c r="I194" i="17"/>
  <c r="I190" i="17"/>
  <c r="I186" i="17"/>
  <c r="I182" i="17"/>
  <c r="I178" i="17"/>
  <c r="I174" i="17"/>
  <c r="I170" i="17"/>
  <c r="I166" i="17"/>
  <c r="I162" i="17"/>
  <c r="I158" i="17"/>
  <c r="I154" i="17"/>
  <c r="I150" i="17"/>
  <c r="I146" i="17"/>
  <c r="I142" i="17"/>
  <c r="I138" i="17"/>
  <c r="I134" i="17"/>
  <c r="I130" i="17"/>
  <c r="I126" i="17"/>
  <c r="I122" i="17"/>
  <c r="I118" i="17"/>
  <c r="I114" i="17"/>
  <c r="I110" i="17"/>
  <c r="I311" i="17"/>
  <c r="I307" i="17"/>
  <c r="I303" i="17"/>
  <c r="I299" i="17"/>
  <c r="I295" i="17"/>
  <c r="I291" i="17"/>
  <c r="I287" i="17"/>
  <c r="I283" i="17"/>
  <c r="I279" i="17"/>
  <c r="I275" i="17"/>
  <c r="I271" i="17"/>
  <c r="I267" i="17"/>
  <c r="I259" i="17"/>
  <c r="I251" i="17"/>
  <c r="I243" i="17"/>
  <c r="I235" i="17"/>
  <c r="I227" i="17"/>
  <c r="I219" i="17"/>
  <c r="I211" i="17"/>
  <c r="I203" i="17"/>
  <c r="I195" i="17"/>
  <c r="I187" i="17"/>
  <c r="I179" i="17"/>
  <c r="I171" i="17"/>
  <c r="I163" i="17"/>
  <c r="I155" i="17"/>
  <c r="I147" i="17"/>
  <c r="I139" i="17"/>
  <c r="I603" i="17"/>
  <c r="I595" i="17"/>
  <c r="J609" i="17"/>
  <c r="J601" i="17"/>
  <c r="J595" i="17"/>
  <c r="I591" i="17"/>
  <c r="I587" i="17"/>
  <c r="I583" i="17"/>
  <c r="I579" i="17"/>
  <c r="I575" i="17"/>
  <c r="I571" i="17"/>
  <c r="I567" i="17"/>
  <c r="I563" i="17"/>
  <c r="I559" i="17"/>
  <c r="I555" i="17"/>
  <c r="I551" i="17"/>
  <c r="I547" i="17"/>
  <c r="J593" i="17"/>
  <c r="J585" i="17"/>
  <c r="J577" i="17"/>
  <c r="J569" i="17"/>
  <c r="J561" i="17"/>
  <c r="J553" i="17"/>
  <c r="J545" i="17"/>
  <c r="I540" i="17"/>
  <c r="I536" i="17"/>
  <c r="I532" i="17"/>
  <c r="I528" i="17"/>
  <c r="I524" i="17"/>
  <c r="I594" i="17"/>
  <c r="I586" i="17"/>
  <c r="I578" i="17"/>
  <c r="I570" i="17"/>
  <c r="I562" i="17"/>
  <c r="I554" i="17"/>
  <c r="I546" i="17"/>
  <c r="I541" i="17"/>
  <c r="I537" i="17"/>
  <c r="I533" i="17"/>
  <c r="I529" i="17"/>
  <c r="I525" i="17"/>
  <c r="I521" i="17"/>
  <c r="J518" i="17"/>
  <c r="J514" i="17"/>
  <c r="J510" i="17"/>
  <c r="J506" i="17"/>
  <c r="J502" i="17"/>
  <c r="J498" i="17"/>
  <c r="J494" i="17"/>
  <c r="J490" i="17"/>
  <c r="J486" i="17"/>
  <c r="J482" i="17"/>
  <c r="J478" i="17"/>
  <c r="J474" i="17"/>
  <c r="J470" i="17"/>
  <c r="J466" i="17"/>
  <c r="J462" i="17"/>
  <c r="J458" i="17"/>
  <c r="J454" i="17"/>
  <c r="J450" i="17"/>
  <c r="J446" i="17"/>
  <c r="J442" i="17"/>
  <c r="J438" i="17"/>
  <c r="J434" i="17"/>
  <c r="J430" i="17"/>
  <c r="J426" i="17"/>
  <c r="J422" i="17"/>
  <c r="J418" i="17"/>
  <c r="J517" i="17"/>
  <c r="J513" i="17"/>
  <c r="J509" i="17"/>
  <c r="J505" i="17"/>
  <c r="J501" i="17"/>
  <c r="J497" i="17"/>
  <c r="J493" i="17"/>
  <c r="J489" i="17"/>
  <c r="J485" i="17"/>
  <c r="J481" i="17"/>
  <c r="J477" i="17"/>
  <c r="J473" i="17"/>
  <c r="J469" i="17"/>
  <c r="J465" i="17"/>
  <c r="J461" i="17"/>
  <c r="J457" i="17"/>
  <c r="J453" i="17"/>
  <c r="J449" i="17"/>
  <c r="J445" i="17"/>
  <c r="J441" i="17"/>
  <c r="J437" i="17"/>
  <c r="J433" i="17"/>
  <c r="J429" i="17"/>
  <c r="J425" i="17"/>
  <c r="J421" i="17"/>
  <c r="J417" i="17"/>
  <c r="J413" i="17"/>
  <c r="J409" i="17"/>
  <c r="J405" i="17"/>
  <c r="J401" i="17"/>
  <c r="J397" i="17"/>
  <c r="J393" i="17"/>
  <c r="J389" i="17"/>
  <c r="J385" i="17"/>
  <c r="J381" i="17"/>
  <c r="J377" i="17"/>
  <c r="J373" i="17"/>
  <c r="J369" i="17"/>
  <c r="J365" i="17"/>
  <c r="J361" i="17"/>
  <c r="J357" i="17"/>
  <c r="J353" i="17"/>
  <c r="J349" i="17"/>
  <c r="J345" i="17"/>
  <c r="J341" i="17"/>
  <c r="J337" i="17"/>
  <c r="J333" i="17"/>
  <c r="J329" i="17"/>
  <c r="J325" i="17"/>
  <c r="J321" i="17"/>
  <c r="J317" i="17"/>
  <c r="I415" i="17"/>
  <c r="I411" i="17"/>
  <c r="I407" i="17"/>
  <c r="I403" i="17"/>
  <c r="I399" i="17"/>
  <c r="I395" i="17"/>
  <c r="I391" i="17"/>
  <c r="I387" i="17"/>
  <c r="I383" i="17"/>
  <c r="I379" i="17"/>
  <c r="I375" i="17"/>
  <c r="I371" i="17"/>
  <c r="I367" i="17"/>
  <c r="I363" i="17"/>
  <c r="I359" i="17"/>
  <c r="I355" i="17"/>
  <c r="I351" i="17"/>
  <c r="I347" i="17"/>
  <c r="I343" i="17"/>
  <c r="I339" i="17"/>
  <c r="I335" i="17"/>
  <c r="I331" i="17"/>
  <c r="I327" i="17"/>
  <c r="I323" i="17"/>
  <c r="I319" i="17"/>
  <c r="I315" i="17"/>
  <c r="J311" i="17"/>
  <c r="J307" i="17"/>
  <c r="J303" i="17"/>
  <c r="J299" i="17"/>
  <c r="J295" i="17"/>
  <c r="J291" i="17"/>
  <c r="J287" i="17"/>
  <c r="J283" i="17"/>
  <c r="J279" i="17"/>
  <c r="J275" i="17"/>
  <c r="J271" i="17"/>
  <c r="J267" i="17"/>
  <c r="J263" i="17"/>
  <c r="J259" i="17"/>
  <c r="J255" i="17"/>
  <c r="J251" i="17"/>
  <c r="J247" i="17"/>
  <c r="J243" i="17"/>
  <c r="J239" i="17"/>
  <c r="J235" i="17"/>
  <c r="J231" i="17"/>
  <c r="J227" i="17"/>
  <c r="J223" i="17"/>
  <c r="J219" i="17"/>
  <c r="J215" i="17"/>
  <c r="J211" i="17"/>
  <c r="J207" i="17"/>
  <c r="J203" i="17"/>
  <c r="J199" i="17"/>
  <c r="J195" i="17"/>
  <c r="J191" i="17"/>
  <c r="J187" i="17"/>
  <c r="J183" i="17"/>
  <c r="J179" i="17"/>
  <c r="J175" i="17"/>
  <c r="J171" i="17"/>
  <c r="J167" i="17"/>
  <c r="J163" i="17"/>
  <c r="J159" i="17"/>
  <c r="J155" i="17"/>
  <c r="J151" i="17"/>
  <c r="J147" i="17"/>
  <c r="J143" i="17"/>
  <c r="J139" i="17"/>
  <c r="J135" i="17"/>
  <c r="J131" i="17"/>
  <c r="J127" i="17"/>
  <c r="J123" i="17"/>
  <c r="J119" i="17"/>
  <c r="J115" i="17"/>
  <c r="J111" i="17"/>
  <c r="J312" i="17"/>
  <c r="J308" i="17"/>
  <c r="J304" i="17"/>
  <c r="J300" i="17"/>
  <c r="J296" i="17"/>
  <c r="J292" i="17"/>
  <c r="J288" i="17"/>
  <c r="J284" i="17"/>
  <c r="J280" i="17"/>
  <c r="J276" i="17"/>
  <c r="J272" i="17"/>
  <c r="J268" i="17"/>
  <c r="J264" i="17"/>
  <c r="J260" i="17"/>
  <c r="J256" i="17"/>
  <c r="J252" i="17"/>
  <c r="J248" i="17"/>
  <c r="J244" i="17"/>
  <c r="J240" i="17"/>
  <c r="J236" i="17"/>
  <c r="J232" i="17"/>
  <c r="J228" i="17"/>
  <c r="J224" i="17"/>
  <c r="J220" i="17"/>
  <c r="J216" i="17"/>
  <c r="J212" i="17"/>
  <c r="J208" i="17"/>
  <c r="J204" i="17"/>
  <c r="J200" i="17"/>
  <c r="J196" i="17"/>
  <c r="J192" i="17"/>
  <c r="J188" i="17"/>
  <c r="J184" i="17"/>
  <c r="J180" i="17"/>
  <c r="J176" i="17"/>
  <c r="J172" i="17"/>
  <c r="J168" i="17"/>
  <c r="J164" i="17"/>
  <c r="J160" i="17"/>
  <c r="J156" i="17"/>
  <c r="J152" i="17"/>
  <c r="J148" i="17"/>
  <c r="J144" i="17"/>
  <c r="J140" i="17"/>
  <c r="J136" i="17"/>
  <c r="J132" i="17"/>
  <c r="J128" i="17"/>
  <c r="J124" i="17"/>
  <c r="J120" i="17"/>
  <c r="J116" i="17"/>
  <c r="J112" i="17"/>
  <c r="I135" i="17"/>
  <c r="I127" i="17"/>
  <c r="I119" i="17"/>
  <c r="I111" i="17"/>
  <c r="J16" i="17"/>
  <c r="J20" i="17"/>
  <c r="J24" i="17"/>
  <c r="J28" i="17"/>
  <c r="J32" i="17"/>
  <c r="J36" i="17"/>
  <c r="J40" i="17"/>
  <c r="J44" i="17"/>
  <c r="J48" i="17"/>
  <c r="J52" i="17"/>
  <c r="J56" i="17"/>
  <c r="J60" i="17"/>
  <c r="J64" i="17"/>
  <c r="J68" i="17"/>
  <c r="J72" i="17"/>
  <c r="J76" i="17"/>
  <c r="J80" i="17"/>
  <c r="J84" i="17"/>
  <c r="J88" i="17"/>
  <c r="J92" i="17"/>
  <c r="J96" i="17"/>
  <c r="J100" i="17"/>
  <c r="J104" i="17"/>
  <c r="J108" i="17"/>
  <c r="I133" i="17"/>
  <c r="I125" i="17"/>
  <c r="I117" i="17"/>
  <c r="I13" i="17"/>
  <c r="I17" i="17"/>
  <c r="I21" i="17"/>
  <c r="I25" i="17"/>
  <c r="I29" i="17"/>
  <c r="I33" i="17"/>
  <c r="I37" i="17"/>
  <c r="I41" i="17"/>
  <c r="I45" i="17"/>
  <c r="I49" i="17"/>
  <c r="I53" i="17"/>
  <c r="I57" i="17"/>
  <c r="I61" i="17"/>
  <c r="I65" i="17"/>
  <c r="I69" i="17"/>
  <c r="I73" i="17"/>
  <c r="I77" i="17"/>
  <c r="I81" i="17"/>
  <c r="I85" i="17"/>
  <c r="I89" i="17"/>
  <c r="I93" i="17"/>
  <c r="I97" i="17"/>
  <c r="I101" i="17"/>
  <c r="I105" i="17"/>
  <c r="I109" i="17"/>
  <c r="I106" i="17"/>
  <c r="I102" i="17"/>
  <c r="I98" i="17"/>
  <c r="I94" i="17"/>
  <c r="I90" i="17"/>
  <c r="I86" i="17"/>
  <c r="I82" i="17"/>
  <c r="I78" i="17"/>
  <c r="I74" i="17"/>
  <c r="I70" i="17"/>
  <c r="I66" i="17"/>
  <c r="I62" i="17"/>
  <c r="I58" i="17"/>
  <c r="I54" i="17"/>
  <c r="I50" i="17"/>
  <c r="I46" i="17"/>
  <c r="I42" i="17"/>
  <c r="I38" i="17"/>
  <c r="I34" i="17"/>
  <c r="I30" i="17"/>
  <c r="I26" i="17"/>
  <c r="I22" i="17"/>
  <c r="I18" i="17"/>
  <c r="I14" i="17"/>
  <c r="J107" i="17"/>
  <c r="J103" i="17"/>
  <c r="J99" i="17"/>
  <c r="J95" i="17"/>
  <c r="J91" i="17"/>
  <c r="J87" i="17"/>
  <c r="J83" i="17"/>
  <c r="J79" i="17"/>
  <c r="J75" i="17"/>
  <c r="J71" i="17"/>
  <c r="J67" i="17"/>
  <c r="J63" i="17"/>
  <c r="J59" i="17"/>
  <c r="J55" i="17"/>
  <c r="J51" i="17"/>
  <c r="J47" i="17"/>
  <c r="J43" i="17"/>
  <c r="J39" i="17"/>
  <c r="J35" i="17"/>
  <c r="J31" i="17"/>
  <c r="J27" i="17"/>
  <c r="J23" i="17"/>
  <c r="J19" i="17"/>
  <c r="J15" i="17"/>
  <c r="I622" i="17"/>
  <c r="J626" i="17"/>
  <c r="I623" i="17"/>
  <c r="I263" i="17"/>
  <c r="I255" i="17"/>
  <c r="I247" i="17"/>
  <c r="I239" i="17"/>
  <c r="I231" i="17"/>
  <c r="I223" i="17"/>
  <c r="I215" i="17"/>
  <c r="I207" i="17"/>
  <c r="I199" i="17"/>
  <c r="I191" i="17"/>
  <c r="I183" i="17"/>
  <c r="I175" i="17"/>
  <c r="I167" i="17"/>
  <c r="I159" i="17"/>
  <c r="I151" i="17"/>
  <c r="I143" i="17"/>
  <c r="I607" i="17"/>
  <c r="I599" i="17"/>
  <c r="J613" i="17"/>
  <c r="J605" i="17"/>
  <c r="J597" i="17"/>
  <c r="I593" i="17"/>
  <c r="I589" i="17"/>
  <c r="I585" i="17"/>
  <c r="I581" i="17"/>
  <c r="I577" i="17"/>
  <c r="I573" i="17"/>
  <c r="I569" i="17"/>
  <c r="I565" i="17"/>
  <c r="I561" i="17"/>
  <c r="I557" i="17"/>
  <c r="I553" i="17"/>
  <c r="I549" i="17"/>
  <c r="I545" i="17"/>
  <c r="J589" i="17"/>
  <c r="J581" i="17"/>
  <c r="J573" i="17"/>
  <c r="J565" i="17"/>
  <c r="J557" i="17"/>
  <c r="J549" i="17"/>
  <c r="I542" i="17"/>
  <c r="I538" i="17"/>
  <c r="I534" i="17"/>
  <c r="I530" i="17"/>
  <c r="I526" i="17"/>
  <c r="I522" i="17"/>
  <c r="I590" i="17"/>
  <c r="I582" i="17"/>
  <c r="I574" i="17"/>
  <c r="I566" i="17"/>
  <c r="I558" i="17"/>
  <c r="I550" i="17"/>
  <c r="I543" i="17"/>
  <c r="I539" i="17"/>
  <c r="I535" i="17"/>
  <c r="I531" i="17"/>
  <c r="I527" i="17"/>
  <c r="I523" i="17"/>
  <c r="I519" i="17"/>
  <c r="J516" i="17"/>
  <c r="J512" i="17"/>
  <c r="J508" i="17"/>
  <c r="J504" i="17"/>
  <c r="J500" i="17"/>
  <c r="J496" i="17"/>
  <c r="J492" i="17"/>
  <c r="J488" i="17"/>
  <c r="J484" i="17"/>
  <c r="J480" i="17"/>
  <c r="J476" i="17"/>
  <c r="J472" i="17"/>
  <c r="J468" i="17"/>
  <c r="J464" i="17"/>
  <c r="J460" i="17"/>
  <c r="J456" i="17"/>
  <c r="J452" i="17"/>
  <c r="J448" i="17"/>
  <c r="J444" i="17"/>
  <c r="J440" i="17"/>
  <c r="J436" i="17"/>
  <c r="J432" i="17"/>
  <c r="J428" i="17"/>
  <c r="J424" i="17"/>
  <c r="J420" i="17"/>
  <c r="J519" i="17"/>
  <c r="J515" i="17"/>
  <c r="J511" i="17"/>
  <c r="J507" i="17"/>
  <c r="J503" i="17"/>
  <c r="J499" i="17"/>
  <c r="J495" i="17"/>
  <c r="J491" i="17"/>
  <c r="J487" i="17"/>
  <c r="J483" i="17"/>
  <c r="J479" i="17"/>
  <c r="J475" i="17"/>
  <c r="J471" i="17"/>
  <c r="J467" i="17"/>
  <c r="J463" i="17"/>
  <c r="J459" i="17"/>
  <c r="J455" i="17"/>
  <c r="J451" i="17"/>
  <c r="J447" i="17"/>
  <c r="J443" i="17"/>
  <c r="J439" i="17"/>
  <c r="J435" i="17"/>
  <c r="J431" i="17"/>
  <c r="J427" i="17"/>
  <c r="J423" i="17"/>
  <c r="J419" i="17"/>
  <c r="J415" i="17"/>
  <c r="J411" i="17"/>
  <c r="J407" i="17"/>
  <c r="J403" i="17"/>
  <c r="J399" i="17"/>
  <c r="J395" i="17"/>
  <c r="J391" i="17"/>
  <c r="J387" i="17"/>
  <c r="J383" i="17"/>
  <c r="J379" i="17"/>
  <c r="J375" i="17"/>
  <c r="J371" i="17"/>
  <c r="J367" i="17"/>
  <c r="J363" i="17"/>
  <c r="J359" i="17"/>
  <c r="J355" i="17"/>
  <c r="J351" i="17"/>
  <c r="J347" i="17"/>
  <c r="J343" i="17"/>
  <c r="J339" i="17"/>
  <c r="J335" i="17"/>
  <c r="J331" i="17"/>
  <c r="J327" i="17"/>
  <c r="J323" i="17"/>
  <c r="J319" i="17"/>
  <c r="J315" i="17"/>
  <c r="I413" i="17"/>
  <c r="I409" i="17"/>
  <c r="I405" i="17"/>
  <c r="I401" i="17"/>
  <c r="I397" i="17"/>
  <c r="I393" i="17"/>
  <c r="I385" i="17"/>
  <c r="I377" i="17"/>
  <c r="I369" i="17"/>
  <c r="I361" i="17"/>
  <c r="I353" i="17"/>
  <c r="I345" i="17"/>
  <c r="I337" i="17"/>
  <c r="I329" i="17"/>
  <c r="I321" i="17"/>
  <c r="J313" i="17"/>
  <c r="J305" i="17"/>
  <c r="J297" i="17"/>
  <c r="J289" i="17"/>
  <c r="J281" i="17"/>
  <c r="J273" i="17"/>
  <c r="J265" i="17"/>
  <c r="J257" i="17"/>
  <c r="J249" i="17"/>
  <c r="J241" i="17"/>
  <c r="J233" i="17"/>
  <c r="J225" i="17"/>
  <c r="J217" i="17"/>
  <c r="J209" i="17"/>
  <c r="J201" i="17"/>
  <c r="J193" i="17"/>
  <c r="J185" i="17"/>
  <c r="J177" i="17"/>
  <c r="J169" i="17"/>
  <c r="J161" i="17"/>
  <c r="J153" i="17"/>
  <c r="J145" i="17"/>
  <c r="J137" i="17"/>
  <c r="J129" i="17"/>
  <c r="J121" i="17"/>
  <c r="J113" i="17"/>
  <c r="J310" i="17"/>
  <c r="J302" i="17"/>
  <c r="J294" i="17"/>
  <c r="J286" i="17"/>
  <c r="J278" i="17"/>
  <c r="J270" i="17"/>
  <c r="J262" i="17"/>
  <c r="J254" i="17"/>
  <c r="J246" i="17"/>
  <c r="J238" i="17"/>
  <c r="J230" i="17"/>
  <c r="J222" i="17"/>
  <c r="J214" i="17"/>
  <c r="J206" i="17"/>
  <c r="J198" i="17"/>
  <c r="J190" i="17"/>
  <c r="J182" i="17"/>
  <c r="J174" i="17"/>
  <c r="J166" i="17"/>
  <c r="J158" i="17"/>
  <c r="J150" i="17"/>
  <c r="J142" i="17"/>
  <c r="J134" i="17"/>
  <c r="J126" i="17"/>
  <c r="J118" i="17"/>
  <c r="J110" i="17"/>
  <c r="I123" i="17"/>
  <c r="J14" i="17"/>
  <c r="J22" i="17"/>
  <c r="J30" i="17"/>
  <c r="J38" i="17"/>
  <c r="J46" i="17"/>
  <c r="J54" i="17"/>
  <c r="J62" i="17"/>
  <c r="J70" i="17"/>
  <c r="J78" i="17"/>
  <c r="J86" i="17"/>
  <c r="J94" i="17"/>
  <c r="J102" i="17"/>
  <c r="I137" i="17"/>
  <c r="I121" i="17"/>
  <c r="I15" i="17"/>
  <c r="I23" i="17"/>
  <c r="I31" i="17"/>
  <c r="I39" i="17"/>
  <c r="I47" i="17"/>
  <c r="I55" i="17"/>
  <c r="I63" i="17"/>
  <c r="I71" i="17"/>
  <c r="I79" i="17"/>
  <c r="I87" i="17"/>
  <c r="I95" i="17"/>
  <c r="I103" i="17"/>
  <c r="I108" i="17"/>
  <c r="I100" i="17"/>
  <c r="I92" i="17"/>
  <c r="I84" i="17"/>
  <c r="I76" i="17"/>
  <c r="I68" i="17"/>
  <c r="I60" i="17"/>
  <c r="I52" i="17"/>
  <c r="I44" i="17"/>
  <c r="I36" i="17"/>
  <c r="I28" i="17"/>
  <c r="I20" i="17"/>
  <c r="J109" i="17"/>
  <c r="J101" i="17"/>
  <c r="J93" i="17"/>
  <c r="J85" i="17"/>
  <c r="J77" i="17"/>
  <c r="J69" i="17"/>
  <c r="J61" i="17"/>
  <c r="J53" i="17"/>
  <c r="J45" i="17"/>
  <c r="J37" i="17"/>
  <c r="J29" i="17"/>
  <c r="J21" i="17"/>
  <c r="J13" i="17"/>
  <c r="I626" i="17"/>
  <c r="J622" i="17"/>
  <c r="I389" i="17"/>
  <c r="I381" i="17"/>
  <c r="I373" i="17"/>
  <c r="I365" i="17"/>
  <c r="I357" i="17"/>
  <c r="I349" i="17"/>
  <c r="I341" i="17"/>
  <c r="I333" i="17"/>
  <c r="I325" i="17"/>
  <c r="I317" i="17"/>
  <c r="J309" i="17"/>
  <c r="J301" i="17"/>
  <c r="J293" i="17"/>
  <c r="J285" i="17"/>
  <c r="J277" i="17"/>
  <c r="J269" i="17"/>
  <c r="J261" i="17"/>
  <c r="J253" i="17"/>
  <c r="J245" i="17"/>
  <c r="J237" i="17"/>
  <c r="J229" i="17"/>
  <c r="J221" i="17"/>
  <c r="J213" i="17"/>
  <c r="J205" i="17"/>
  <c r="J197" i="17"/>
  <c r="J189" i="17"/>
  <c r="J181" i="17"/>
  <c r="J173" i="17"/>
  <c r="J165" i="17"/>
  <c r="J157" i="17"/>
  <c r="J149" i="17"/>
  <c r="J141" i="17"/>
  <c r="J133" i="17"/>
  <c r="J125" i="17"/>
  <c r="J117" i="17"/>
  <c r="J314" i="17"/>
  <c r="J306" i="17"/>
  <c r="J298" i="17"/>
  <c r="J290" i="17"/>
  <c r="J282" i="17"/>
  <c r="J274" i="17"/>
  <c r="J266" i="17"/>
  <c r="J258" i="17"/>
  <c r="J250" i="17"/>
  <c r="J242" i="17"/>
  <c r="J234" i="17"/>
  <c r="J226" i="17"/>
  <c r="J218" i="17"/>
  <c r="J210" i="17"/>
  <c r="J202" i="17"/>
  <c r="J194" i="17"/>
  <c r="J186" i="17"/>
  <c r="J178" i="17"/>
  <c r="J170" i="17"/>
  <c r="J162" i="17"/>
  <c r="J154" i="17"/>
  <c r="J146" i="17"/>
  <c r="J138" i="17"/>
  <c r="J130" i="17"/>
  <c r="J122" i="17"/>
  <c r="J114" i="17"/>
  <c r="I131" i="17"/>
  <c r="I115" i="17"/>
  <c r="J18" i="17"/>
  <c r="J26" i="17"/>
  <c r="J34" i="17"/>
  <c r="J42" i="17"/>
  <c r="J50" i="17"/>
  <c r="J58" i="17"/>
  <c r="J66" i="17"/>
  <c r="J74" i="17"/>
  <c r="J82" i="17"/>
  <c r="J90" i="17"/>
  <c r="J98" i="17"/>
  <c r="J106" i="17"/>
  <c r="I129" i="17"/>
  <c r="I113" i="17"/>
  <c r="I19" i="17"/>
  <c r="I27" i="17"/>
  <c r="I35" i="17"/>
  <c r="I43" i="17"/>
  <c r="I51" i="17"/>
  <c r="I59" i="17"/>
  <c r="I67" i="17"/>
  <c r="I75" i="17"/>
  <c r="I83" i="17"/>
  <c r="I91" i="17"/>
  <c r="I99" i="17"/>
  <c r="I107" i="17"/>
  <c r="I104" i="17"/>
  <c r="I96" i="17"/>
  <c r="I88" i="17"/>
  <c r="I80" i="17"/>
  <c r="I72" i="17"/>
  <c r="I64" i="17"/>
  <c r="I56" i="17"/>
  <c r="I48" i="17"/>
  <c r="I40" i="17"/>
  <c r="I32" i="17"/>
  <c r="I24" i="17"/>
  <c r="I16" i="17"/>
  <c r="J105" i="17"/>
  <c r="J97" i="17"/>
  <c r="J89" i="17"/>
  <c r="J81" i="17"/>
  <c r="J73" i="17"/>
  <c r="J65" i="17"/>
  <c r="J57" i="17"/>
  <c r="J49" i="17"/>
  <c r="J41" i="17"/>
  <c r="J33" i="17"/>
  <c r="J25" i="17"/>
  <c r="J17" i="17"/>
  <c r="J623" i="17"/>
  <c r="L610" i="17"/>
  <c r="K379" i="17"/>
  <c r="L386" i="17"/>
  <c r="L123" i="17"/>
  <c r="W625" i="17"/>
  <c r="L200" i="17"/>
  <c r="K207" i="17"/>
  <c r="K453" i="17"/>
  <c r="L66" i="17"/>
  <c r="K95" i="17"/>
  <c r="L264" i="17"/>
  <c r="K315" i="17"/>
  <c r="K271" i="17"/>
  <c r="L322" i="17"/>
  <c r="K532" i="17"/>
  <c r="L535" i="17"/>
  <c r="L34" i="17"/>
  <c r="K56" i="17"/>
  <c r="K63" i="17"/>
  <c r="L168" i="17"/>
  <c r="L296" i="17"/>
  <c r="L219" i="17"/>
  <c r="K347" i="17"/>
  <c r="K175" i="17"/>
  <c r="K303" i="17"/>
  <c r="K226" i="17"/>
  <c r="L354" i="17"/>
  <c r="K492" i="17"/>
  <c r="L570" i="17"/>
  <c r="L495" i="17"/>
  <c r="K573" i="17"/>
  <c r="L82" i="17"/>
  <c r="L18" i="17"/>
  <c r="K80" i="17"/>
  <c r="K48" i="17"/>
  <c r="L13" i="17"/>
  <c r="K47" i="17"/>
  <c r="L120" i="17"/>
  <c r="L184" i="17"/>
  <c r="L248" i="17"/>
  <c r="L312" i="17"/>
  <c r="L171" i="17"/>
  <c r="L235" i="17"/>
  <c r="L299" i="17"/>
  <c r="K363" i="17"/>
  <c r="K127" i="17"/>
  <c r="K191" i="17"/>
  <c r="K255" i="17"/>
  <c r="K114" i="17"/>
  <c r="K178" i="17"/>
  <c r="K242" i="17"/>
  <c r="K306" i="17"/>
  <c r="L370" i="17"/>
  <c r="K396" i="17"/>
  <c r="K421" i="17"/>
  <c r="L553" i="17"/>
  <c r="K602" i="17"/>
  <c r="L399" i="17"/>
  <c r="L424" i="17"/>
  <c r="L559" i="17"/>
  <c r="L605" i="17"/>
  <c r="L90" i="17"/>
  <c r="L58" i="17"/>
  <c r="L26" i="17"/>
  <c r="K100" i="17"/>
  <c r="K84" i="17"/>
  <c r="K68" i="17"/>
  <c r="K52" i="17"/>
  <c r="K36" i="17"/>
  <c r="K20" i="17"/>
  <c r="K87" i="17"/>
  <c r="K55" i="17"/>
  <c r="K23" i="17"/>
  <c r="K115" i="17"/>
  <c r="L144" i="17"/>
  <c r="L176" i="17"/>
  <c r="L208" i="17"/>
  <c r="L240" i="17"/>
  <c r="L272" i="17"/>
  <c r="L304" i="17"/>
  <c r="L131" i="17"/>
  <c r="L163" i="17"/>
  <c r="L195" i="17"/>
  <c r="L227" i="17"/>
  <c r="L259" i="17"/>
  <c r="L291" i="17"/>
  <c r="K323" i="17"/>
  <c r="K355" i="17"/>
  <c r="K387" i="17"/>
  <c r="K330" i="17"/>
  <c r="K151" i="17"/>
  <c r="K183" i="17"/>
  <c r="K215" i="17"/>
  <c r="K247" i="17"/>
  <c r="K279" i="17"/>
  <c r="K311" i="17"/>
  <c r="K138" i="17"/>
  <c r="K170" i="17"/>
  <c r="K202" i="17"/>
  <c r="K234" i="17"/>
  <c r="K266" i="17"/>
  <c r="K298" i="17"/>
  <c r="L330" i="17"/>
  <c r="L362" i="17"/>
  <c r="L402" i="17"/>
  <c r="K380" i="17"/>
  <c r="K444" i="17"/>
  <c r="K508" i="17"/>
  <c r="K469" i="17"/>
  <c r="L532" i="17"/>
  <c r="K552" i="17"/>
  <c r="L586" i="17"/>
  <c r="L319" i="17"/>
  <c r="L383" i="17"/>
  <c r="L447" i="17"/>
  <c r="L511" i="17"/>
  <c r="L472" i="17"/>
  <c r="K535" i="17"/>
  <c r="K558" i="17"/>
  <c r="K589" i="17"/>
  <c r="K623" i="17"/>
  <c r="L102" i="17"/>
  <c r="L86" i="17"/>
  <c r="L70" i="17"/>
  <c r="L54" i="17"/>
  <c r="L38" i="17"/>
  <c r="L22" i="17"/>
  <c r="K106" i="17"/>
  <c r="K98" i="17"/>
  <c r="K90" i="17"/>
  <c r="K82" i="17"/>
  <c r="K74" i="17"/>
  <c r="K66" i="17"/>
  <c r="K58" i="17"/>
  <c r="K50" i="17"/>
  <c r="K42" i="17"/>
  <c r="K34" i="17"/>
  <c r="K26" i="17"/>
  <c r="L17" i="17"/>
  <c r="K99" i="17"/>
  <c r="K83" i="17"/>
  <c r="K67" i="17"/>
  <c r="K51" i="17"/>
  <c r="K35" i="17"/>
  <c r="K19" i="17"/>
  <c r="L112" i="17"/>
  <c r="L116" i="17"/>
  <c r="L132" i="17"/>
  <c r="L148" i="17"/>
  <c r="L164" i="17"/>
  <c r="L180" i="17"/>
  <c r="L196" i="17"/>
  <c r="L212" i="17"/>
  <c r="L228" i="17"/>
  <c r="L244" i="17"/>
  <c r="L260" i="17"/>
  <c r="L276" i="17"/>
  <c r="L292" i="17"/>
  <c r="L308" i="17"/>
  <c r="L119" i="17"/>
  <c r="L135" i="17"/>
  <c r="L151" i="17"/>
  <c r="L167" i="17"/>
  <c r="L183" i="17"/>
  <c r="L199" i="17"/>
  <c r="L215" i="17"/>
  <c r="L231" i="17"/>
  <c r="L247" i="17"/>
  <c r="L263" i="17"/>
  <c r="L279" i="17"/>
  <c r="L295" i="17"/>
  <c r="L311" i="17"/>
  <c r="K327" i="17"/>
  <c r="K343" i="17"/>
  <c r="K359" i="17"/>
  <c r="K375" i="17"/>
  <c r="K391" i="17"/>
  <c r="L408" i="17"/>
  <c r="K123" i="17"/>
  <c r="K139" i="17"/>
  <c r="K155" i="17"/>
  <c r="K171" i="17"/>
  <c r="K187" i="17"/>
  <c r="K203" i="17"/>
  <c r="K219" i="17"/>
  <c r="K235" i="17"/>
  <c r="K251" i="17"/>
  <c r="K267" i="17"/>
  <c r="K283" i="17"/>
  <c r="K299" i="17"/>
  <c r="K110" i="17"/>
  <c r="K126" i="17"/>
  <c r="K142" i="17"/>
  <c r="K158" i="17"/>
  <c r="K174" i="17"/>
  <c r="K190" i="17"/>
  <c r="K206" i="17"/>
  <c r="K222" i="17"/>
  <c r="K238" i="17"/>
  <c r="K254" i="17"/>
  <c r="K270" i="17"/>
  <c r="K286" i="17"/>
  <c r="K302" i="17"/>
  <c r="L318" i="17"/>
  <c r="L334" i="17"/>
  <c r="L350" i="17"/>
  <c r="L366" i="17"/>
  <c r="L382" i="17"/>
  <c r="L414" i="17"/>
  <c r="K356" i="17"/>
  <c r="K388" i="17"/>
  <c r="K420" i="17"/>
  <c r="K452" i="17"/>
  <c r="K484" i="17"/>
  <c r="K516" i="17"/>
  <c r="K445" i="17"/>
  <c r="K477" i="17"/>
  <c r="K509" i="17"/>
  <c r="L540" i="17"/>
  <c r="K524" i="17"/>
  <c r="K568" i="17"/>
  <c r="L562" i="17"/>
  <c r="L594" i="17"/>
  <c r="K607" i="17"/>
  <c r="L327" i="17"/>
  <c r="L359" i="17"/>
  <c r="L391" i="17"/>
  <c r="L423" i="17"/>
  <c r="L455" i="17"/>
  <c r="L487" i="17"/>
  <c r="K520" i="17"/>
  <c r="L448" i="17"/>
  <c r="L480" i="17"/>
  <c r="L512" i="17"/>
  <c r="K543" i="17"/>
  <c r="L527" i="17"/>
  <c r="K574" i="17"/>
  <c r="K565" i="17"/>
  <c r="L597" i="17"/>
  <c r="C635" i="17"/>
  <c r="L608" i="17"/>
  <c r="L600" i="17"/>
  <c r="L611" i="17"/>
  <c r="L603" i="17"/>
  <c r="L595" i="17"/>
  <c r="K587" i="17"/>
  <c r="K579" i="17"/>
  <c r="K571" i="17"/>
  <c r="K563" i="17"/>
  <c r="K555" i="17"/>
  <c r="K547" i="17"/>
  <c r="K586" i="17"/>
  <c r="K570" i="17"/>
  <c r="K554" i="17"/>
  <c r="L541" i="17"/>
  <c r="L533" i="17"/>
  <c r="K31" i="17"/>
  <c r="K104" i="17"/>
  <c r="K130" i="17"/>
  <c r="K40" i="17"/>
  <c r="L251" i="17"/>
  <c r="K258" i="17"/>
  <c r="L456" i="17"/>
  <c r="K72" i="17"/>
  <c r="L136" i="17"/>
  <c r="L187" i="17"/>
  <c r="K143" i="17"/>
  <c r="K194" i="17"/>
  <c r="K428" i="17"/>
  <c r="L431" i="17"/>
  <c r="L98" i="17"/>
  <c r="K88" i="17"/>
  <c r="K24" i="17"/>
  <c r="K117" i="17"/>
  <c r="L232" i="17"/>
  <c r="L155" i="17"/>
  <c r="L283" i="17"/>
  <c r="L416" i="17"/>
  <c r="K239" i="17"/>
  <c r="K162" i="17"/>
  <c r="K290" i="17"/>
  <c r="K364" i="17"/>
  <c r="K517" i="17"/>
  <c r="L367" i="17"/>
  <c r="K519" i="17"/>
  <c r="K626" i="17"/>
  <c r="L50" i="17"/>
  <c r="K96" i="17"/>
  <c r="K64" i="17"/>
  <c r="K32" i="17"/>
  <c r="K79" i="17"/>
  <c r="K15" i="17"/>
  <c r="L152" i="17"/>
  <c r="L216" i="17"/>
  <c r="L280" i="17"/>
  <c r="L139" i="17"/>
  <c r="L203" i="17"/>
  <c r="L267" i="17"/>
  <c r="K331" i="17"/>
  <c r="K395" i="17"/>
  <c r="K159" i="17"/>
  <c r="K223" i="17"/>
  <c r="K287" i="17"/>
  <c r="K146" i="17"/>
  <c r="K210" i="17"/>
  <c r="K274" i="17"/>
  <c r="L338" i="17"/>
  <c r="K328" i="17"/>
  <c r="K460" i="17"/>
  <c r="K485" i="17"/>
  <c r="K584" i="17"/>
  <c r="L335" i="17"/>
  <c r="L463" i="17"/>
  <c r="L488" i="17"/>
  <c r="K590" i="17"/>
  <c r="L106" i="17"/>
  <c r="L74" i="17"/>
  <c r="L42" i="17"/>
  <c r="K108" i="17"/>
  <c r="K92" i="17"/>
  <c r="K76" i="17"/>
  <c r="K60" i="17"/>
  <c r="K44" i="17"/>
  <c r="K28" i="17"/>
  <c r="K103" i="17"/>
  <c r="K71" i="17"/>
  <c r="K39" i="17"/>
  <c r="K14" i="17"/>
  <c r="L128" i="17"/>
  <c r="L160" i="17"/>
  <c r="L192" i="17"/>
  <c r="L224" i="17"/>
  <c r="L256" i="17"/>
  <c r="L288" i="17"/>
  <c r="L115" i="17"/>
  <c r="L147" i="17"/>
  <c r="L179" i="17"/>
  <c r="L211" i="17"/>
  <c r="L243" i="17"/>
  <c r="L275" i="17"/>
  <c r="L307" i="17"/>
  <c r="K339" i="17"/>
  <c r="K371" i="17"/>
  <c r="K403" i="17"/>
  <c r="K135" i="17"/>
  <c r="K167" i="17"/>
  <c r="K199" i="17"/>
  <c r="K231" i="17"/>
  <c r="K263" i="17"/>
  <c r="K295" i="17"/>
  <c r="K122" i="17"/>
  <c r="K154" i="17"/>
  <c r="K186" i="17"/>
  <c r="K218" i="17"/>
  <c r="K250" i="17"/>
  <c r="K282" i="17"/>
  <c r="K314" i="17"/>
  <c r="L346" i="17"/>
  <c r="L378" i="17"/>
  <c r="K348" i="17"/>
  <c r="K412" i="17"/>
  <c r="K476" i="17"/>
  <c r="K437" i="17"/>
  <c r="K501" i="17"/>
  <c r="L585" i="17"/>
  <c r="L554" i="17"/>
  <c r="K599" i="17"/>
  <c r="L351" i="17"/>
  <c r="L415" i="17"/>
  <c r="L479" i="17"/>
  <c r="L440" i="17"/>
  <c r="L504" i="17"/>
  <c r="L591" i="17"/>
  <c r="K557" i="17"/>
  <c r="L602" i="17"/>
  <c r="L622" i="17"/>
  <c r="L94" i="17"/>
  <c r="L78" i="17"/>
  <c r="L62" i="17"/>
  <c r="L46" i="17"/>
  <c r="L30" i="17"/>
  <c r="L14" i="17"/>
  <c r="K102" i="17"/>
  <c r="K94" i="17"/>
  <c r="K86" i="17"/>
  <c r="K78" i="17"/>
  <c r="K70" i="17"/>
  <c r="K62" i="17"/>
  <c r="K54" i="17"/>
  <c r="K46" i="17"/>
  <c r="K38" i="17"/>
  <c r="K30" i="17"/>
  <c r="K22" i="17"/>
  <c r="K107" i="17"/>
  <c r="K91" i="17"/>
  <c r="K75" i="17"/>
  <c r="K59" i="17"/>
  <c r="K43" i="17"/>
  <c r="K27" i="17"/>
  <c r="K18" i="17"/>
  <c r="K111" i="17"/>
  <c r="L124" i="17"/>
  <c r="L140" i="17"/>
  <c r="L156" i="17"/>
  <c r="L172" i="17"/>
  <c r="L188" i="17"/>
  <c r="L204" i="17"/>
  <c r="L220" i="17"/>
  <c r="L236" i="17"/>
  <c r="L252" i="17"/>
  <c r="L268" i="17"/>
  <c r="L284" i="17"/>
  <c r="L300" i="17"/>
  <c r="L111" i="17"/>
  <c r="L127" i="17"/>
  <c r="L143" i="17"/>
  <c r="L159" i="17"/>
  <c r="L175" i="17"/>
  <c r="L191" i="17"/>
  <c r="L207" i="17"/>
  <c r="L223" i="17"/>
  <c r="L239" i="17"/>
  <c r="L255" i="17"/>
  <c r="L271" i="17"/>
  <c r="L287" i="17"/>
  <c r="L303" i="17"/>
  <c r="K319" i="17"/>
  <c r="K335" i="17"/>
  <c r="K351" i="17"/>
  <c r="K367" i="17"/>
  <c r="K383" i="17"/>
  <c r="K399" i="17"/>
  <c r="K322" i="17"/>
  <c r="K131" i="17"/>
  <c r="K147" i="17"/>
  <c r="K163" i="17"/>
  <c r="K179" i="17"/>
  <c r="K195" i="17"/>
  <c r="K211" i="17"/>
  <c r="K227" i="17"/>
  <c r="K243" i="17"/>
  <c r="K259" i="17"/>
  <c r="K275" i="17"/>
  <c r="K291" i="17"/>
  <c r="K307" i="17"/>
  <c r="K118" i="17"/>
  <c r="K134" i="17"/>
  <c r="K150" i="17"/>
  <c r="K166" i="17"/>
  <c r="K182" i="17"/>
  <c r="K198" i="17"/>
  <c r="K214" i="17"/>
  <c r="K230" i="17"/>
  <c r="K246" i="17"/>
  <c r="K262" i="17"/>
  <c r="K278" i="17"/>
  <c r="K294" i="17"/>
  <c r="K310" i="17"/>
  <c r="L326" i="17"/>
  <c r="L342" i="17"/>
  <c r="L358" i="17"/>
  <c r="L374" i="17"/>
  <c r="L394" i="17"/>
  <c r="K340" i="17"/>
  <c r="K372" i="17"/>
  <c r="K404" i="17"/>
  <c r="K436" i="17"/>
  <c r="K468" i="17"/>
  <c r="K500" i="17"/>
  <c r="K429" i="17"/>
  <c r="K461" i="17"/>
  <c r="K493" i="17"/>
  <c r="L524" i="17"/>
  <c r="L569" i="17"/>
  <c r="K540" i="17"/>
  <c r="L546" i="17"/>
  <c r="L578" i="17"/>
  <c r="K610" i="17"/>
  <c r="K413" i="17"/>
  <c r="L343" i="17"/>
  <c r="L375" i="17"/>
  <c r="L407" i="17"/>
  <c r="L439" i="17"/>
  <c r="L471" i="17"/>
  <c r="L503" i="17"/>
  <c r="L432" i="17"/>
  <c r="L464" i="17"/>
  <c r="L496" i="17"/>
  <c r="K527" i="17"/>
  <c r="L575" i="17"/>
  <c r="L543" i="17"/>
  <c r="K549" i="17"/>
  <c r="K581" i="17"/>
  <c r="L613" i="17"/>
  <c r="L612" i="17"/>
  <c r="L604" i="17"/>
  <c r="L596" i="17"/>
  <c r="L607" i="17"/>
  <c r="L599" i="17"/>
  <c r="K591" i="17"/>
  <c r="K583" i="17"/>
  <c r="K575" i="17"/>
  <c r="K567" i="17"/>
  <c r="K559" i="17"/>
  <c r="K551" i="17"/>
  <c r="K594" i="17"/>
  <c r="K578" i="17"/>
  <c r="K562" i="17"/>
  <c r="K546" i="17"/>
  <c r="L537" i="17"/>
  <c r="L529" i="17"/>
  <c r="L521" i="17"/>
  <c r="L525" i="17"/>
  <c r="L579" i="17"/>
  <c r="L563" i="17"/>
  <c r="L547" i="17"/>
  <c r="K537" i="17"/>
  <c r="K529" i="17"/>
  <c r="K521" i="17"/>
  <c r="L514" i="17"/>
  <c r="L506" i="17"/>
  <c r="L498" i="17"/>
  <c r="L490" i="17"/>
  <c r="L482" i="17"/>
  <c r="L474" i="17"/>
  <c r="L466" i="17"/>
  <c r="L458" i="17"/>
  <c r="L450" i="17"/>
  <c r="L442" i="17"/>
  <c r="L434" i="17"/>
  <c r="L426" i="17"/>
  <c r="L418" i="17"/>
  <c r="L513" i="17"/>
  <c r="L505" i="17"/>
  <c r="L497" i="17"/>
  <c r="L489" i="17"/>
  <c r="L481" i="17"/>
  <c r="L473" i="17"/>
  <c r="L465" i="17"/>
  <c r="L457" i="17"/>
  <c r="L449" i="17"/>
  <c r="L441" i="17"/>
  <c r="L433" i="17"/>
  <c r="L425" i="17"/>
  <c r="L417" i="17"/>
  <c r="L409" i="17"/>
  <c r="L401" i="17"/>
  <c r="L393" i="17"/>
  <c r="L385" i="17"/>
  <c r="L377" i="17"/>
  <c r="L369" i="17"/>
  <c r="L361" i="17"/>
  <c r="L353" i="17"/>
  <c r="L345" i="17"/>
  <c r="L337" i="17"/>
  <c r="L329" i="17"/>
  <c r="L321" i="17"/>
  <c r="K415" i="17"/>
  <c r="K407" i="17"/>
  <c r="K609" i="17"/>
  <c r="K601" i="17"/>
  <c r="K612" i="17"/>
  <c r="K604" i="17"/>
  <c r="K596" i="17"/>
  <c r="L588" i="17"/>
  <c r="L580" i="17"/>
  <c r="L572" i="17"/>
  <c r="L564" i="17"/>
  <c r="L556" i="17"/>
  <c r="L548" i="17"/>
  <c r="K588" i="17"/>
  <c r="K572" i="17"/>
  <c r="K556" i="17"/>
  <c r="K542" i="17"/>
  <c r="K534" i="17"/>
  <c r="K526" i="17"/>
  <c r="L589" i="17"/>
  <c r="L573" i="17"/>
  <c r="L557" i="17"/>
  <c r="L542" i="17"/>
  <c r="L534" i="17"/>
  <c r="L526" i="17"/>
  <c r="L518" i="17"/>
  <c r="K511" i="17"/>
  <c r="K503" i="17"/>
  <c r="K495" i="17"/>
  <c r="K487" i="17"/>
  <c r="K479" i="17"/>
  <c r="K471" i="17"/>
  <c r="K463" i="17"/>
  <c r="K455" i="17"/>
  <c r="K447" i="17"/>
  <c r="K439" i="17"/>
  <c r="K431" i="17"/>
  <c r="K423" i="17"/>
  <c r="K518" i="17"/>
  <c r="K510" i="17"/>
  <c r="K502" i="17"/>
  <c r="K494" i="17"/>
  <c r="K486" i="17"/>
  <c r="K478" i="17"/>
  <c r="K470" i="17"/>
  <c r="K462" i="17"/>
  <c r="K454" i="17"/>
  <c r="K446" i="17"/>
  <c r="K438" i="17"/>
  <c r="K430" i="17"/>
  <c r="K422" i="17"/>
  <c r="K414" i="17"/>
  <c r="K406" i="17"/>
  <c r="K398" i="17"/>
  <c r="K390" i="17"/>
  <c r="K382" i="17"/>
  <c r="K374" i="17"/>
  <c r="K366" i="17"/>
  <c r="K358" i="17"/>
  <c r="K350" i="17"/>
  <c r="K342" i="17"/>
  <c r="K332" i="17"/>
  <c r="K316" i="17"/>
  <c r="L404" i="17"/>
  <c r="L396" i="17"/>
  <c r="L388" i="17"/>
  <c r="L626" i="17"/>
  <c r="L108" i="17"/>
  <c r="L100" i="17"/>
  <c r="L92" i="17"/>
  <c r="L84" i="17"/>
  <c r="L76" i="17"/>
  <c r="L68" i="17"/>
  <c r="L60" i="17"/>
  <c r="L52" i="17"/>
  <c r="L44" i="17"/>
  <c r="L36" i="17"/>
  <c r="L28" i="17"/>
  <c r="L20" i="17"/>
  <c r="L109" i="17"/>
  <c r="L105" i="17"/>
  <c r="L101" i="17"/>
  <c r="L97" i="17"/>
  <c r="L93" i="17"/>
  <c r="L89" i="17"/>
  <c r="L85" i="17"/>
  <c r="L81" i="17"/>
  <c r="L77" i="17"/>
  <c r="L73" i="17"/>
  <c r="L69" i="17"/>
  <c r="L65" i="17"/>
  <c r="L61" i="17"/>
  <c r="L57" i="17"/>
  <c r="L53" i="17"/>
  <c r="L49" i="17"/>
  <c r="L45" i="17"/>
  <c r="L41" i="17"/>
  <c r="L37" i="17"/>
  <c r="L33" i="17"/>
  <c r="L29" i="17"/>
  <c r="L25" i="17"/>
  <c r="L21" i="17"/>
  <c r="L15" i="17"/>
  <c r="K105" i="17"/>
  <c r="K97" i="17"/>
  <c r="K89" i="17"/>
  <c r="K81" i="17"/>
  <c r="K73" i="17"/>
  <c r="K65" i="17"/>
  <c r="K57" i="17"/>
  <c r="K49" i="17"/>
  <c r="K41" i="17"/>
  <c r="K33" i="17"/>
  <c r="K25" i="17"/>
  <c r="K17" i="17"/>
  <c r="K16" i="17"/>
  <c r="L114" i="17"/>
  <c r="K113" i="17"/>
  <c r="L118" i="17"/>
  <c r="L126" i="17"/>
  <c r="L134" i="17"/>
  <c r="L142" i="17"/>
  <c r="L150" i="17"/>
  <c r="L158" i="17"/>
  <c r="L166" i="17"/>
  <c r="L174" i="17"/>
  <c r="L182" i="17"/>
  <c r="L190" i="17"/>
  <c r="L198" i="17"/>
  <c r="L206" i="17"/>
  <c r="L214" i="17"/>
  <c r="L222" i="17"/>
  <c r="L230" i="17"/>
  <c r="L238" i="17"/>
  <c r="L246" i="17"/>
  <c r="L254" i="17"/>
  <c r="L262" i="17"/>
  <c r="L270" i="17"/>
  <c r="L278" i="17"/>
  <c r="L286" i="17"/>
  <c r="L294" i="17"/>
  <c r="L302" i="17"/>
  <c r="L310" i="17"/>
  <c r="L113" i="17"/>
  <c r="L121" i="17"/>
  <c r="L129" i="17"/>
  <c r="L137" i="17"/>
  <c r="L145" i="17"/>
  <c r="L153" i="17"/>
  <c r="L161" i="17"/>
  <c r="L169" i="17"/>
  <c r="L177" i="17"/>
  <c r="L185" i="17"/>
  <c r="L193" i="17"/>
  <c r="L201" i="17"/>
  <c r="L209" i="17"/>
  <c r="L217" i="17"/>
  <c r="L225" i="17"/>
  <c r="L233" i="17"/>
  <c r="L241" i="17"/>
  <c r="L249" i="17"/>
  <c r="L257" i="17"/>
  <c r="L265" i="17"/>
  <c r="L273" i="17"/>
  <c r="L281" i="17"/>
  <c r="L289" i="17"/>
  <c r="L297" i="17"/>
  <c r="L305" i="17"/>
  <c r="L313" i="17"/>
  <c r="K321" i="17"/>
  <c r="K329" i="17"/>
  <c r="K337" i="17"/>
  <c r="K345" i="17"/>
  <c r="K353" i="17"/>
  <c r="K361" i="17"/>
  <c r="K369" i="17"/>
  <c r="K377" i="17"/>
  <c r="K385" i="17"/>
  <c r="K393" i="17"/>
  <c r="K401" i="17"/>
  <c r="L412" i="17"/>
  <c r="K326" i="17"/>
  <c r="K125" i="17"/>
  <c r="K133" i="17"/>
  <c r="K141" i="17"/>
  <c r="K149" i="17"/>
  <c r="K157" i="17"/>
  <c r="K165" i="17"/>
  <c r="K173" i="17"/>
  <c r="K181" i="17"/>
  <c r="K189" i="17"/>
  <c r="K197" i="17"/>
  <c r="K205" i="17"/>
  <c r="K213" i="17"/>
  <c r="K221" i="17"/>
  <c r="K229" i="17"/>
  <c r="K237" i="17"/>
  <c r="K245" i="17"/>
  <c r="K253" i="17"/>
  <c r="K261" i="17"/>
  <c r="K269" i="17"/>
  <c r="K277" i="17"/>
  <c r="K285" i="17"/>
  <c r="K293" i="17"/>
  <c r="K301" i="17"/>
  <c r="K309" i="17"/>
  <c r="K112" i="17"/>
  <c r="K120" i="17"/>
  <c r="K128" i="17"/>
  <c r="K136" i="17"/>
  <c r="K144" i="17"/>
  <c r="K152" i="17"/>
  <c r="K160" i="17"/>
  <c r="K168" i="17"/>
  <c r="K176" i="17"/>
  <c r="K184" i="17"/>
  <c r="K192" i="17"/>
  <c r="K200" i="17"/>
  <c r="K208" i="17"/>
  <c r="K216" i="17"/>
  <c r="K224" i="17"/>
  <c r="K232" i="17"/>
  <c r="K240" i="17"/>
  <c r="K248" i="17"/>
  <c r="K256" i="17"/>
  <c r="K264" i="17"/>
  <c r="K272" i="17"/>
  <c r="K280" i="17"/>
  <c r="K288" i="17"/>
  <c r="K296" i="17"/>
  <c r="K304" i="17"/>
  <c r="K312" i="17"/>
  <c r="L320" i="17"/>
  <c r="L328" i="17"/>
  <c r="L336" i="17"/>
  <c r="L344" i="17"/>
  <c r="L352" i="17"/>
  <c r="L360" i="17"/>
  <c r="L368" i="17"/>
  <c r="L376" i="17"/>
  <c r="L384" i="17"/>
  <c r="L398" i="17"/>
  <c r="K320" i="17"/>
  <c r="K344" i="17"/>
  <c r="K360" i="17"/>
  <c r="K376" i="17"/>
  <c r="K392" i="17"/>
  <c r="K408" i="17"/>
  <c r="K424" i="17"/>
  <c r="K440" i="17"/>
  <c r="K456" i="17"/>
  <c r="K472" i="17"/>
  <c r="K488" i="17"/>
  <c r="K504" i="17"/>
  <c r="K417" i="17"/>
  <c r="K433" i="17"/>
  <c r="K449" i="17"/>
  <c r="K465" i="17"/>
  <c r="K481" i="17"/>
  <c r="K497" i="17"/>
  <c r="K513" i="17"/>
  <c r="L528" i="17"/>
  <c r="L545" i="17"/>
  <c r="L577" i="17"/>
  <c r="K528" i="17"/>
  <c r="K544" i="17"/>
  <c r="K576" i="17"/>
  <c r="L550" i="17"/>
  <c r="L566" i="17"/>
  <c r="L582" i="17"/>
  <c r="K598" i="17"/>
  <c r="K595" i="17"/>
  <c r="K611" i="17"/>
  <c r="L315" i="17"/>
  <c r="L331" i="17"/>
  <c r="L347" i="17"/>
  <c r="L363" i="17"/>
  <c r="L379" i="17"/>
  <c r="L395" i="17"/>
  <c r="L411" i="17"/>
  <c r="L427" i="17"/>
  <c r="L443" i="17"/>
  <c r="L459" i="17"/>
  <c r="L475" i="17"/>
  <c r="L491" i="17"/>
  <c r="L507" i="17"/>
  <c r="L420" i="17"/>
  <c r="L436" i="17"/>
  <c r="L452" i="17"/>
  <c r="L468" i="17"/>
  <c r="L484" i="17"/>
  <c r="L500" i="17"/>
  <c r="L516" i="17"/>
  <c r="K531" i="17"/>
  <c r="L551" i="17"/>
  <c r="L583" i="17"/>
  <c r="L531" i="17"/>
  <c r="K550" i="17"/>
  <c r="K582" i="17"/>
  <c r="K553" i="17"/>
  <c r="K569" i="17"/>
  <c r="K585" i="17"/>
  <c r="L601" i="17"/>
  <c r="L598" i="17"/>
  <c r="A625" i="17"/>
  <c r="L587" i="17"/>
  <c r="L571" i="17"/>
  <c r="L555" i="17"/>
  <c r="K541" i="17"/>
  <c r="K533" i="17"/>
  <c r="K525" i="17"/>
  <c r="L519" i="17"/>
  <c r="L510" i="17"/>
  <c r="L502" i="17"/>
  <c r="L494" i="17"/>
  <c r="L486" i="17"/>
  <c r="L478" i="17"/>
  <c r="L470" i="17"/>
  <c r="L462" i="17"/>
  <c r="L454" i="17"/>
  <c r="L446" i="17"/>
  <c r="L438" i="17"/>
  <c r="L430" i="17"/>
  <c r="L422" i="17"/>
  <c r="L517" i="17"/>
  <c r="L509" i="17"/>
  <c r="L501" i="17"/>
  <c r="L493" i="17"/>
  <c r="L485" i="17"/>
  <c r="L477" i="17"/>
  <c r="L469" i="17"/>
  <c r="L461" i="17"/>
  <c r="L453" i="17"/>
  <c r="L445" i="17"/>
  <c r="L437" i="17"/>
  <c r="L429" i="17"/>
  <c r="L421" i="17"/>
  <c r="L413" i="17"/>
  <c r="L405" i="17"/>
  <c r="L397" i="17"/>
  <c r="L389" i="17"/>
  <c r="L381" i="17"/>
  <c r="L373" i="17"/>
  <c r="L365" i="17"/>
  <c r="L357" i="17"/>
  <c r="L349" i="17"/>
  <c r="L341" i="17"/>
  <c r="L333" i="17"/>
  <c r="L325" i="17"/>
  <c r="L317" i="17"/>
  <c r="K411" i="17"/>
  <c r="K613" i="17"/>
  <c r="K605" i="17"/>
  <c r="K597" i="17"/>
  <c r="K608" i="17"/>
  <c r="K600" i="17"/>
  <c r="L592" i="17"/>
  <c r="L584" i="17"/>
  <c r="L576" i="17"/>
  <c r="L568" i="17"/>
  <c r="L560" i="17"/>
  <c r="L552" i="17"/>
  <c r="L544" i="17"/>
  <c r="K580" i="17"/>
  <c r="K564" i="17"/>
  <c r="K548" i="17"/>
  <c r="K538" i="17"/>
  <c r="K530" i="17"/>
  <c r="K522" i="17"/>
  <c r="L581" i="17"/>
  <c r="L565" i="17"/>
  <c r="L549" i="17"/>
  <c r="L538" i="17"/>
  <c r="L530" i="17"/>
  <c r="L522" i="17"/>
  <c r="K515" i="17"/>
  <c r="K507" i="17"/>
  <c r="K499" i="17"/>
  <c r="K491" i="17"/>
  <c r="K483" i="17"/>
  <c r="K475" i="17"/>
  <c r="K467" i="17"/>
  <c r="K459" i="17"/>
  <c r="K451" i="17"/>
  <c r="K443" i="17"/>
  <c r="K435" i="17"/>
  <c r="K427" i="17"/>
  <c r="K419" i="17"/>
  <c r="K514" i="17"/>
  <c r="K506" i="17"/>
  <c r="K498" i="17"/>
  <c r="K490" i="17"/>
  <c r="K482" i="17"/>
  <c r="K474" i="17"/>
  <c r="K466" i="17"/>
  <c r="K458" i="17"/>
  <c r="K450" i="17"/>
  <c r="K442" i="17"/>
  <c r="K434" i="17"/>
  <c r="K426" i="17"/>
  <c r="K418" i="17"/>
  <c r="K410" i="17"/>
  <c r="K402" i="17"/>
  <c r="K394" i="17"/>
  <c r="K386" i="17"/>
  <c r="K378" i="17"/>
  <c r="K370" i="17"/>
  <c r="K362" i="17"/>
  <c r="K354" i="17"/>
  <c r="K346" i="17"/>
  <c r="K338" i="17"/>
  <c r="K324" i="17"/>
  <c r="L410" i="17"/>
  <c r="L400" i="17"/>
  <c r="L392" i="17"/>
  <c r="L623" i="17"/>
  <c r="K622" i="17"/>
  <c r="L104" i="17"/>
  <c r="L96" i="17"/>
  <c r="L88" i="17"/>
  <c r="L80" i="17"/>
  <c r="L72" i="17"/>
  <c r="L64" i="17"/>
  <c r="L56" i="17"/>
  <c r="L48" i="17"/>
  <c r="L40" i="17"/>
  <c r="L32" i="17"/>
  <c r="L24" i="17"/>
  <c r="L16" i="17"/>
  <c r="L107" i="17"/>
  <c r="L103" i="17"/>
  <c r="L99" i="17"/>
  <c r="L95" i="17"/>
  <c r="L91" i="17"/>
  <c r="L87" i="17"/>
  <c r="L83" i="17"/>
  <c r="L79" i="17"/>
  <c r="L75" i="17"/>
  <c r="L71" i="17"/>
  <c r="L67" i="17"/>
  <c r="L63" i="17"/>
  <c r="L59" i="17"/>
  <c r="L55" i="17"/>
  <c r="L51" i="17"/>
  <c r="L47" i="17"/>
  <c r="L43" i="17"/>
  <c r="L39" i="17"/>
  <c r="L35" i="17"/>
  <c r="L31" i="17"/>
  <c r="L27" i="17"/>
  <c r="L23" i="17"/>
  <c r="L19" i="17"/>
  <c r="K109" i="17"/>
  <c r="K101" i="17"/>
  <c r="K93" i="17"/>
  <c r="K85" i="17"/>
  <c r="K77" i="17"/>
  <c r="K69" i="17"/>
  <c r="K61" i="17"/>
  <c r="K53" i="17"/>
  <c r="K45" i="17"/>
  <c r="K37" i="17"/>
  <c r="K29" i="17"/>
  <c r="K21" i="17"/>
  <c r="K13" i="17"/>
  <c r="L110" i="17"/>
  <c r="K121" i="17"/>
  <c r="K119" i="17"/>
  <c r="L122" i="17"/>
  <c r="L130" i="17"/>
  <c r="L138" i="17"/>
  <c r="L146" i="17"/>
  <c r="L154" i="17"/>
  <c r="L162" i="17"/>
  <c r="L170" i="17"/>
  <c r="L178" i="17"/>
  <c r="L186" i="17"/>
  <c r="L194" i="17"/>
  <c r="L202" i="17"/>
  <c r="L210" i="17"/>
  <c r="L218" i="17"/>
  <c r="L226" i="17"/>
  <c r="L234" i="17"/>
  <c r="L242" i="17"/>
  <c r="L250" i="17"/>
  <c r="L258" i="17"/>
  <c r="L266" i="17"/>
  <c r="L274" i="17"/>
  <c r="L282" i="17"/>
  <c r="L290" i="17"/>
  <c r="L298" i="17"/>
  <c r="L306" i="17"/>
  <c r="L314" i="17"/>
  <c r="L117" i="17"/>
  <c r="L125" i="17"/>
  <c r="L133" i="17"/>
  <c r="L141" i="17"/>
  <c r="L149" i="17"/>
  <c r="L157" i="17"/>
  <c r="L165" i="17"/>
  <c r="L173" i="17"/>
  <c r="L181" i="17"/>
  <c r="L189" i="17"/>
  <c r="L197" i="17"/>
  <c r="L205" i="17"/>
  <c r="L213" i="17"/>
  <c r="L221" i="17"/>
  <c r="L229" i="17"/>
  <c r="L237" i="17"/>
  <c r="L245" i="17"/>
  <c r="L253" i="17"/>
  <c r="L261" i="17"/>
  <c r="L269" i="17"/>
  <c r="L277" i="17"/>
  <c r="L285" i="17"/>
  <c r="L293" i="17"/>
  <c r="L301" i="17"/>
  <c r="L309" i="17"/>
  <c r="K317" i="17"/>
  <c r="K325" i="17"/>
  <c r="K333" i="17"/>
  <c r="K341" i="17"/>
  <c r="K349" i="17"/>
  <c r="K357" i="17"/>
  <c r="K365" i="17"/>
  <c r="K373" i="17"/>
  <c r="K381" i="17"/>
  <c r="K389" i="17"/>
  <c r="K397" i="17"/>
  <c r="K405" i="17"/>
  <c r="K318" i="17"/>
  <c r="K334" i="17"/>
  <c r="K129" i="17"/>
  <c r="K137" i="17"/>
  <c r="K145" i="17"/>
  <c r="K153" i="17"/>
  <c r="K161" i="17"/>
  <c r="K169" i="17"/>
  <c r="K177" i="17"/>
  <c r="K185" i="17"/>
  <c r="K193" i="17"/>
  <c r="K201" i="17"/>
  <c r="K209" i="17"/>
  <c r="K217" i="17"/>
  <c r="K225" i="17"/>
  <c r="K233" i="17"/>
  <c r="K241" i="17"/>
  <c r="K249" i="17"/>
  <c r="K257" i="17"/>
  <c r="K265" i="17"/>
  <c r="K273" i="17"/>
  <c r="K281" i="17"/>
  <c r="K289" i="17"/>
  <c r="K297" i="17"/>
  <c r="K305" i="17"/>
  <c r="K313" i="17"/>
  <c r="K116" i="17"/>
  <c r="K124" i="17"/>
  <c r="K132" i="17"/>
  <c r="K140" i="17"/>
  <c r="K148" i="17"/>
  <c r="K156" i="17"/>
  <c r="K164" i="17"/>
  <c r="K172" i="17"/>
  <c r="K180" i="17"/>
  <c r="K188" i="17"/>
  <c r="K196" i="17"/>
  <c r="K204" i="17"/>
  <c r="K212" i="17"/>
  <c r="K220" i="17"/>
  <c r="K228" i="17"/>
  <c r="K236" i="17"/>
  <c r="K244" i="17"/>
  <c r="K252" i="17"/>
  <c r="K260" i="17"/>
  <c r="K268" i="17"/>
  <c r="K276" i="17"/>
  <c r="K284" i="17"/>
  <c r="K292" i="17"/>
  <c r="K300" i="17"/>
  <c r="K308" i="17"/>
  <c r="L316" i="17"/>
  <c r="L324" i="17"/>
  <c r="L332" i="17"/>
  <c r="L340" i="17"/>
  <c r="L348" i="17"/>
  <c r="L356" i="17"/>
  <c r="L364" i="17"/>
  <c r="L372" i="17"/>
  <c r="L380" i="17"/>
  <c r="L390" i="17"/>
  <c r="L406" i="17"/>
  <c r="K336" i="17"/>
  <c r="K352" i="17"/>
  <c r="K368" i="17"/>
  <c r="K384" i="17"/>
  <c r="K400" i="17"/>
  <c r="K416" i="17"/>
  <c r="K432" i="17"/>
  <c r="K448" i="17"/>
  <c r="K464" i="17"/>
  <c r="K480" i="17"/>
  <c r="K496" i="17"/>
  <c r="K512" i="17"/>
  <c r="K425" i="17"/>
  <c r="K441" i="17"/>
  <c r="K457" i="17"/>
  <c r="K473" i="17"/>
  <c r="K489" i="17"/>
  <c r="K505" i="17"/>
  <c r="L520" i="17"/>
  <c r="L536" i="17"/>
  <c r="L561" i="17"/>
  <c r="L593" i="17"/>
  <c r="K536" i="17"/>
  <c r="K560" i="17"/>
  <c r="K592" i="17"/>
  <c r="L558" i="17"/>
  <c r="L574" i="17"/>
  <c r="L590" i="17"/>
  <c r="K606" i="17"/>
  <c r="K603" i="17"/>
  <c r="K409" i="17"/>
  <c r="L323" i="17"/>
  <c r="L339" i="17"/>
  <c r="L355" i="17"/>
  <c r="L371" i="17"/>
  <c r="L387" i="17"/>
  <c r="L403" i="17"/>
  <c r="L419" i="17"/>
  <c r="L435" i="17"/>
  <c r="L451" i="17"/>
  <c r="L467" i="17"/>
  <c r="L483" i="17"/>
  <c r="L499" i="17"/>
  <c r="L515" i="17"/>
  <c r="L428" i="17"/>
  <c r="L444" i="17"/>
  <c r="L460" i="17"/>
  <c r="L476" i="17"/>
  <c r="L492" i="17"/>
  <c r="L508" i="17"/>
  <c r="K523" i="17"/>
  <c r="K539" i="17"/>
  <c r="L567" i="17"/>
  <c r="L523" i="17"/>
  <c r="L539" i="17"/>
  <c r="K566" i="17"/>
  <c r="K545" i="17"/>
  <c r="K561" i="17"/>
  <c r="K577" i="17"/>
  <c r="K593" i="17"/>
  <c r="L609" i="17"/>
  <c r="L606" i="17"/>
  <c r="M67" i="17"/>
  <c r="M76" i="17"/>
  <c r="M199" i="17"/>
  <c r="N74" i="17"/>
  <c r="M111" i="17"/>
  <c r="N36" i="17"/>
  <c r="N123" i="17"/>
  <c r="N57" i="17"/>
  <c r="N200" i="17"/>
  <c r="N251" i="17"/>
  <c r="M41" i="17"/>
  <c r="M108" i="17"/>
  <c r="M44" i="17"/>
  <c r="M85" i="17"/>
  <c r="N100" i="17"/>
  <c r="Y100" i="17" s="1"/>
  <c r="N89" i="17"/>
  <c r="N25" i="17"/>
  <c r="N136" i="17"/>
  <c r="N264" i="17"/>
  <c r="N187" i="17"/>
  <c r="N341" i="17"/>
  <c r="M315" i="17"/>
  <c r="N469" i="17"/>
  <c r="M379" i="17"/>
  <c r="N405" i="17"/>
  <c r="M495" i="17"/>
  <c r="M555" i="17"/>
  <c r="M431" i="17"/>
  <c r="M570" i="17"/>
  <c r="M251" i="17"/>
  <c r="N110" i="17"/>
  <c r="M81" i="17"/>
  <c r="N106" i="17"/>
  <c r="N42" i="17"/>
  <c r="M92" i="17"/>
  <c r="M60" i="17"/>
  <c r="M28" i="17"/>
  <c r="M175" i="17"/>
  <c r="M99" i="17"/>
  <c r="M35" i="17"/>
  <c r="N68" i="17"/>
  <c r="N105" i="17"/>
  <c r="N73" i="17"/>
  <c r="N41" i="17"/>
  <c r="M123" i="17"/>
  <c r="M189" i="17"/>
  <c r="N168" i="17"/>
  <c r="N232" i="17"/>
  <c r="N296" i="17"/>
  <c r="N155" i="17"/>
  <c r="N219" i="17"/>
  <c r="Y219" i="17" s="1"/>
  <c r="N283" i="17"/>
  <c r="M347" i="17"/>
  <c r="M411" i="17"/>
  <c r="N373" i="17"/>
  <c r="N437" i="17"/>
  <c r="N501" i="17"/>
  <c r="M463" i="17"/>
  <c r="M525" i="17"/>
  <c r="M540" i="17"/>
  <c r="N600" i="17"/>
  <c r="M137" i="17"/>
  <c r="N142" i="17"/>
  <c r="M622" i="17"/>
  <c r="M57" i="17"/>
  <c r="M25" i="17"/>
  <c r="N90" i="17"/>
  <c r="N58" i="17"/>
  <c r="N26" i="17"/>
  <c r="M100" i="17"/>
  <c r="M84" i="17"/>
  <c r="M68" i="17"/>
  <c r="M52" i="17"/>
  <c r="M36" i="17"/>
  <c r="M20" i="17"/>
  <c r="M143" i="17"/>
  <c r="N626" i="17"/>
  <c r="M626" i="17"/>
  <c r="M83" i="17"/>
  <c r="M51" i="17"/>
  <c r="M19" i="17"/>
  <c r="N84" i="17"/>
  <c r="N52" i="17"/>
  <c r="N20" i="17"/>
  <c r="N97" i="17"/>
  <c r="N81" i="17"/>
  <c r="N65" i="17"/>
  <c r="N49" i="17"/>
  <c r="N33" i="17"/>
  <c r="N17" i="17"/>
  <c r="M155" i="17"/>
  <c r="M157" i="17"/>
  <c r="N120" i="17"/>
  <c r="N152" i="17"/>
  <c r="N184" i="17"/>
  <c r="N216" i="17"/>
  <c r="N248" i="17"/>
  <c r="N280" i="17"/>
  <c r="N312" i="17"/>
  <c r="N139" i="17"/>
  <c r="N171" i="17"/>
  <c r="N203" i="17"/>
  <c r="N235" i="17"/>
  <c r="N267" i="17"/>
  <c r="N299" i="17"/>
  <c r="M331" i="17"/>
  <c r="M363" i="17"/>
  <c r="M395" i="17"/>
  <c r="N325" i="17"/>
  <c r="N357" i="17"/>
  <c r="N389" i="17"/>
  <c r="N421" i="17"/>
  <c r="N453" i="17"/>
  <c r="N485" i="17"/>
  <c r="N517" i="17"/>
  <c r="M447" i="17"/>
  <c r="M479" i="17"/>
  <c r="M511" i="17"/>
  <c r="M541" i="17"/>
  <c r="M524" i="17"/>
  <c r="N569" i="17"/>
  <c r="M587" i="17"/>
  <c r="M219" i="17"/>
  <c r="M195" i="17"/>
  <c r="M169" i="17"/>
  <c r="N126" i="17"/>
  <c r="N158" i="17"/>
  <c r="N174" i="17"/>
  <c r="N190" i="17"/>
  <c r="N206" i="17"/>
  <c r="N222" i="17"/>
  <c r="N238" i="17"/>
  <c r="N254" i="17"/>
  <c r="N270" i="17"/>
  <c r="N286" i="17"/>
  <c r="N302" i="17"/>
  <c r="N113" i="17"/>
  <c r="N129" i="17"/>
  <c r="M97" i="17"/>
  <c r="M65" i="17"/>
  <c r="M49" i="17"/>
  <c r="M33" i="17"/>
  <c r="M17" i="17"/>
  <c r="N98" i="17"/>
  <c r="N82" i="17"/>
  <c r="N66" i="17"/>
  <c r="N50" i="17"/>
  <c r="N34" i="17"/>
  <c r="N18" i="17"/>
  <c r="M104" i="17"/>
  <c r="M96" i="17"/>
  <c r="M88" i="17"/>
  <c r="M80" i="17"/>
  <c r="M72" i="17"/>
  <c r="M64" i="17"/>
  <c r="M56" i="17"/>
  <c r="M48" i="17"/>
  <c r="M40" i="17"/>
  <c r="M32" i="17"/>
  <c r="M24" i="17"/>
  <c r="M16" i="17"/>
  <c r="M127" i="17"/>
  <c r="M159" i="17"/>
  <c r="M117" i="17"/>
  <c r="M101" i="17"/>
  <c r="M69" i="17"/>
  <c r="M107" i="17"/>
  <c r="M91" i="17"/>
  <c r="M75" i="17"/>
  <c r="M59" i="17"/>
  <c r="M43" i="17"/>
  <c r="M27" i="17"/>
  <c r="N108" i="17"/>
  <c r="N92" i="17"/>
  <c r="N76" i="17"/>
  <c r="N60" i="17"/>
  <c r="N44" i="17"/>
  <c r="N28" i="17"/>
  <c r="N109" i="17"/>
  <c r="N101" i="17"/>
  <c r="N93" i="17"/>
  <c r="N85" i="17"/>
  <c r="N77" i="17"/>
  <c r="N69" i="17"/>
  <c r="N61" i="17"/>
  <c r="N53" i="17"/>
  <c r="N45" i="17"/>
  <c r="N37" i="17"/>
  <c r="N29" i="17"/>
  <c r="N21" i="17"/>
  <c r="N13" i="17"/>
  <c r="M139" i="17"/>
  <c r="M171" i="17"/>
  <c r="M141" i="17"/>
  <c r="M173" i="17"/>
  <c r="N112" i="17"/>
  <c r="N128" i="17"/>
  <c r="N144" i="17"/>
  <c r="N160" i="17"/>
  <c r="Y160" i="17" s="1"/>
  <c r="N176" i="17"/>
  <c r="N192" i="17"/>
  <c r="N208" i="17"/>
  <c r="N224" i="17"/>
  <c r="N240" i="17"/>
  <c r="N256" i="17"/>
  <c r="N272" i="17"/>
  <c r="N288" i="17"/>
  <c r="N304" i="17"/>
  <c r="N115" i="17"/>
  <c r="N131" i="17"/>
  <c r="N147" i="17"/>
  <c r="N163" i="17"/>
  <c r="N179" i="17"/>
  <c r="N195" i="17"/>
  <c r="N211" i="17"/>
  <c r="N227" i="17"/>
  <c r="N243" i="17"/>
  <c r="N259" i="17"/>
  <c r="N275" i="17"/>
  <c r="N291" i="17"/>
  <c r="N307" i="17"/>
  <c r="M323" i="17"/>
  <c r="M339" i="17"/>
  <c r="X339" i="17" s="1"/>
  <c r="M355" i="17"/>
  <c r="M371" i="17"/>
  <c r="M387" i="17"/>
  <c r="M403" i="17"/>
  <c r="N317" i="17"/>
  <c r="N333" i="17"/>
  <c r="N349" i="17"/>
  <c r="N365" i="17"/>
  <c r="N381" i="17"/>
  <c r="N397" i="17"/>
  <c r="N413" i="17"/>
  <c r="N429" i="17"/>
  <c r="N445" i="17"/>
  <c r="N461" i="17"/>
  <c r="N477" i="17"/>
  <c r="N493" i="17"/>
  <c r="N509" i="17"/>
  <c r="M423" i="17"/>
  <c r="M439" i="17"/>
  <c r="M455" i="17"/>
  <c r="M471" i="17"/>
  <c r="M487" i="17"/>
  <c r="M503" i="17"/>
  <c r="M520" i="17"/>
  <c r="M533" i="17"/>
  <c r="M554" i="17"/>
  <c r="M586" i="17"/>
  <c r="M532" i="17"/>
  <c r="N553" i="17"/>
  <c r="N585" i="17"/>
  <c r="M571" i="17"/>
  <c r="N603" i="17"/>
  <c r="M203" i="17"/>
  <c r="M235" i="17"/>
  <c r="M179" i="17"/>
  <c r="M121" i="17"/>
  <c r="M153" i="17"/>
  <c r="M185" i="17"/>
  <c r="N118" i="17"/>
  <c r="N134" i="17"/>
  <c r="N150" i="17"/>
  <c r="N166" i="17"/>
  <c r="N182" i="17"/>
  <c r="N198" i="17"/>
  <c r="N214" i="17"/>
  <c r="N230" i="17"/>
  <c r="N246" i="17"/>
  <c r="N262" i="17"/>
  <c r="N278" i="17"/>
  <c r="N294" i="17"/>
  <c r="N310" i="17"/>
  <c r="N121" i="17"/>
  <c r="N137" i="17"/>
  <c r="N145" i="17"/>
  <c r="N153" i="17"/>
  <c r="N161" i="17"/>
  <c r="N169" i="17"/>
  <c r="N177" i="17"/>
  <c r="N185" i="17"/>
  <c r="N193" i="17"/>
  <c r="N201" i="17"/>
  <c r="N209" i="17"/>
  <c r="N217" i="17"/>
  <c r="N225" i="17"/>
  <c r="N233" i="17"/>
  <c r="N241" i="17"/>
  <c r="N249" i="17"/>
  <c r="N257" i="17"/>
  <c r="N265" i="17"/>
  <c r="N273" i="17"/>
  <c r="N281" i="17"/>
  <c r="N289" i="17"/>
  <c r="N297" i="17"/>
  <c r="N305" i="17"/>
  <c r="N313" i="17"/>
  <c r="M321" i="17"/>
  <c r="M329" i="17"/>
  <c r="M345" i="17"/>
  <c r="M361" i="17"/>
  <c r="M377" i="17"/>
  <c r="M393" i="17"/>
  <c r="M409" i="17"/>
  <c r="N323" i="17"/>
  <c r="N339" i="17"/>
  <c r="N355" i="17"/>
  <c r="N371" i="17"/>
  <c r="N387" i="17"/>
  <c r="N403" i="17"/>
  <c r="N419" i="17"/>
  <c r="N435" i="17"/>
  <c r="N451" i="17"/>
  <c r="N467" i="17"/>
  <c r="N483" i="17"/>
  <c r="N499" i="17"/>
  <c r="N515" i="17"/>
  <c r="M429" i="17"/>
  <c r="M445" i="17"/>
  <c r="M461" i="17"/>
  <c r="M477" i="17"/>
  <c r="M493" i="17"/>
  <c r="M509" i="17"/>
  <c r="M523" i="17"/>
  <c r="M539" i="17"/>
  <c r="M566" i="17"/>
  <c r="M522" i="17"/>
  <c r="M538" i="17"/>
  <c r="N565" i="17"/>
  <c r="M551" i="17"/>
  <c r="M583" i="17"/>
  <c r="N596" i="17"/>
  <c r="M215" i="17"/>
  <c r="M247" i="17"/>
  <c r="M271" i="17"/>
  <c r="M287" i="17"/>
  <c r="M303" i="17"/>
  <c r="M114" i="17"/>
  <c r="M130" i="17"/>
  <c r="M146" i="17"/>
  <c r="M162" i="17"/>
  <c r="M178" i="17"/>
  <c r="M194" i="17"/>
  <c r="M210" i="17"/>
  <c r="M226" i="17"/>
  <c r="M242" i="17"/>
  <c r="M258" i="17"/>
  <c r="M274" i="17"/>
  <c r="M290" i="17"/>
  <c r="M306" i="17"/>
  <c r="N322" i="17"/>
  <c r="N338" i="17"/>
  <c r="N354" i="17"/>
  <c r="N370" i="17"/>
  <c r="N386" i="17"/>
  <c r="N402" i="17"/>
  <c r="M316" i="17"/>
  <c r="M332" i="17"/>
  <c r="M348" i="17"/>
  <c r="M364" i="17"/>
  <c r="M380" i="17"/>
  <c r="M396" i="17"/>
  <c r="M412" i="17"/>
  <c r="M428" i="17"/>
  <c r="M444" i="17"/>
  <c r="M460" i="17"/>
  <c r="M476" i="17"/>
  <c r="M492" i="17"/>
  <c r="M508" i="17"/>
  <c r="N422" i="17"/>
  <c r="N438" i="17"/>
  <c r="N454" i="17"/>
  <c r="N470" i="17"/>
  <c r="N486" i="17"/>
  <c r="N502" i="17"/>
  <c r="M518" i="17"/>
  <c r="N532" i="17"/>
  <c r="M552" i="17"/>
  <c r="M584" i="17"/>
  <c r="N531" i="17"/>
  <c r="N551" i="17"/>
  <c r="N583" i="17"/>
  <c r="N554" i="17"/>
  <c r="N570" i="17"/>
  <c r="N586" i="17"/>
  <c r="M602" i="17"/>
  <c r="M599" i="17"/>
  <c r="N589" i="17"/>
  <c r="M557" i="17"/>
  <c r="M573" i="17"/>
  <c r="M589" i="17"/>
  <c r="N605" i="17"/>
  <c r="N602" i="17"/>
  <c r="M205" i="17"/>
  <c r="M221" i="17"/>
  <c r="M237" i="17"/>
  <c r="M253" i="17"/>
  <c r="M269" i="17"/>
  <c r="M285" i="17"/>
  <c r="M301" i="17"/>
  <c r="M112" i="17"/>
  <c r="M128" i="17"/>
  <c r="M144" i="17"/>
  <c r="M168" i="17"/>
  <c r="M200" i="17"/>
  <c r="M232" i="17"/>
  <c r="M264" i="17"/>
  <c r="M296" i="17"/>
  <c r="N328" i="17"/>
  <c r="N360" i="17"/>
  <c r="N392" i="17"/>
  <c r="M322" i="17"/>
  <c r="M354" i="17"/>
  <c r="M386" i="17"/>
  <c r="M418" i="17"/>
  <c r="M450" i="17"/>
  <c r="M482" i="17"/>
  <c r="M514" i="17"/>
  <c r="N444" i="17"/>
  <c r="N476" i="17"/>
  <c r="N508" i="17"/>
  <c r="N538" i="17"/>
  <c r="N521" i="17"/>
  <c r="N563" i="17"/>
  <c r="N560" i="17"/>
  <c r="M613" i="17"/>
  <c r="M597" i="17"/>
  <c r="M600" i="17"/>
  <c r="N584" i="17"/>
  <c r="N568" i="17"/>
  <c r="N552" i="17"/>
  <c r="N579" i="17"/>
  <c r="N547" i="17"/>
  <c r="N529" i="17"/>
  <c r="M580" i="17"/>
  <c r="M548" i="17"/>
  <c r="N530" i="17"/>
  <c r="N516" i="17"/>
  <c r="N500" i="17"/>
  <c r="N484" i="17"/>
  <c r="N468" i="17"/>
  <c r="N452" i="17"/>
  <c r="N436" i="17"/>
  <c r="N420" i="17"/>
  <c r="M506" i="17"/>
  <c r="M490" i="17"/>
  <c r="M474" i="17"/>
  <c r="M458" i="17"/>
  <c r="M442" i="17"/>
  <c r="M426" i="17"/>
  <c r="M410" i="17"/>
  <c r="M394" i="17"/>
  <c r="M378" i="17"/>
  <c r="M362" i="17"/>
  <c r="M346" i="17"/>
  <c r="M330" i="17"/>
  <c r="N416" i="17"/>
  <c r="N400" i="17"/>
  <c r="N384" i="17"/>
  <c r="N368" i="17"/>
  <c r="N352" i="17"/>
  <c r="N336" i="17"/>
  <c r="N320" i="17"/>
  <c r="M304" i="17"/>
  <c r="M288" i="17"/>
  <c r="M272" i="17"/>
  <c r="M256" i="17"/>
  <c r="M240" i="17"/>
  <c r="M224" i="17"/>
  <c r="M208" i="17"/>
  <c r="M192" i="17"/>
  <c r="M176" i="17"/>
  <c r="M160" i="17"/>
  <c r="M148" i="17"/>
  <c r="M140" i="17"/>
  <c r="M132" i="17"/>
  <c r="M124" i="17"/>
  <c r="M116" i="17"/>
  <c r="M313" i="17"/>
  <c r="M305" i="17"/>
  <c r="M297" i="17"/>
  <c r="M289" i="17"/>
  <c r="M281" i="17"/>
  <c r="M273" i="17"/>
  <c r="M265" i="17"/>
  <c r="M257" i="17"/>
  <c r="M249" i="17"/>
  <c r="M241" i="17"/>
  <c r="M233" i="17"/>
  <c r="M225" i="17"/>
  <c r="M217" i="17"/>
  <c r="M209" i="17"/>
  <c r="M201" i="17"/>
  <c r="N606" i="17"/>
  <c r="N598" i="17"/>
  <c r="N609" i="17"/>
  <c r="N601" i="17"/>
  <c r="M593" i="17"/>
  <c r="M585" i="17"/>
  <c r="M577" i="17"/>
  <c r="M569" i="17"/>
  <c r="M561" i="17"/>
  <c r="M553" i="17"/>
  <c r="M545" i="17"/>
  <c r="M611" i="17"/>
  <c r="M603" i="17"/>
  <c r="M595" i="17"/>
  <c r="M606" i="17"/>
  <c r="M598" i="17"/>
  <c r="N590" i="17"/>
  <c r="N582" i="17"/>
  <c r="N574" i="17"/>
  <c r="N566" i="17"/>
  <c r="N558" i="17"/>
  <c r="N550" i="17"/>
  <c r="N591" i="17"/>
  <c r="N575" i="17"/>
  <c r="N559" i="17"/>
  <c r="N543" i="17"/>
  <c r="N535" i="17"/>
  <c r="N527" i="17"/>
  <c r="M592" i="17"/>
  <c r="M576" i="17"/>
  <c r="M560" i="17"/>
  <c r="M544" i="17"/>
  <c r="N536" i="17"/>
  <c r="N528" i="17"/>
  <c r="N520" i="17"/>
  <c r="N514" i="17"/>
  <c r="N506" i="17"/>
  <c r="N498" i="17"/>
  <c r="N490" i="17"/>
  <c r="N482" i="17"/>
  <c r="N474" i="17"/>
  <c r="N466" i="17"/>
  <c r="N458" i="17"/>
  <c r="N450" i="17"/>
  <c r="N442" i="17"/>
  <c r="N434" i="17"/>
  <c r="N426" i="17"/>
  <c r="N418" i="17"/>
  <c r="M512" i="17"/>
  <c r="M504" i="17"/>
  <c r="M496" i="17"/>
  <c r="M488" i="17"/>
  <c r="M480" i="17"/>
  <c r="M472" i="17"/>
  <c r="M464" i="17"/>
  <c r="M456" i="17"/>
  <c r="M448" i="17"/>
  <c r="M440" i="17"/>
  <c r="M432" i="17"/>
  <c r="M424" i="17"/>
  <c r="M416" i="17"/>
  <c r="M408" i="17"/>
  <c r="M400" i="17"/>
  <c r="M392" i="17"/>
  <c r="M384" i="17"/>
  <c r="M376" i="17"/>
  <c r="M368" i="17"/>
  <c r="M360" i="17"/>
  <c r="M352" i="17"/>
  <c r="M344" i="17"/>
  <c r="M336" i="17"/>
  <c r="M328" i="17"/>
  <c r="M320" i="17"/>
  <c r="N414" i="17"/>
  <c r="N406" i="17"/>
  <c r="N398" i="17"/>
  <c r="N390" i="17"/>
  <c r="N382" i="17"/>
  <c r="N374" i="17"/>
  <c r="N366" i="17"/>
  <c r="N358" i="17"/>
  <c r="N350" i="17"/>
  <c r="N342" i="17"/>
  <c r="N334" i="17"/>
  <c r="N326" i="17"/>
  <c r="N318" i="17"/>
  <c r="M310" i="17"/>
  <c r="M302" i="17"/>
  <c r="M294" i="17"/>
  <c r="M286" i="17"/>
  <c r="M278" i="17"/>
  <c r="M270" i="17"/>
  <c r="M262" i="17"/>
  <c r="M254" i="17"/>
  <c r="M246" i="17"/>
  <c r="M238" i="17"/>
  <c r="M230" i="17"/>
  <c r="M222" i="17"/>
  <c r="M214" i="17"/>
  <c r="M206" i="17"/>
  <c r="M198" i="17"/>
  <c r="M190" i="17"/>
  <c r="M182" i="17"/>
  <c r="M174" i="17"/>
  <c r="M166" i="17"/>
  <c r="M158" i="17"/>
  <c r="M150" i="17"/>
  <c r="M142" i="17"/>
  <c r="M134" i="17"/>
  <c r="M126" i="17"/>
  <c r="M118" i="17"/>
  <c r="M110" i="17"/>
  <c r="M307" i="17"/>
  <c r="M299" i="17"/>
  <c r="M291" i="17"/>
  <c r="M283" i="17"/>
  <c r="M275" i="17"/>
  <c r="M267" i="17"/>
  <c r="M255" i="17"/>
  <c r="M239" i="17"/>
  <c r="M223" i="17"/>
  <c r="M207" i="17"/>
  <c r="N604" i="17"/>
  <c r="N607" i="17"/>
  <c r="M591" i="17"/>
  <c r="M575" i="17"/>
  <c r="M559" i="17"/>
  <c r="N593" i="17"/>
  <c r="N573" i="17"/>
  <c r="N557" i="17"/>
  <c r="M542" i="17"/>
  <c r="M534" i="17"/>
  <c r="M526" i="17"/>
  <c r="M590" i="17"/>
  <c r="M574" i="17"/>
  <c r="M558" i="17"/>
  <c r="M543" i="17"/>
  <c r="M535" i="17"/>
  <c r="M527" i="17"/>
  <c r="M519" i="17"/>
  <c r="M513" i="17"/>
  <c r="M505" i="17"/>
  <c r="M497" i="17"/>
  <c r="M489" i="17"/>
  <c r="M481" i="17"/>
  <c r="M473" i="17"/>
  <c r="M465" i="17"/>
  <c r="M457" i="17"/>
  <c r="M449" i="17"/>
  <c r="M441" i="17"/>
  <c r="M433" i="17"/>
  <c r="M425" i="17"/>
  <c r="M417" i="17"/>
  <c r="N511" i="17"/>
  <c r="N503" i="17"/>
  <c r="N495" i="17"/>
  <c r="N487" i="17"/>
  <c r="N479" i="17"/>
  <c r="N471" i="17"/>
  <c r="N463" i="17"/>
  <c r="N455" i="17"/>
  <c r="N447" i="17"/>
  <c r="N439" i="17"/>
  <c r="N431" i="17"/>
  <c r="N423" i="17"/>
  <c r="N415" i="17"/>
  <c r="N407" i="17"/>
  <c r="N399" i="17"/>
  <c r="N391" i="17"/>
  <c r="N383" i="17"/>
  <c r="N375" i="17"/>
  <c r="N367" i="17"/>
  <c r="N359" i="17"/>
  <c r="N351" i="17"/>
  <c r="N343" i="17"/>
  <c r="N335" i="17"/>
  <c r="N327" i="17"/>
  <c r="N319" i="17"/>
  <c r="M413" i="17"/>
  <c r="M405" i="17"/>
  <c r="M397" i="17"/>
  <c r="M389" i="17"/>
  <c r="M381" i="17"/>
  <c r="M373" i="17"/>
  <c r="M365" i="17"/>
  <c r="X365" i="17" s="1"/>
  <c r="M357" i="17"/>
  <c r="M349" i="17"/>
  <c r="M341" i="17"/>
  <c r="M333" i="17"/>
  <c r="N623" i="17"/>
  <c r="M105" i="17"/>
  <c r="M89" i="17"/>
  <c r="M73" i="17"/>
  <c r="M61" i="17"/>
  <c r="M53" i="17"/>
  <c r="M45" i="17"/>
  <c r="M37" i="17"/>
  <c r="M29" i="17"/>
  <c r="M21" i="17"/>
  <c r="M13" i="17"/>
  <c r="N102" i="17"/>
  <c r="N94" i="17"/>
  <c r="N86" i="17"/>
  <c r="N78" i="17"/>
  <c r="N70" i="17"/>
  <c r="N62" i="17"/>
  <c r="N54" i="17"/>
  <c r="N46" i="17"/>
  <c r="N38" i="17"/>
  <c r="N30" i="17"/>
  <c r="N22" i="17"/>
  <c r="N14" i="17"/>
  <c r="M106" i="17"/>
  <c r="M102" i="17"/>
  <c r="M98" i="17"/>
  <c r="M94" i="17"/>
  <c r="M90" i="17"/>
  <c r="M86" i="17"/>
  <c r="M82" i="17"/>
  <c r="M78" i="17"/>
  <c r="M74" i="17"/>
  <c r="M70" i="17"/>
  <c r="M66" i="17"/>
  <c r="M62" i="17"/>
  <c r="M58" i="17"/>
  <c r="M54" i="17"/>
  <c r="M50" i="17"/>
  <c r="M46" i="17"/>
  <c r="M42" i="17"/>
  <c r="M38" i="17"/>
  <c r="M34" i="17"/>
  <c r="M30" i="17"/>
  <c r="M26" i="17"/>
  <c r="M22" i="17"/>
  <c r="M18" i="17"/>
  <c r="M14" i="17"/>
  <c r="M119" i="17"/>
  <c r="M135" i="17"/>
  <c r="M151" i="17"/>
  <c r="M167" i="17"/>
  <c r="M191" i="17"/>
  <c r="M133" i="17"/>
  <c r="M109" i="17"/>
  <c r="M93" i="17"/>
  <c r="M77" i="17"/>
  <c r="M623" i="17"/>
  <c r="N622" i="17"/>
  <c r="M103" i="17"/>
  <c r="M95" i="17"/>
  <c r="M87" i="17"/>
  <c r="M79" i="17"/>
  <c r="M71" i="17"/>
  <c r="M63" i="17"/>
  <c r="M55" i="17"/>
  <c r="M47" i="17"/>
  <c r="M39" i="17"/>
  <c r="M31" i="17"/>
  <c r="M23" i="17"/>
  <c r="M15" i="17"/>
  <c r="N104" i="17"/>
  <c r="N96" i="17"/>
  <c r="N88" i="17"/>
  <c r="N80" i="17"/>
  <c r="N72" i="17"/>
  <c r="N64" i="17"/>
  <c r="N56" i="17"/>
  <c r="N48" i="17"/>
  <c r="N40" i="17"/>
  <c r="N32" i="17"/>
  <c r="N24" i="17"/>
  <c r="N16" i="17"/>
  <c r="N107" i="17"/>
  <c r="N103" i="17"/>
  <c r="N99" i="17"/>
  <c r="N95" i="17"/>
  <c r="N91" i="17"/>
  <c r="N87" i="17"/>
  <c r="N83" i="17"/>
  <c r="N79" i="17"/>
  <c r="N75" i="17"/>
  <c r="N71" i="17"/>
  <c r="N67" i="17"/>
  <c r="N63" i="17"/>
  <c r="N59" i="17"/>
  <c r="N55" i="17"/>
  <c r="N51" i="17"/>
  <c r="N47" i="17"/>
  <c r="N43" i="17"/>
  <c r="N39" i="17"/>
  <c r="N35" i="17"/>
  <c r="N31" i="17"/>
  <c r="N27" i="17"/>
  <c r="N23" i="17"/>
  <c r="N19" i="17"/>
  <c r="N15" i="17"/>
  <c r="M115" i="17"/>
  <c r="M131" i="17"/>
  <c r="M147" i="17"/>
  <c r="M163" i="17"/>
  <c r="M183" i="17"/>
  <c r="M125" i="17"/>
  <c r="M149" i="17"/>
  <c r="M165" i="17"/>
  <c r="M181" i="17"/>
  <c r="M197" i="17"/>
  <c r="N116" i="17"/>
  <c r="N124" i="17"/>
  <c r="N132" i="17"/>
  <c r="N140" i="17"/>
  <c r="N148" i="17"/>
  <c r="N156" i="17"/>
  <c r="N164" i="17"/>
  <c r="N172" i="17"/>
  <c r="N180" i="17"/>
  <c r="N188" i="17"/>
  <c r="N196" i="17"/>
  <c r="N204" i="17"/>
  <c r="N212" i="17"/>
  <c r="N220" i="17"/>
  <c r="N228" i="17"/>
  <c r="N236" i="17"/>
  <c r="N244" i="17"/>
  <c r="N252" i="17"/>
  <c r="N260" i="17"/>
  <c r="N268" i="17"/>
  <c r="N276" i="17"/>
  <c r="N284" i="17"/>
  <c r="N292" i="17"/>
  <c r="N300" i="17"/>
  <c r="N308" i="17"/>
  <c r="N111" i="17"/>
  <c r="N119" i="17"/>
  <c r="N127" i="17"/>
  <c r="N135" i="17"/>
  <c r="N143" i="17"/>
  <c r="N151" i="17"/>
  <c r="N159" i="17"/>
  <c r="N167" i="17"/>
  <c r="N175" i="17"/>
  <c r="N183" i="17"/>
  <c r="N191" i="17"/>
  <c r="N199" i="17"/>
  <c r="N207" i="17"/>
  <c r="N215" i="17"/>
  <c r="N223" i="17"/>
  <c r="N231" i="17"/>
  <c r="N239" i="17"/>
  <c r="N247" i="17"/>
  <c r="N255" i="17"/>
  <c r="N263" i="17"/>
  <c r="N271" i="17"/>
  <c r="N279" i="17"/>
  <c r="N287" i="17"/>
  <c r="N295" i="17"/>
  <c r="N303" i="17"/>
  <c r="N311" i="17"/>
  <c r="M319" i="17"/>
  <c r="M327" i="17"/>
  <c r="M335" i="17"/>
  <c r="M343" i="17"/>
  <c r="M351" i="17"/>
  <c r="M359" i="17"/>
  <c r="M367" i="17"/>
  <c r="M375" i="17"/>
  <c r="M383" i="17"/>
  <c r="M391" i="17"/>
  <c r="M399" i="17"/>
  <c r="M407" i="17"/>
  <c r="M415" i="17"/>
  <c r="N321" i="17"/>
  <c r="N329" i="17"/>
  <c r="N337" i="17"/>
  <c r="N345" i="17"/>
  <c r="N353" i="17"/>
  <c r="N361" i="17"/>
  <c r="N369" i="17"/>
  <c r="N377" i="17"/>
  <c r="N385" i="17"/>
  <c r="N393" i="17"/>
  <c r="N401" i="17"/>
  <c r="N409" i="17"/>
  <c r="N417" i="17"/>
  <c r="N425" i="17"/>
  <c r="N433" i="17"/>
  <c r="N441" i="17"/>
  <c r="N449" i="17"/>
  <c r="N457" i="17"/>
  <c r="N465" i="17"/>
  <c r="N473" i="17"/>
  <c r="N481" i="17"/>
  <c r="N489" i="17"/>
  <c r="N497" i="17"/>
  <c r="N505" i="17"/>
  <c r="N513" i="17"/>
  <c r="M419" i="17"/>
  <c r="M427" i="17"/>
  <c r="M435" i="17"/>
  <c r="M443" i="17"/>
  <c r="M451" i="17"/>
  <c r="M459" i="17"/>
  <c r="M467" i="17"/>
  <c r="M475" i="17"/>
  <c r="M483" i="17"/>
  <c r="M491" i="17"/>
  <c r="M499" i="17"/>
  <c r="M507" i="17"/>
  <c r="M515" i="17"/>
  <c r="M521" i="17"/>
  <c r="M529" i="17"/>
  <c r="M537" i="17"/>
  <c r="M546" i="17"/>
  <c r="M562" i="17"/>
  <c r="M578" i="17"/>
  <c r="M594" i="17"/>
  <c r="M528" i="17"/>
  <c r="M536" i="17"/>
  <c r="N545" i="17"/>
  <c r="N561" i="17"/>
  <c r="N577" i="17"/>
  <c r="M547" i="17"/>
  <c r="M563" i="17"/>
  <c r="M579" i="17"/>
  <c r="N595" i="17"/>
  <c r="N611" i="17"/>
  <c r="N608" i="17"/>
  <c r="M211" i="17"/>
  <c r="M227" i="17"/>
  <c r="M243" i="17"/>
  <c r="M259" i="17"/>
  <c r="M187" i="17"/>
  <c r="M113" i="17"/>
  <c r="M129" i="17"/>
  <c r="M145" i="17"/>
  <c r="M161" i="17"/>
  <c r="M177" i="17"/>
  <c r="M193" i="17"/>
  <c r="N114" i="17"/>
  <c r="N122" i="17"/>
  <c r="N130" i="17"/>
  <c r="N138" i="17"/>
  <c r="N146" i="17"/>
  <c r="N154" i="17"/>
  <c r="N162" i="17"/>
  <c r="N170" i="17"/>
  <c r="N178" i="17"/>
  <c r="N186" i="17"/>
  <c r="N194" i="17"/>
  <c r="N202" i="17"/>
  <c r="N210" i="17"/>
  <c r="N218" i="17"/>
  <c r="N226" i="17"/>
  <c r="N234" i="17"/>
  <c r="N242" i="17"/>
  <c r="N250" i="17"/>
  <c r="N258" i="17"/>
  <c r="N266" i="17"/>
  <c r="N274" i="17"/>
  <c r="N282" i="17"/>
  <c r="N290" i="17"/>
  <c r="N298" i="17"/>
  <c r="N306" i="17"/>
  <c r="N314" i="17"/>
  <c r="N117" i="17"/>
  <c r="N125" i="17"/>
  <c r="N133" i="17"/>
  <c r="N141" i="17"/>
  <c r="N149" i="17"/>
  <c r="N157" i="17"/>
  <c r="N165" i="17"/>
  <c r="N173" i="17"/>
  <c r="N181" i="17"/>
  <c r="N189" i="17"/>
  <c r="N197" i="17"/>
  <c r="N205" i="17"/>
  <c r="N213" i="17"/>
  <c r="N221" i="17"/>
  <c r="N229" i="17"/>
  <c r="N237" i="17"/>
  <c r="N245" i="17"/>
  <c r="N253" i="17"/>
  <c r="N261" i="17"/>
  <c r="N269" i="17"/>
  <c r="N277" i="17"/>
  <c r="N285" i="17"/>
  <c r="N293" i="17"/>
  <c r="N301" i="17"/>
  <c r="N309" i="17"/>
  <c r="M317" i="17"/>
  <c r="M325" i="17"/>
  <c r="M337" i="17"/>
  <c r="M353" i="17"/>
  <c r="M369" i="17"/>
  <c r="M385" i="17"/>
  <c r="M401" i="17"/>
  <c r="N315" i="17"/>
  <c r="N331" i="17"/>
  <c r="N347" i="17"/>
  <c r="N363" i="17"/>
  <c r="N379" i="17"/>
  <c r="N395" i="17"/>
  <c r="N411" i="17"/>
  <c r="N427" i="17"/>
  <c r="N443" i="17"/>
  <c r="N459" i="17"/>
  <c r="N475" i="17"/>
  <c r="N491" i="17"/>
  <c r="N507" i="17"/>
  <c r="M421" i="17"/>
  <c r="M437" i="17"/>
  <c r="M453" i="17"/>
  <c r="M469" i="17"/>
  <c r="M485" i="17"/>
  <c r="M501" i="17"/>
  <c r="M517" i="17"/>
  <c r="M531" i="17"/>
  <c r="M550" i="17"/>
  <c r="M582" i="17"/>
  <c r="M530" i="17"/>
  <c r="N549" i="17"/>
  <c r="N581" i="17"/>
  <c r="M567" i="17"/>
  <c r="N599" i="17"/>
  <c r="N612" i="17"/>
  <c r="M231" i="17"/>
  <c r="M263" i="17"/>
  <c r="M279" i="17"/>
  <c r="M295" i="17"/>
  <c r="M311" i="17"/>
  <c r="M122" i="17"/>
  <c r="M138" i="17"/>
  <c r="M154" i="17"/>
  <c r="M170" i="17"/>
  <c r="M186" i="17"/>
  <c r="M202" i="17"/>
  <c r="M218" i="17"/>
  <c r="M234" i="17"/>
  <c r="M250" i="17"/>
  <c r="M266" i="17"/>
  <c r="M282" i="17"/>
  <c r="M298" i="17"/>
  <c r="M314" i="17"/>
  <c r="N330" i="17"/>
  <c r="N346" i="17"/>
  <c r="N362" i="17"/>
  <c r="N378" i="17"/>
  <c r="N394" i="17"/>
  <c r="N410" i="17"/>
  <c r="M324" i="17"/>
  <c r="M340" i="17"/>
  <c r="M356" i="17"/>
  <c r="M372" i="17"/>
  <c r="M388" i="17"/>
  <c r="M404" i="17"/>
  <c r="M420" i="17"/>
  <c r="M436" i="17"/>
  <c r="M452" i="17"/>
  <c r="M468" i="17"/>
  <c r="M484" i="17"/>
  <c r="M500" i="17"/>
  <c r="M516" i="17"/>
  <c r="N430" i="17"/>
  <c r="N446" i="17"/>
  <c r="N462" i="17"/>
  <c r="N478" i="17"/>
  <c r="N494" i="17"/>
  <c r="N510" i="17"/>
  <c r="N524" i="17"/>
  <c r="N540" i="17"/>
  <c r="M568" i="17"/>
  <c r="N523" i="17"/>
  <c r="N539" i="17"/>
  <c r="N567" i="17"/>
  <c r="N546" i="17"/>
  <c r="N562" i="17"/>
  <c r="N578" i="17"/>
  <c r="N594" i="17"/>
  <c r="M610" i="17"/>
  <c r="M607" i="17"/>
  <c r="M549" i="17"/>
  <c r="M565" i="17"/>
  <c r="M581" i="17"/>
  <c r="N597" i="17"/>
  <c r="N613" i="17"/>
  <c r="N610" i="17"/>
  <c r="M213" i="17"/>
  <c r="M229" i="17"/>
  <c r="M245" i="17"/>
  <c r="M261" i="17"/>
  <c r="M277" i="17"/>
  <c r="M293" i="17"/>
  <c r="M309" i="17"/>
  <c r="M120" i="17"/>
  <c r="M136" i="17"/>
  <c r="M152" i="17"/>
  <c r="M184" i="17"/>
  <c r="M216" i="17"/>
  <c r="M248" i="17"/>
  <c r="M280" i="17"/>
  <c r="M312" i="17"/>
  <c r="N344" i="17"/>
  <c r="N376" i="17"/>
  <c r="N408" i="17"/>
  <c r="M338" i="17"/>
  <c r="M370" i="17"/>
  <c r="M402" i="17"/>
  <c r="M434" i="17"/>
  <c r="M466" i="17"/>
  <c r="M498" i="17"/>
  <c r="N428" i="17"/>
  <c r="N460" i="17"/>
  <c r="N492" i="17"/>
  <c r="N522" i="17"/>
  <c r="M564" i="17"/>
  <c r="N537" i="17"/>
  <c r="N544" i="17"/>
  <c r="N576" i="17"/>
  <c r="M608" i="17"/>
  <c r="M605" i="17"/>
  <c r="M156" i="17"/>
  <c r="M164" i="17"/>
  <c r="M172" i="17"/>
  <c r="M180" i="17"/>
  <c r="M188" i="17"/>
  <c r="M196" i="17"/>
  <c r="M204" i="17"/>
  <c r="M212" i="17"/>
  <c r="M220" i="17"/>
  <c r="M228" i="17"/>
  <c r="M236" i="17"/>
  <c r="M244" i="17"/>
  <c r="M252" i="17"/>
  <c r="M260" i="17"/>
  <c r="M268" i="17"/>
  <c r="M276" i="17"/>
  <c r="M284" i="17"/>
  <c r="M292" i="17"/>
  <c r="M300" i="17"/>
  <c r="M308" i="17"/>
  <c r="N316" i="17"/>
  <c r="N324" i="17"/>
  <c r="N332" i="17"/>
  <c r="N340" i="17"/>
  <c r="N348" i="17"/>
  <c r="N356" i="17"/>
  <c r="N364" i="17"/>
  <c r="N372" i="17"/>
  <c r="N380" i="17"/>
  <c r="N388" i="17"/>
  <c r="N396" i="17"/>
  <c r="N404" i="17"/>
  <c r="N412" i="17"/>
  <c r="M318" i="17"/>
  <c r="M326" i="17"/>
  <c r="M334" i="17"/>
  <c r="M342" i="17"/>
  <c r="M350" i="17"/>
  <c r="M358" i="17"/>
  <c r="M366" i="17"/>
  <c r="M374" i="17"/>
  <c r="M382" i="17"/>
  <c r="M390" i="17"/>
  <c r="M398" i="17"/>
  <c r="M406" i="17"/>
  <c r="M414" i="17"/>
  <c r="M422" i="17"/>
  <c r="M430" i="17"/>
  <c r="M438" i="17"/>
  <c r="M446" i="17"/>
  <c r="M454" i="17"/>
  <c r="M462" i="17"/>
  <c r="M470" i="17"/>
  <c r="M478" i="17"/>
  <c r="M486" i="17"/>
  <c r="M494" i="17"/>
  <c r="M502" i="17"/>
  <c r="M510" i="17"/>
  <c r="N519" i="17"/>
  <c r="N424" i="17"/>
  <c r="N432" i="17"/>
  <c r="N440" i="17"/>
  <c r="N448" i="17"/>
  <c r="N456" i="17"/>
  <c r="N464" i="17"/>
  <c r="N472" i="17"/>
  <c r="N480" i="17"/>
  <c r="N488" i="17"/>
  <c r="N496" i="17"/>
  <c r="N504" i="17"/>
  <c r="N512" i="17"/>
  <c r="N518" i="17"/>
  <c r="N526" i="17"/>
  <c r="N534" i="17"/>
  <c r="N542" i="17"/>
  <c r="M556" i="17"/>
  <c r="M572" i="17"/>
  <c r="M588" i="17"/>
  <c r="N525" i="17"/>
  <c r="N533" i="17"/>
  <c r="N541" i="17"/>
  <c r="N555" i="17"/>
  <c r="N571" i="17"/>
  <c r="N587" i="17"/>
  <c r="N548" i="17"/>
  <c r="N556" i="17"/>
  <c r="N564" i="17"/>
  <c r="N572" i="17"/>
  <c r="N580" i="17"/>
  <c r="N588" i="17"/>
  <c r="M596" i="17"/>
  <c r="M604" i="17"/>
  <c r="M612" i="17"/>
  <c r="M601" i="17"/>
  <c r="M609" i="17"/>
  <c r="Y58" i="17" l="1"/>
  <c r="F627" i="17"/>
  <c r="X305" i="17"/>
  <c r="E627" i="17"/>
  <c r="N627" i="17"/>
  <c r="M627" i="17"/>
  <c r="J627" i="17"/>
  <c r="D627" i="17"/>
  <c r="L627" i="17"/>
  <c r="K627" i="17"/>
  <c r="I627" i="17"/>
  <c r="P627" i="17"/>
  <c r="O627" i="17"/>
  <c r="C627" i="17"/>
  <c r="G627" i="17"/>
  <c r="R592" i="17"/>
  <c r="S592" i="17" s="1"/>
  <c r="H624" i="17"/>
  <c r="G624" i="17"/>
  <c r="R628" i="17"/>
  <c r="S628" i="17" s="1"/>
  <c r="M625" i="17"/>
  <c r="H625" i="17"/>
  <c r="G625" i="17"/>
  <c r="Q628" i="17"/>
  <c r="D637" i="17" s="1"/>
  <c r="R609" i="17"/>
  <c r="S609" i="17" s="1"/>
  <c r="Q577" i="17"/>
  <c r="U577" i="17" s="1"/>
  <c r="Q545" i="17"/>
  <c r="U545" i="17" s="1"/>
  <c r="R539" i="17"/>
  <c r="S539" i="17" s="1"/>
  <c r="R567" i="17"/>
  <c r="S567" i="17" s="1"/>
  <c r="Q523" i="17"/>
  <c r="U523" i="17" s="1"/>
  <c r="R492" i="17"/>
  <c r="S492" i="17" s="1"/>
  <c r="R460" i="17"/>
  <c r="S460" i="17" s="1"/>
  <c r="R428" i="17"/>
  <c r="S428" i="17" s="1"/>
  <c r="R499" i="17"/>
  <c r="S499" i="17" s="1"/>
  <c r="R467" i="17"/>
  <c r="S467" i="17" s="1"/>
  <c r="R435" i="17"/>
  <c r="S435" i="17" s="1"/>
  <c r="R403" i="17"/>
  <c r="S403" i="17" s="1"/>
  <c r="R371" i="17"/>
  <c r="S371" i="17" s="1"/>
  <c r="R339" i="17"/>
  <c r="S339" i="17" s="1"/>
  <c r="Q409" i="17"/>
  <c r="U409" i="17" s="1"/>
  <c r="Q606" i="17"/>
  <c r="U606" i="17" s="1"/>
  <c r="R574" i="17"/>
  <c r="S574" i="17" s="1"/>
  <c r="Q592" i="17"/>
  <c r="U592" i="17" s="1"/>
  <c r="Q536" i="17"/>
  <c r="U536" i="17" s="1"/>
  <c r="R561" i="17"/>
  <c r="S561" i="17" s="1"/>
  <c r="R520" i="17"/>
  <c r="S520" i="17" s="1"/>
  <c r="Q489" i="17"/>
  <c r="U489" i="17" s="1"/>
  <c r="Q457" i="17"/>
  <c r="U457" i="17" s="1"/>
  <c r="Q425" i="17"/>
  <c r="U425" i="17" s="1"/>
  <c r="Q496" i="17"/>
  <c r="U496" i="17" s="1"/>
  <c r="Q464" i="17"/>
  <c r="U464" i="17" s="1"/>
  <c r="Q432" i="17"/>
  <c r="U432" i="17" s="1"/>
  <c r="Q400" i="17"/>
  <c r="U400" i="17" s="1"/>
  <c r="Q368" i="17"/>
  <c r="U368" i="17" s="1"/>
  <c r="Q336" i="17"/>
  <c r="U336" i="17" s="1"/>
  <c r="R390" i="17"/>
  <c r="S390" i="17" s="1"/>
  <c r="R372" i="17"/>
  <c r="S372" i="17" s="1"/>
  <c r="R356" i="17"/>
  <c r="S356" i="17" s="1"/>
  <c r="R340" i="17"/>
  <c r="S340" i="17" s="1"/>
  <c r="R324" i="17"/>
  <c r="S324" i="17" s="1"/>
  <c r="Q308" i="17"/>
  <c r="U308" i="17" s="1"/>
  <c r="Q292" i="17"/>
  <c r="U292" i="17" s="1"/>
  <c r="Q276" i="17"/>
  <c r="U276" i="17" s="1"/>
  <c r="Q260" i="17"/>
  <c r="U260" i="17" s="1"/>
  <c r="Q244" i="17"/>
  <c r="U244" i="17" s="1"/>
  <c r="Q228" i="17"/>
  <c r="U228" i="17" s="1"/>
  <c r="Q212" i="17"/>
  <c r="U212" i="17" s="1"/>
  <c r="Q196" i="17"/>
  <c r="U196" i="17" s="1"/>
  <c r="Q180" i="17"/>
  <c r="U180" i="17" s="1"/>
  <c r="Q164" i="17"/>
  <c r="U164" i="17" s="1"/>
  <c r="Q148" i="17"/>
  <c r="U148" i="17" s="1"/>
  <c r="Q132" i="17"/>
  <c r="U132" i="17" s="1"/>
  <c r="Q116" i="17"/>
  <c r="U116" i="17" s="1"/>
  <c r="Q305" i="17"/>
  <c r="U305" i="17" s="1"/>
  <c r="Q289" i="17"/>
  <c r="U289" i="17" s="1"/>
  <c r="Q273" i="17"/>
  <c r="U273" i="17" s="1"/>
  <c r="Q257" i="17"/>
  <c r="U257" i="17" s="1"/>
  <c r="Q241" i="17"/>
  <c r="U241" i="17" s="1"/>
  <c r="Q225" i="17"/>
  <c r="U225" i="17" s="1"/>
  <c r="Q209" i="17"/>
  <c r="U209" i="17" s="1"/>
  <c r="Q193" i="17"/>
  <c r="U193" i="17" s="1"/>
  <c r="Q177" i="17"/>
  <c r="U177" i="17" s="1"/>
  <c r="Q161" i="17"/>
  <c r="U161" i="17" s="1"/>
  <c r="Q145" i="17"/>
  <c r="U145" i="17" s="1"/>
  <c r="Q129" i="17"/>
  <c r="U129" i="17" s="1"/>
  <c r="Q318" i="17"/>
  <c r="U318" i="17" s="1"/>
  <c r="Q397" i="17"/>
  <c r="U397" i="17" s="1"/>
  <c r="Q381" i="17"/>
  <c r="U381" i="17" s="1"/>
  <c r="Q365" i="17"/>
  <c r="U365" i="17" s="1"/>
  <c r="Q349" i="17"/>
  <c r="U349" i="17" s="1"/>
  <c r="Q333" i="17"/>
  <c r="U333" i="17" s="1"/>
  <c r="Q317" i="17"/>
  <c r="U317" i="17" s="1"/>
  <c r="R301" i="17"/>
  <c r="S301" i="17" s="1"/>
  <c r="R285" i="17"/>
  <c r="S285" i="17" s="1"/>
  <c r="R269" i="17"/>
  <c r="S269" i="17" s="1"/>
  <c r="R253" i="17"/>
  <c r="S253" i="17" s="1"/>
  <c r="R237" i="17"/>
  <c r="S237" i="17" s="1"/>
  <c r="R221" i="17"/>
  <c r="S221" i="17" s="1"/>
  <c r="R205" i="17"/>
  <c r="S205" i="17" s="1"/>
  <c r="R189" i="17"/>
  <c r="S189" i="17" s="1"/>
  <c r="R173" i="17"/>
  <c r="S173" i="17" s="1"/>
  <c r="R157" i="17"/>
  <c r="S157" i="17" s="1"/>
  <c r="R141" i="17"/>
  <c r="S141" i="17" s="1"/>
  <c r="R125" i="17"/>
  <c r="S125" i="17" s="1"/>
  <c r="R314" i="17"/>
  <c r="S314" i="17" s="1"/>
  <c r="R298" i="17"/>
  <c r="S298" i="17" s="1"/>
  <c r="R282" i="17"/>
  <c r="S282" i="17" s="1"/>
  <c r="R266" i="17"/>
  <c r="S266" i="17" s="1"/>
  <c r="R250" i="17"/>
  <c r="S250" i="17" s="1"/>
  <c r="R234" i="17"/>
  <c r="S234" i="17" s="1"/>
  <c r="R218" i="17"/>
  <c r="S218" i="17" s="1"/>
  <c r="R202" i="17"/>
  <c r="S202" i="17" s="1"/>
  <c r="R186" i="17"/>
  <c r="S186" i="17" s="1"/>
  <c r="R170" i="17"/>
  <c r="S170" i="17" s="1"/>
  <c r="R154" i="17"/>
  <c r="S154" i="17" s="1"/>
  <c r="R138" i="17"/>
  <c r="S138" i="17" s="1"/>
  <c r="R122" i="17"/>
  <c r="S122" i="17" s="1"/>
  <c r="Q121" i="17"/>
  <c r="U121" i="17" s="1"/>
  <c r="Q13" i="17"/>
  <c r="U13" i="17" s="1"/>
  <c r="Q29" i="17"/>
  <c r="U29" i="17" s="1"/>
  <c r="Q45" i="17"/>
  <c r="U45" i="17" s="1"/>
  <c r="Q61" i="17"/>
  <c r="U61" i="17" s="1"/>
  <c r="Q77" i="17"/>
  <c r="U77" i="17" s="1"/>
  <c r="Q93" i="17"/>
  <c r="U93" i="17" s="1"/>
  <c r="Q109" i="17"/>
  <c r="U109" i="17" s="1"/>
  <c r="R23" i="17"/>
  <c r="S23" i="17" s="1"/>
  <c r="R31" i="17"/>
  <c r="S31" i="17" s="1"/>
  <c r="R39" i="17"/>
  <c r="S39" i="17" s="1"/>
  <c r="R47" i="17"/>
  <c r="S47" i="17" s="1"/>
  <c r="R55" i="17"/>
  <c r="S55" i="17" s="1"/>
  <c r="R63" i="17"/>
  <c r="S63" i="17" s="1"/>
  <c r="R71" i="17"/>
  <c r="S71" i="17" s="1"/>
  <c r="R79" i="17"/>
  <c r="S79" i="17" s="1"/>
  <c r="R87" i="17"/>
  <c r="S87" i="17" s="1"/>
  <c r="R95" i="17"/>
  <c r="S95" i="17" s="1"/>
  <c r="R103" i="17"/>
  <c r="S103" i="17" s="1"/>
  <c r="R16" i="17"/>
  <c r="S16" i="17" s="1"/>
  <c r="R32" i="17"/>
  <c r="S32" i="17" s="1"/>
  <c r="R48" i="17"/>
  <c r="S48" i="17" s="1"/>
  <c r="R64" i="17"/>
  <c r="S64" i="17" s="1"/>
  <c r="R80" i="17"/>
  <c r="S80" i="17" s="1"/>
  <c r="R96" i="17"/>
  <c r="S96" i="17" s="1"/>
  <c r="Q622" i="17"/>
  <c r="D632" i="17" s="1"/>
  <c r="R392" i="17"/>
  <c r="S392" i="17" s="1"/>
  <c r="R410" i="17"/>
  <c r="S410" i="17" s="1"/>
  <c r="Q338" i="17"/>
  <c r="U338" i="17" s="1"/>
  <c r="Q354" i="17"/>
  <c r="U354" i="17" s="1"/>
  <c r="Q370" i="17"/>
  <c r="U370" i="17" s="1"/>
  <c r="Q386" i="17"/>
  <c r="U386" i="17" s="1"/>
  <c r="Q402" i="17"/>
  <c r="U402" i="17" s="1"/>
  <c r="Q418" i="17"/>
  <c r="U418" i="17" s="1"/>
  <c r="Q434" i="17"/>
  <c r="U434" i="17" s="1"/>
  <c r="Q450" i="17"/>
  <c r="U450" i="17" s="1"/>
  <c r="Q466" i="17"/>
  <c r="U466" i="17" s="1"/>
  <c r="Q482" i="17"/>
  <c r="U482" i="17" s="1"/>
  <c r="Q498" i="17"/>
  <c r="U498" i="17" s="1"/>
  <c r="Q514" i="17"/>
  <c r="U514" i="17" s="1"/>
  <c r="Q427" i="17"/>
  <c r="U427" i="17" s="1"/>
  <c r="Q443" i="17"/>
  <c r="U443" i="17" s="1"/>
  <c r="Q459" i="17"/>
  <c r="U459" i="17" s="1"/>
  <c r="Q475" i="17"/>
  <c r="U475" i="17" s="1"/>
  <c r="Q491" i="17"/>
  <c r="U491" i="17" s="1"/>
  <c r="Q507" i="17"/>
  <c r="U507" i="17" s="1"/>
  <c r="R522" i="17"/>
  <c r="S522" i="17" s="1"/>
  <c r="R538" i="17"/>
  <c r="S538" i="17" s="1"/>
  <c r="R565" i="17"/>
  <c r="S565" i="17" s="1"/>
  <c r="Q522" i="17"/>
  <c r="U522" i="17" s="1"/>
  <c r="Q538" i="17"/>
  <c r="U538" i="17" s="1"/>
  <c r="Q564" i="17"/>
  <c r="U564" i="17" s="1"/>
  <c r="R544" i="17"/>
  <c r="S544" i="17" s="1"/>
  <c r="R560" i="17"/>
  <c r="S560" i="17" s="1"/>
  <c r="R576" i="17"/>
  <c r="S576" i="17" s="1"/>
  <c r="Q608" i="17"/>
  <c r="U608" i="17" s="1"/>
  <c r="Q605" i="17"/>
  <c r="U605" i="17" s="1"/>
  <c r="Q411" i="17"/>
  <c r="U411" i="17" s="1"/>
  <c r="R325" i="17"/>
  <c r="S325" i="17" s="1"/>
  <c r="R341" i="17"/>
  <c r="S341" i="17" s="1"/>
  <c r="R357" i="17"/>
  <c r="S357" i="17" s="1"/>
  <c r="R373" i="17"/>
  <c r="S373" i="17" s="1"/>
  <c r="R389" i="17"/>
  <c r="S389" i="17" s="1"/>
  <c r="R405" i="17"/>
  <c r="S405" i="17" s="1"/>
  <c r="R421" i="17"/>
  <c r="S421" i="17" s="1"/>
  <c r="R437" i="17"/>
  <c r="S437" i="17" s="1"/>
  <c r="R453" i="17"/>
  <c r="S453" i="17" s="1"/>
  <c r="R469" i="17"/>
  <c r="S469" i="17" s="1"/>
  <c r="R485" i="17"/>
  <c r="S485" i="17" s="1"/>
  <c r="R501" i="17"/>
  <c r="S501" i="17" s="1"/>
  <c r="R517" i="17"/>
  <c r="S517" i="17" s="1"/>
  <c r="R430" i="17"/>
  <c r="S430" i="17" s="1"/>
  <c r="R446" i="17"/>
  <c r="S446" i="17" s="1"/>
  <c r="R462" i="17"/>
  <c r="S462" i="17" s="1"/>
  <c r="R478" i="17"/>
  <c r="S478" i="17" s="1"/>
  <c r="R494" i="17"/>
  <c r="S494" i="17" s="1"/>
  <c r="R510" i="17"/>
  <c r="S510" i="17" s="1"/>
  <c r="Q525" i="17"/>
  <c r="U525" i="17" s="1"/>
  <c r="Q541" i="17"/>
  <c r="U541" i="17" s="1"/>
  <c r="R571" i="17"/>
  <c r="S571" i="17" s="1"/>
  <c r="R601" i="17"/>
  <c r="S601" i="17" s="1"/>
  <c r="Q569" i="17"/>
  <c r="U569" i="17" s="1"/>
  <c r="Q582" i="17"/>
  <c r="U582" i="17" s="1"/>
  <c r="R531" i="17"/>
  <c r="S531" i="17" s="1"/>
  <c r="R551" i="17"/>
  <c r="S551" i="17" s="1"/>
  <c r="R516" i="17"/>
  <c r="S516" i="17" s="1"/>
  <c r="R484" i="17"/>
  <c r="S484" i="17" s="1"/>
  <c r="R452" i="17"/>
  <c r="S452" i="17" s="1"/>
  <c r="R420" i="17"/>
  <c r="S420" i="17" s="1"/>
  <c r="R491" i="17"/>
  <c r="S491" i="17" s="1"/>
  <c r="R459" i="17"/>
  <c r="S459" i="17" s="1"/>
  <c r="R427" i="17"/>
  <c r="S427" i="17" s="1"/>
  <c r="R395" i="17"/>
  <c r="S395" i="17" s="1"/>
  <c r="R363" i="17"/>
  <c r="S363" i="17" s="1"/>
  <c r="R331" i="17"/>
  <c r="S331" i="17" s="1"/>
  <c r="Q611" i="17"/>
  <c r="U611" i="17" s="1"/>
  <c r="Q598" i="17"/>
  <c r="U598" i="17" s="1"/>
  <c r="R566" i="17"/>
  <c r="S566" i="17" s="1"/>
  <c r="Q576" i="17"/>
  <c r="U576" i="17" s="1"/>
  <c r="Q528" i="17"/>
  <c r="U528" i="17" s="1"/>
  <c r="R545" i="17"/>
  <c r="S545" i="17" s="1"/>
  <c r="Q513" i="17"/>
  <c r="U513" i="17" s="1"/>
  <c r="Q481" i="17"/>
  <c r="U481" i="17" s="1"/>
  <c r="Q449" i="17"/>
  <c r="U449" i="17" s="1"/>
  <c r="Q417" i="17"/>
  <c r="U417" i="17" s="1"/>
  <c r="Q488" i="17"/>
  <c r="U488" i="17" s="1"/>
  <c r="Q456" i="17"/>
  <c r="U456" i="17" s="1"/>
  <c r="Q424" i="17"/>
  <c r="U424" i="17" s="1"/>
  <c r="Q392" i="17"/>
  <c r="U392" i="17" s="1"/>
  <c r="Q360" i="17"/>
  <c r="U360" i="17" s="1"/>
  <c r="Q320" i="17"/>
  <c r="U320" i="17" s="1"/>
  <c r="R384" i="17"/>
  <c r="S384" i="17" s="1"/>
  <c r="R368" i="17"/>
  <c r="S368" i="17" s="1"/>
  <c r="R352" i="17"/>
  <c r="S352" i="17" s="1"/>
  <c r="R336" i="17"/>
  <c r="S336" i="17" s="1"/>
  <c r="R320" i="17"/>
  <c r="S320" i="17" s="1"/>
  <c r="Q304" i="17"/>
  <c r="U304" i="17" s="1"/>
  <c r="Q288" i="17"/>
  <c r="U288" i="17" s="1"/>
  <c r="Q272" i="17"/>
  <c r="U272" i="17" s="1"/>
  <c r="Q256" i="17"/>
  <c r="U256" i="17" s="1"/>
  <c r="Q240" i="17"/>
  <c r="U240" i="17" s="1"/>
  <c r="Q224" i="17"/>
  <c r="U224" i="17" s="1"/>
  <c r="Q208" i="17"/>
  <c r="U208" i="17" s="1"/>
  <c r="Q192" i="17"/>
  <c r="U192" i="17" s="1"/>
  <c r="Q176" i="17"/>
  <c r="U176" i="17" s="1"/>
  <c r="Q160" i="17"/>
  <c r="U160" i="17" s="1"/>
  <c r="Q144" i="17"/>
  <c r="U144" i="17" s="1"/>
  <c r="Q128" i="17"/>
  <c r="U128" i="17" s="1"/>
  <c r="Q112" i="17"/>
  <c r="U112" i="17" s="1"/>
  <c r="Q301" i="17"/>
  <c r="U301" i="17" s="1"/>
  <c r="Q285" i="17"/>
  <c r="U285" i="17" s="1"/>
  <c r="Q269" i="17"/>
  <c r="U269" i="17" s="1"/>
  <c r="Q253" i="17"/>
  <c r="U253" i="17" s="1"/>
  <c r="Q237" i="17"/>
  <c r="U237" i="17" s="1"/>
  <c r="Q221" i="17"/>
  <c r="U221" i="17" s="1"/>
  <c r="Q205" i="17"/>
  <c r="U205" i="17" s="1"/>
  <c r="Q189" i="17"/>
  <c r="U189" i="17" s="1"/>
  <c r="Q173" i="17"/>
  <c r="U173" i="17" s="1"/>
  <c r="Q157" i="17"/>
  <c r="U157" i="17" s="1"/>
  <c r="Q141" i="17"/>
  <c r="U141" i="17" s="1"/>
  <c r="Q125" i="17"/>
  <c r="U125" i="17" s="1"/>
  <c r="R412" i="17"/>
  <c r="S412" i="17" s="1"/>
  <c r="Q393" i="17"/>
  <c r="U393" i="17" s="1"/>
  <c r="Q377" i="17"/>
  <c r="U377" i="17" s="1"/>
  <c r="Q361" i="17"/>
  <c r="U361" i="17" s="1"/>
  <c r="Q345" i="17"/>
  <c r="U345" i="17" s="1"/>
  <c r="Q329" i="17"/>
  <c r="U329" i="17" s="1"/>
  <c r="R313" i="17"/>
  <c r="S313" i="17" s="1"/>
  <c r="R297" i="17"/>
  <c r="S297" i="17" s="1"/>
  <c r="R281" i="17"/>
  <c r="S281" i="17" s="1"/>
  <c r="R265" i="17"/>
  <c r="S265" i="17" s="1"/>
  <c r="R249" i="17"/>
  <c r="S249" i="17" s="1"/>
  <c r="R233" i="17"/>
  <c r="S233" i="17" s="1"/>
  <c r="R217" i="17"/>
  <c r="S217" i="17" s="1"/>
  <c r="R201" i="17"/>
  <c r="S201" i="17" s="1"/>
  <c r="R185" i="17"/>
  <c r="S185" i="17" s="1"/>
  <c r="R169" i="17"/>
  <c r="S169" i="17" s="1"/>
  <c r="R153" i="17"/>
  <c r="S153" i="17" s="1"/>
  <c r="R137" i="17"/>
  <c r="S137" i="17" s="1"/>
  <c r="R121" i="17"/>
  <c r="S121" i="17" s="1"/>
  <c r="R310" i="17"/>
  <c r="S310" i="17" s="1"/>
  <c r="R294" i="17"/>
  <c r="S294" i="17" s="1"/>
  <c r="R278" i="17"/>
  <c r="S278" i="17" s="1"/>
  <c r="R262" i="17"/>
  <c r="S262" i="17" s="1"/>
  <c r="R246" i="17"/>
  <c r="S246" i="17" s="1"/>
  <c r="R230" i="17"/>
  <c r="S230" i="17" s="1"/>
  <c r="R214" i="17"/>
  <c r="S214" i="17" s="1"/>
  <c r="R198" i="17"/>
  <c r="S198" i="17" s="1"/>
  <c r="R182" i="17"/>
  <c r="S182" i="17" s="1"/>
  <c r="R166" i="17"/>
  <c r="S166" i="17" s="1"/>
  <c r="R150" i="17"/>
  <c r="S150" i="17" s="1"/>
  <c r="R134" i="17"/>
  <c r="S134" i="17" s="1"/>
  <c r="R118" i="17"/>
  <c r="S118" i="17" s="1"/>
  <c r="R114" i="17"/>
  <c r="S114" i="17" s="1"/>
  <c r="Q17" i="17"/>
  <c r="U17" i="17" s="1"/>
  <c r="Q33" i="17"/>
  <c r="U33" i="17" s="1"/>
  <c r="Q49" i="17"/>
  <c r="U49" i="17" s="1"/>
  <c r="Q65" i="17"/>
  <c r="U65" i="17" s="1"/>
  <c r="Q81" i="17"/>
  <c r="U81" i="17" s="1"/>
  <c r="Q97" i="17"/>
  <c r="U97" i="17" s="1"/>
  <c r="R15" i="17"/>
  <c r="S15" i="17" s="1"/>
  <c r="R25" i="17"/>
  <c r="S25" i="17" s="1"/>
  <c r="R33" i="17"/>
  <c r="S33" i="17" s="1"/>
  <c r="R41" i="17"/>
  <c r="S41" i="17" s="1"/>
  <c r="R49" i="17"/>
  <c r="S49" i="17" s="1"/>
  <c r="R57" i="17"/>
  <c r="S57" i="17" s="1"/>
  <c r="R65" i="17"/>
  <c r="S65" i="17" s="1"/>
  <c r="R73" i="17"/>
  <c r="S73" i="17" s="1"/>
  <c r="R81" i="17"/>
  <c r="S81" i="17" s="1"/>
  <c r="R89" i="17"/>
  <c r="S89" i="17" s="1"/>
  <c r="R97" i="17"/>
  <c r="S97" i="17" s="1"/>
  <c r="R105" i="17"/>
  <c r="S105" i="17" s="1"/>
  <c r="R20" i="17"/>
  <c r="S20" i="17" s="1"/>
  <c r="R36" i="17"/>
  <c r="S36" i="17" s="1"/>
  <c r="R52" i="17"/>
  <c r="S52" i="17" s="1"/>
  <c r="R68" i="17"/>
  <c r="S68" i="17" s="1"/>
  <c r="R84" i="17"/>
  <c r="S84" i="17" s="1"/>
  <c r="R100" i="17"/>
  <c r="S100" i="17" s="1"/>
  <c r="R626" i="17"/>
  <c r="S626" i="17" s="1"/>
  <c r="R396" i="17"/>
  <c r="S396" i="17" s="1"/>
  <c r="Q316" i="17"/>
  <c r="U316" i="17" s="1"/>
  <c r="Q342" i="17"/>
  <c r="U342" i="17" s="1"/>
  <c r="Q358" i="17"/>
  <c r="U358" i="17" s="1"/>
  <c r="Q374" i="17"/>
  <c r="U374" i="17" s="1"/>
  <c r="Q390" i="17"/>
  <c r="U390" i="17" s="1"/>
  <c r="Q406" i="17"/>
  <c r="U406" i="17" s="1"/>
  <c r="Q422" i="17"/>
  <c r="U422" i="17" s="1"/>
  <c r="Q438" i="17"/>
  <c r="U438" i="17" s="1"/>
  <c r="Q454" i="17"/>
  <c r="U454" i="17" s="1"/>
  <c r="Q470" i="17"/>
  <c r="U470" i="17" s="1"/>
  <c r="Q486" i="17"/>
  <c r="U486" i="17" s="1"/>
  <c r="Q502" i="17"/>
  <c r="U502" i="17" s="1"/>
  <c r="Q518" i="17"/>
  <c r="U518" i="17" s="1"/>
  <c r="Q431" i="17"/>
  <c r="U431" i="17" s="1"/>
  <c r="Q447" i="17"/>
  <c r="U447" i="17" s="1"/>
  <c r="Q463" i="17"/>
  <c r="U463" i="17" s="1"/>
  <c r="Q479" i="17"/>
  <c r="U479" i="17" s="1"/>
  <c r="Q495" i="17"/>
  <c r="U495" i="17" s="1"/>
  <c r="Q511" i="17"/>
  <c r="U511" i="17" s="1"/>
  <c r="R526" i="17"/>
  <c r="S526" i="17" s="1"/>
  <c r="R542" i="17"/>
  <c r="S542" i="17" s="1"/>
  <c r="R573" i="17"/>
  <c r="S573" i="17" s="1"/>
  <c r="Q526" i="17"/>
  <c r="U526" i="17" s="1"/>
  <c r="Q542" i="17"/>
  <c r="U542" i="17" s="1"/>
  <c r="Q572" i="17"/>
  <c r="U572" i="17" s="1"/>
  <c r="R548" i="17"/>
  <c r="S548" i="17" s="1"/>
  <c r="R564" i="17"/>
  <c r="S564" i="17" s="1"/>
  <c r="R580" i="17"/>
  <c r="S580" i="17" s="1"/>
  <c r="Q596" i="17"/>
  <c r="U596" i="17" s="1"/>
  <c r="Q612" i="17"/>
  <c r="U612" i="17" s="1"/>
  <c r="Q609" i="17"/>
  <c r="U609" i="17" s="1"/>
  <c r="Q415" i="17"/>
  <c r="U415" i="17" s="1"/>
  <c r="R329" i="17"/>
  <c r="S329" i="17" s="1"/>
  <c r="R345" i="17"/>
  <c r="S345" i="17" s="1"/>
  <c r="R361" i="17"/>
  <c r="S361" i="17" s="1"/>
  <c r="R377" i="17"/>
  <c r="S377" i="17" s="1"/>
  <c r="R393" i="17"/>
  <c r="S393" i="17" s="1"/>
  <c r="R409" i="17"/>
  <c r="S409" i="17" s="1"/>
  <c r="R425" i="17"/>
  <c r="S425" i="17" s="1"/>
  <c r="R441" i="17"/>
  <c r="S441" i="17" s="1"/>
  <c r="R457" i="17"/>
  <c r="S457" i="17" s="1"/>
  <c r="R473" i="17"/>
  <c r="S473" i="17" s="1"/>
  <c r="R489" i="17"/>
  <c r="S489" i="17" s="1"/>
  <c r="R505" i="17"/>
  <c r="S505" i="17" s="1"/>
  <c r="R418" i="17"/>
  <c r="S418" i="17" s="1"/>
  <c r="R434" i="17"/>
  <c r="S434" i="17" s="1"/>
  <c r="R450" i="17"/>
  <c r="S450" i="17" s="1"/>
  <c r="R466" i="17"/>
  <c r="S466" i="17" s="1"/>
  <c r="R482" i="17"/>
  <c r="S482" i="17" s="1"/>
  <c r="R498" i="17"/>
  <c r="S498" i="17" s="1"/>
  <c r="R514" i="17"/>
  <c r="S514" i="17" s="1"/>
  <c r="Q529" i="17"/>
  <c r="U529" i="17" s="1"/>
  <c r="R547" i="17"/>
  <c r="S547" i="17" s="1"/>
  <c r="R579" i="17"/>
  <c r="S579" i="17" s="1"/>
  <c r="R521" i="17"/>
  <c r="S521" i="17" s="1"/>
  <c r="R537" i="17"/>
  <c r="S537" i="17" s="1"/>
  <c r="Q562" i="17"/>
  <c r="U562" i="17" s="1"/>
  <c r="Q594" i="17"/>
  <c r="U594" i="17" s="1"/>
  <c r="Q559" i="17"/>
  <c r="U559" i="17" s="1"/>
  <c r="Q575" i="17"/>
  <c r="U575" i="17" s="1"/>
  <c r="Q591" i="17"/>
  <c r="U591" i="17" s="1"/>
  <c r="R607" i="17"/>
  <c r="S607" i="17" s="1"/>
  <c r="R604" i="17"/>
  <c r="S604" i="17" s="1"/>
  <c r="R613" i="17"/>
  <c r="S613" i="17" s="1"/>
  <c r="Q549" i="17"/>
  <c r="U549" i="17" s="1"/>
  <c r="R575" i="17"/>
  <c r="S575" i="17" s="1"/>
  <c r="R496" i="17"/>
  <c r="S496" i="17" s="1"/>
  <c r="R432" i="17"/>
  <c r="S432" i="17" s="1"/>
  <c r="R471" i="17"/>
  <c r="S471" i="17" s="1"/>
  <c r="R407" i="17"/>
  <c r="S407" i="17" s="1"/>
  <c r="R343" i="17"/>
  <c r="S343" i="17" s="1"/>
  <c r="Q610" i="17"/>
  <c r="U610" i="17" s="1"/>
  <c r="R546" i="17"/>
  <c r="S546" i="17" s="1"/>
  <c r="R569" i="17"/>
  <c r="S569" i="17" s="1"/>
  <c r="Q493" i="17"/>
  <c r="U493" i="17" s="1"/>
  <c r="Q429" i="17"/>
  <c r="U429" i="17" s="1"/>
  <c r="Q468" i="17"/>
  <c r="U468" i="17" s="1"/>
  <c r="Q404" i="17"/>
  <c r="U404" i="17" s="1"/>
  <c r="Q340" i="17"/>
  <c r="U340" i="17" s="1"/>
  <c r="R374" i="17"/>
  <c r="S374" i="17" s="1"/>
  <c r="R342" i="17"/>
  <c r="S342" i="17" s="1"/>
  <c r="Q310" i="17"/>
  <c r="U310" i="17" s="1"/>
  <c r="Q278" i="17"/>
  <c r="U278" i="17" s="1"/>
  <c r="Q246" i="17"/>
  <c r="U246" i="17" s="1"/>
  <c r="Q214" i="17"/>
  <c r="U214" i="17" s="1"/>
  <c r="Q182" i="17"/>
  <c r="U182" i="17" s="1"/>
  <c r="Q150" i="17"/>
  <c r="U150" i="17" s="1"/>
  <c r="Q118" i="17"/>
  <c r="U118" i="17" s="1"/>
  <c r="Q291" i="17"/>
  <c r="U291" i="17" s="1"/>
  <c r="Q259" i="17"/>
  <c r="U259" i="17" s="1"/>
  <c r="Q227" i="17"/>
  <c r="U227" i="17" s="1"/>
  <c r="Q195" i="17"/>
  <c r="U195" i="17" s="1"/>
  <c r="Q163" i="17"/>
  <c r="U163" i="17" s="1"/>
  <c r="Q131" i="17"/>
  <c r="U131" i="17" s="1"/>
  <c r="Q399" i="17"/>
  <c r="U399" i="17" s="1"/>
  <c r="Q367" i="17"/>
  <c r="U367" i="17" s="1"/>
  <c r="Q335" i="17"/>
  <c r="U335" i="17" s="1"/>
  <c r="R303" i="17"/>
  <c r="S303" i="17" s="1"/>
  <c r="R271" i="17"/>
  <c r="S271" i="17" s="1"/>
  <c r="R239" i="17"/>
  <c r="S239" i="17" s="1"/>
  <c r="R207" i="17"/>
  <c r="S207" i="17" s="1"/>
  <c r="R175" i="17"/>
  <c r="S175" i="17" s="1"/>
  <c r="R143" i="17"/>
  <c r="S143" i="17" s="1"/>
  <c r="R111" i="17"/>
  <c r="S111" i="17" s="1"/>
  <c r="R284" i="17"/>
  <c r="S284" i="17" s="1"/>
  <c r="R252" i="17"/>
  <c r="S252" i="17" s="1"/>
  <c r="R220" i="17"/>
  <c r="S220" i="17" s="1"/>
  <c r="R188" i="17"/>
  <c r="S188" i="17" s="1"/>
  <c r="R156" i="17"/>
  <c r="S156" i="17" s="1"/>
  <c r="R124" i="17"/>
  <c r="S124" i="17" s="1"/>
  <c r="Q18" i="17"/>
  <c r="Q43" i="17"/>
  <c r="U43" i="17" s="1"/>
  <c r="Q75" i="17"/>
  <c r="U75" i="17" s="1"/>
  <c r="Q107" i="17"/>
  <c r="U107" i="17" s="1"/>
  <c r="Q30" i="17"/>
  <c r="U30" i="17" s="1"/>
  <c r="Q46" i="17"/>
  <c r="U46" i="17" s="1"/>
  <c r="Q62" i="17"/>
  <c r="U62" i="17" s="1"/>
  <c r="Q78" i="17"/>
  <c r="U78" i="17" s="1"/>
  <c r="Q94" i="17"/>
  <c r="U94" i="17" s="1"/>
  <c r="R14" i="17"/>
  <c r="S14" i="17" s="1"/>
  <c r="R46" i="17"/>
  <c r="S46" i="17" s="1"/>
  <c r="R78" i="17"/>
  <c r="S78" i="17" s="1"/>
  <c r="R622" i="17"/>
  <c r="S622" i="17" s="1"/>
  <c r="Q557" i="17"/>
  <c r="U557" i="17" s="1"/>
  <c r="R504" i="17"/>
  <c r="S504" i="17" s="1"/>
  <c r="R479" i="17"/>
  <c r="S479" i="17" s="1"/>
  <c r="R351" i="17"/>
  <c r="S351" i="17" s="1"/>
  <c r="R554" i="17"/>
  <c r="S554" i="17" s="1"/>
  <c r="Q501" i="17"/>
  <c r="U501" i="17" s="1"/>
  <c r="Q476" i="17"/>
  <c r="U476" i="17" s="1"/>
  <c r="Q348" i="17"/>
  <c r="U348" i="17" s="1"/>
  <c r="R346" i="17"/>
  <c r="S346" i="17" s="1"/>
  <c r="Q282" i="17"/>
  <c r="U282" i="17" s="1"/>
  <c r="Q218" i="17"/>
  <c r="U218" i="17" s="1"/>
  <c r="Q154" i="17"/>
  <c r="U154" i="17" s="1"/>
  <c r="Q295" i="17"/>
  <c r="U295" i="17" s="1"/>
  <c r="Q231" i="17"/>
  <c r="U231" i="17" s="1"/>
  <c r="Q167" i="17"/>
  <c r="U167" i="17" s="1"/>
  <c r="Q403" i="17"/>
  <c r="U403" i="17" s="1"/>
  <c r="Q339" i="17"/>
  <c r="U339" i="17" s="1"/>
  <c r="R275" i="17"/>
  <c r="S275" i="17" s="1"/>
  <c r="R211" i="17"/>
  <c r="S211" i="17" s="1"/>
  <c r="R147" i="17"/>
  <c r="S147" i="17" s="1"/>
  <c r="R288" i="17"/>
  <c r="S288" i="17" s="1"/>
  <c r="R224" i="17"/>
  <c r="S224" i="17" s="1"/>
  <c r="R160" i="17"/>
  <c r="S160" i="17" s="1"/>
  <c r="Q14" i="17"/>
  <c r="U14" i="17" s="1"/>
  <c r="Q71" i="17"/>
  <c r="U71" i="17" s="1"/>
  <c r="Q28" i="17"/>
  <c r="U28" i="17" s="1"/>
  <c r="Q60" i="17"/>
  <c r="U60" i="17" s="1"/>
  <c r="Q92" i="17"/>
  <c r="U92" i="17" s="1"/>
  <c r="R42" i="17"/>
  <c r="S42" i="17" s="1"/>
  <c r="R106" i="17"/>
  <c r="S106" i="17" s="1"/>
  <c r="R488" i="17"/>
  <c r="S488" i="17" s="1"/>
  <c r="R335" i="17"/>
  <c r="S335" i="17" s="1"/>
  <c r="Q485" i="17"/>
  <c r="U485" i="17" s="1"/>
  <c r="Q328" i="17"/>
  <c r="U328" i="17" s="1"/>
  <c r="Q274" i="17"/>
  <c r="U274" i="17" s="1"/>
  <c r="Q146" i="17"/>
  <c r="U146" i="17" s="1"/>
  <c r="Q223" i="17"/>
  <c r="U223" i="17" s="1"/>
  <c r="Q395" i="17"/>
  <c r="U395" i="17" s="1"/>
  <c r="R267" i="17"/>
  <c r="S267" i="17" s="1"/>
  <c r="R139" i="17"/>
  <c r="S139" i="17" s="1"/>
  <c r="R216" i="17"/>
  <c r="S216" i="17" s="1"/>
  <c r="Q15" i="17"/>
  <c r="U15" i="17" s="1"/>
  <c r="Q32" i="17"/>
  <c r="U32" i="17" s="1"/>
  <c r="Q96" i="17"/>
  <c r="U96" i="17" s="1"/>
  <c r="Q626" i="17"/>
  <c r="D636" i="17" s="1"/>
  <c r="R367" i="17"/>
  <c r="S367" i="17" s="1"/>
  <c r="Q364" i="17"/>
  <c r="U364" i="17" s="1"/>
  <c r="Q162" i="17"/>
  <c r="U162" i="17" s="1"/>
  <c r="R416" i="17"/>
  <c r="S416" i="17" s="1"/>
  <c r="R155" i="17"/>
  <c r="S155" i="17" s="1"/>
  <c r="Q117" i="17"/>
  <c r="Q88" i="17"/>
  <c r="U88" i="17" s="1"/>
  <c r="R431" i="17"/>
  <c r="S431" i="17" s="1"/>
  <c r="Q194" i="17"/>
  <c r="U194" i="17" s="1"/>
  <c r="R187" i="17"/>
  <c r="S187" i="17" s="1"/>
  <c r="Q72" i="17"/>
  <c r="U72" i="17" s="1"/>
  <c r="Q258" i="17"/>
  <c r="U258" i="17" s="1"/>
  <c r="Q40" i="17"/>
  <c r="U40" i="17" s="1"/>
  <c r="Q104" i="17"/>
  <c r="U104" i="17" s="1"/>
  <c r="R533" i="17"/>
  <c r="S533" i="17" s="1"/>
  <c r="Q554" i="17"/>
  <c r="U554" i="17" s="1"/>
  <c r="Q586" i="17"/>
  <c r="U586" i="17" s="1"/>
  <c r="Q555" i="17"/>
  <c r="U555" i="17" s="1"/>
  <c r="Q571" i="17"/>
  <c r="U571" i="17" s="1"/>
  <c r="Q587" i="17"/>
  <c r="U587" i="17" s="1"/>
  <c r="R603" i="17"/>
  <c r="S603" i="17" s="1"/>
  <c r="R600" i="17"/>
  <c r="S600" i="17" s="1"/>
  <c r="Q565" i="17"/>
  <c r="U565" i="17" s="1"/>
  <c r="R527" i="17"/>
  <c r="S527" i="17" s="1"/>
  <c r="R512" i="17"/>
  <c r="S512" i="17" s="1"/>
  <c r="R448" i="17"/>
  <c r="S448" i="17" s="1"/>
  <c r="R487" i="17"/>
  <c r="S487" i="17" s="1"/>
  <c r="R423" i="17"/>
  <c r="S423" i="17" s="1"/>
  <c r="R359" i="17"/>
  <c r="S359" i="17" s="1"/>
  <c r="Q607" i="17"/>
  <c r="U607" i="17" s="1"/>
  <c r="R562" i="17"/>
  <c r="S562" i="17" s="1"/>
  <c r="Q524" i="17"/>
  <c r="U524" i="17" s="1"/>
  <c r="Q509" i="17"/>
  <c r="U509" i="17" s="1"/>
  <c r="Q445" i="17"/>
  <c r="U445" i="17" s="1"/>
  <c r="Q484" i="17"/>
  <c r="U484" i="17" s="1"/>
  <c r="Q420" i="17"/>
  <c r="U420" i="17" s="1"/>
  <c r="Q356" i="17"/>
  <c r="U356" i="17" s="1"/>
  <c r="R382" i="17"/>
  <c r="S382" i="17" s="1"/>
  <c r="R350" i="17"/>
  <c r="S350" i="17" s="1"/>
  <c r="R318" i="17"/>
  <c r="S318" i="17" s="1"/>
  <c r="Q286" i="17"/>
  <c r="U286" i="17" s="1"/>
  <c r="Q254" i="17"/>
  <c r="U254" i="17" s="1"/>
  <c r="Q222" i="17"/>
  <c r="U222" i="17" s="1"/>
  <c r="Q190" i="17"/>
  <c r="U190" i="17" s="1"/>
  <c r="Q158" i="17"/>
  <c r="U158" i="17" s="1"/>
  <c r="Q126" i="17"/>
  <c r="U126" i="17" s="1"/>
  <c r="Q299" i="17"/>
  <c r="U299" i="17" s="1"/>
  <c r="Q267" i="17"/>
  <c r="U267" i="17" s="1"/>
  <c r="Q235" i="17"/>
  <c r="U235" i="17" s="1"/>
  <c r="Q203" i="17"/>
  <c r="U203" i="17" s="1"/>
  <c r="Q171" i="17"/>
  <c r="U171" i="17" s="1"/>
  <c r="Q139" i="17"/>
  <c r="U139" i="17" s="1"/>
  <c r="R408" i="17"/>
  <c r="S408" i="17" s="1"/>
  <c r="Q375" i="17"/>
  <c r="U375" i="17" s="1"/>
  <c r="Q343" i="17"/>
  <c r="U343" i="17" s="1"/>
  <c r="R311" i="17"/>
  <c r="S311" i="17" s="1"/>
  <c r="R279" i="17"/>
  <c r="S279" i="17" s="1"/>
  <c r="R247" i="17"/>
  <c r="S247" i="17" s="1"/>
  <c r="R215" i="17"/>
  <c r="S215" i="17" s="1"/>
  <c r="R183" i="17"/>
  <c r="S183" i="17" s="1"/>
  <c r="R151" i="17"/>
  <c r="S151" i="17" s="1"/>
  <c r="R119" i="17"/>
  <c r="S119" i="17" s="1"/>
  <c r="R292" i="17"/>
  <c r="S292" i="17" s="1"/>
  <c r="R260" i="17"/>
  <c r="S260" i="17" s="1"/>
  <c r="R228" i="17"/>
  <c r="S228" i="17" s="1"/>
  <c r="R196" i="17"/>
  <c r="S196" i="17" s="1"/>
  <c r="R164" i="17"/>
  <c r="S164" i="17" s="1"/>
  <c r="R132" i="17"/>
  <c r="S132" i="17" s="1"/>
  <c r="R112" i="17"/>
  <c r="S112" i="17" s="1"/>
  <c r="Q35" i="17"/>
  <c r="U35" i="17" s="1"/>
  <c r="Q67" i="17"/>
  <c r="U67" i="17" s="1"/>
  <c r="Q99" i="17"/>
  <c r="U99" i="17" s="1"/>
  <c r="Q26" i="17"/>
  <c r="U26" i="17" s="1"/>
  <c r="Q42" i="17"/>
  <c r="U42" i="17" s="1"/>
  <c r="Q58" i="17"/>
  <c r="U58" i="17" s="1"/>
  <c r="Q74" i="17"/>
  <c r="U74" i="17" s="1"/>
  <c r="Q90" i="17"/>
  <c r="U90" i="17" s="1"/>
  <c r="Q106" i="17"/>
  <c r="U106" i="17" s="1"/>
  <c r="R38" i="17"/>
  <c r="S38" i="17" s="1"/>
  <c r="R70" i="17"/>
  <c r="S70" i="17" s="1"/>
  <c r="R102" i="17"/>
  <c r="S102" i="17" s="1"/>
  <c r="Q589" i="17"/>
  <c r="U589" i="17" s="1"/>
  <c r="Q535" i="17"/>
  <c r="U535" i="17" s="1"/>
  <c r="R511" i="17"/>
  <c r="S511" i="17" s="1"/>
  <c r="R383" i="17"/>
  <c r="S383" i="17" s="1"/>
  <c r="R586" i="17"/>
  <c r="S586" i="17" s="1"/>
  <c r="R532" i="17"/>
  <c r="S532" i="17" s="1"/>
  <c r="Q508" i="17"/>
  <c r="U508" i="17" s="1"/>
  <c r="Q380" i="17"/>
  <c r="U380" i="17" s="1"/>
  <c r="R362" i="17"/>
  <c r="S362" i="17" s="1"/>
  <c r="Q298" i="17"/>
  <c r="U298" i="17" s="1"/>
  <c r="Q234" i="17"/>
  <c r="U234" i="17" s="1"/>
  <c r="Q170" i="17"/>
  <c r="U170" i="17" s="1"/>
  <c r="Q311" i="17"/>
  <c r="U311" i="17" s="1"/>
  <c r="Q247" i="17"/>
  <c r="U247" i="17" s="1"/>
  <c r="Q183" i="17"/>
  <c r="U183" i="17" s="1"/>
  <c r="Q330" i="17"/>
  <c r="Q355" i="17"/>
  <c r="U355" i="17" s="1"/>
  <c r="R291" i="17"/>
  <c r="S291" i="17" s="1"/>
  <c r="R227" i="17"/>
  <c r="S227" i="17" s="1"/>
  <c r="R163" i="17"/>
  <c r="S163" i="17" s="1"/>
  <c r="R304" i="17"/>
  <c r="S304" i="17" s="1"/>
  <c r="R240" i="17"/>
  <c r="S240" i="17" s="1"/>
  <c r="R176" i="17"/>
  <c r="S176" i="17" s="1"/>
  <c r="Q115" i="17"/>
  <c r="U115" i="17" s="1"/>
  <c r="Q55" i="17"/>
  <c r="U55" i="17" s="1"/>
  <c r="Q20" i="17"/>
  <c r="U20" i="17" s="1"/>
  <c r="Q52" i="17"/>
  <c r="U52" i="17" s="1"/>
  <c r="Q84" i="17"/>
  <c r="U84" i="17" s="1"/>
  <c r="R26" i="17"/>
  <c r="S26" i="17" s="1"/>
  <c r="R90" i="17"/>
  <c r="S90" i="17" s="1"/>
  <c r="R559" i="17"/>
  <c r="S559" i="17" s="1"/>
  <c r="R399" i="17"/>
  <c r="S399" i="17" s="1"/>
  <c r="R553" i="17"/>
  <c r="S553" i="17" s="1"/>
  <c r="Q396" i="17"/>
  <c r="U396" i="17" s="1"/>
  <c r="Q306" i="17"/>
  <c r="U306" i="17" s="1"/>
  <c r="Q178" i="17"/>
  <c r="U178" i="17" s="1"/>
  <c r="Q255" i="17"/>
  <c r="U255" i="17" s="1"/>
  <c r="Q127" i="17"/>
  <c r="U127" i="17" s="1"/>
  <c r="R299" i="17"/>
  <c r="S299" i="17" s="1"/>
  <c r="R171" i="17"/>
  <c r="S171" i="17" s="1"/>
  <c r="R248" i="17"/>
  <c r="S248" i="17" s="1"/>
  <c r="R120" i="17"/>
  <c r="S120" i="17" s="1"/>
  <c r="R13" i="17"/>
  <c r="S13" i="17" s="1"/>
  <c r="Q80" i="17"/>
  <c r="U80" i="17" s="1"/>
  <c r="R82" i="17"/>
  <c r="S82" i="17" s="1"/>
  <c r="R495" i="17"/>
  <c r="S495" i="17" s="1"/>
  <c r="Q492" i="17"/>
  <c r="U492" i="17" s="1"/>
  <c r="Q226" i="17"/>
  <c r="U226" i="17" s="1"/>
  <c r="Q175" i="17"/>
  <c r="U175" i="17" s="1"/>
  <c r="R219" i="17"/>
  <c r="S219" i="17" s="1"/>
  <c r="R168" i="17"/>
  <c r="S168" i="17" s="1"/>
  <c r="Q56" i="17"/>
  <c r="U56" i="17" s="1"/>
  <c r="R535" i="17"/>
  <c r="S535" i="17" s="1"/>
  <c r="R322" i="17"/>
  <c r="S322" i="17" s="1"/>
  <c r="Q315" i="17"/>
  <c r="U315" i="17" s="1"/>
  <c r="Q95" i="17"/>
  <c r="U95" i="17" s="1"/>
  <c r="Q453" i="17"/>
  <c r="U453" i="17" s="1"/>
  <c r="R200" i="17"/>
  <c r="S200" i="17" s="1"/>
  <c r="R123" i="17"/>
  <c r="S123" i="17" s="1"/>
  <c r="Q379" i="17"/>
  <c r="U379" i="17" s="1"/>
  <c r="R606" i="17"/>
  <c r="S606" i="17" s="1"/>
  <c r="Q593" i="17"/>
  <c r="U593" i="17" s="1"/>
  <c r="Q561" i="17"/>
  <c r="U561" i="17" s="1"/>
  <c r="Q566" i="17"/>
  <c r="U566" i="17" s="1"/>
  <c r="R523" i="17"/>
  <c r="S523" i="17" s="1"/>
  <c r="Q539" i="17"/>
  <c r="U539" i="17" s="1"/>
  <c r="R508" i="17"/>
  <c r="S508" i="17" s="1"/>
  <c r="R476" i="17"/>
  <c r="S476" i="17" s="1"/>
  <c r="R444" i="17"/>
  <c r="S444" i="17" s="1"/>
  <c r="R515" i="17"/>
  <c r="S515" i="17" s="1"/>
  <c r="R483" i="17"/>
  <c r="S483" i="17" s="1"/>
  <c r="R451" i="17"/>
  <c r="S451" i="17" s="1"/>
  <c r="R419" i="17"/>
  <c r="S419" i="17" s="1"/>
  <c r="R387" i="17"/>
  <c r="S387" i="17" s="1"/>
  <c r="R355" i="17"/>
  <c r="S355" i="17" s="1"/>
  <c r="R323" i="17"/>
  <c r="S323" i="17" s="1"/>
  <c r="Q603" i="17"/>
  <c r="U603" i="17" s="1"/>
  <c r="R590" i="17"/>
  <c r="S590" i="17" s="1"/>
  <c r="R558" i="17"/>
  <c r="S558" i="17" s="1"/>
  <c r="Q560" i="17"/>
  <c r="U560" i="17" s="1"/>
  <c r="R593" i="17"/>
  <c r="S593" i="17" s="1"/>
  <c r="R536" i="17"/>
  <c r="S536" i="17" s="1"/>
  <c r="Q505" i="17"/>
  <c r="U505" i="17" s="1"/>
  <c r="Q473" i="17"/>
  <c r="U473" i="17" s="1"/>
  <c r="Q441" i="17"/>
  <c r="U441" i="17" s="1"/>
  <c r="Q512" i="17"/>
  <c r="U512" i="17" s="1"/>
  <c r="Q480" i="17"/>
  <c r="U480" i="17" s="1"/>
  <c r="Q448" i="17"/>
  <c r="U448" i="17" s="1"/>
  <c r="Q416" i="17"/>
  <c r="U416" i="17" s="1"/>
  <c r="Q384" i="17"/>
  <c r="U384" i="17" s="1"/>
  <c r="Q352" i="17"/>
  <c r="U352" i="17" s="1"/>
  <c r="R406" i="17"/>
  <c r="S406" i="17" s="1"/>
  <c r="R380" i="17"/>
  <c r="S380" i="17" s="1"/>
  <c r="R364" i="17"/>
  <c r="S364" i="17" s="1"/>
  <c r="R348" i="17"/>
  <c r="S348" i="17" s="1"/>
  <c r="R332" i="17"/>
  <c r="S332" i="17" s="1"/>
  <c r="R316" i="17"/>
  <c r="S316" i="17" s="1"/>
  <c r="Q300" i="17"/>
  <c r="Q284" i="17"/>
  <c r="U284" i="17" s="1"/>
  <c r="Q268" i="17"/>
  <c r="U268" i="17" s="1"/>
  <c r="Q252" i="17"/>
  <c r="U252" i="17" s="1"/>
  <c r="Q236" i="17"/>
  <c r="U236" i="17" s="1"/>
  <c r="Q220" i="17"/>
  <c r="U220" i="17" s="1"/>
  <c r="Q204" i="17"/>
  <c r="U204" i="17" s="1"/>
  <c r="Q188" i="17"/>
  <c r="U188" i="17" s="1"/>
  <c r="Q172" i="17"/>
  <c r="U172" i="17" s="1"/>
  <c r="Q156" i="17"/>
  <c r="U156" i="17" s="1"/>
  <c r="Q140" i="17"/>
  <c r="U140" i="17" s="1"/>
  <c r="Q124" i="17"/>
  <c r="U124" i="17" s="1"/>
  <c r="Q313" i="17"/>
  <c r="U313" i="17" s="1"/>
  <c r="Q297" i="17"/>
  <c r="U297" i="17" s="1"/>
  <c r="Q281" i="17"/>
  <c r="U281" i="17" s="1"/>
  <c r="Q265" i="17"/>
  <c r="U265" i="17" s="1"/>
  <c r="Q249" i="17"/>
  <c r="U249" i="17" s="1"/>
  <c r="Q233" i="17"/>
  <c r="U233" i="17" s="1"/>
  <c r="Q217" i="17"/>
  <c r="U217" i="17" s="1"/>
  <c r="Q201" i="17"/>
  <c r="U201" i="17" s="1"/>
  <c r="Q185" i="17"/>
  <c r="U185" i="17" s="1"/>
  <c r="Q169" i="17"/>
  <c r="U169" i="17" s="1"/>
  <c r="Q153" i="17"/>
  <c r="U153" i="17" s="1"/>
  <c r="Q137" i="17"/>
  <c r="U137" i="17" s="1"/>
  <c r="Q334" i="17"/>
  <c r="U334" i="17" s="1"/>
  <c r="Q405" i="17"/>
  <c r="U405" i="17" s="1"/>
  <c r="Q389" i="17"/>
  <c r="U389" i="17" s="1"/>
  <c r="Q373" i="17"/>
  <c r="U373" i="17" s="1"/>
  <c r="Q357" i="17"/>
  <c r="U357" i="17" s="1"/>
  <c r="Q341" i="17"/>
  <c r="U341" i="17" s="1"/>
  <c r="Q325" i="17"/>
  <c r="U325" i="17" s="1"/>
  <c r="R309" i="17"/>
  <c r="S309" i="17" s="1"/>
  <c r="R293" i="17"/>
  <c r="S293" i="17" s="1"/>
  <c r="R277" i="17"/>
  <c r="S277" i="17" s="1"/>
  <c r="R261" i="17"/>
  <c r="S261" i="17" s="1"/>
  <c r="R245" i="17"/>
  <c r="S245" i="17" s="1"/>
  <c r="R229" i="17"/>
  <c r="S229" i="17" s="1"/>
  <c r="R213" i="17"/>
  <c r="S213" i="17" s="1"/>
  <c r="R197" i="17"/>
  <c r="S197" i="17" s="1"/>
  <c r="R181" i="17"/>
  <c r="S181" i="17" s="1"/>
  <c r="R165" i="17"/>
  <c r="S165" i="17" s="1"/>
  <c r="R149" i="17"/>
  <c r="S149" i="17" s="1"/>
  <c r="R133" i="17"/>
  <c r="S133" i="17" s="1"/>
  <c r="R117" i="17"/>
  <c r="S117" i="17" s="1"/>
  <c r="R306" i="17"/>
  <c r="S306" i="17" s="1"/>
  <c r="R290" i="17"/>
  <c r="S290" i="17" s="1"/>
  <c r="R274" i="17"/>
  <c r="S274" i="17" s="1"/>
  <c r="R258" i="17"/>
  <c r="S258" i="17" s="1"/>
  <c r="R242" i="17"/>
  <c r="S242" i="17" s="1"/>
  <c r="R226" i="17"/>
  <c r="S226" i="17" s="1"/>
  <c r="R210" i="17"/>
  <c r="S210" i="17" s="1"/>
  <c r="R194" i="17"/>
  <c r="S194" i="17" s="1"/>
  <c r="R178" i="17"/>
  <c r="S178" i="17" s="1"/>
  <c r="R162" i="17"/>
  <c r="S162" i="17" s="1"/>
  <c r="R146" i="17"/>
  <c r="S146" i="17" s="1"/>
  <c r="R130" i="17"/>
  <c r="S130" i="17" s="1"/>
  <c r="Q119" i="17"/>
  <c r="U119" i="17" s="1"/>
  <c r="R110" i="17"/>
  <c r="S110" i="17" s="1"/>
  <c r="Q21" i="17"/>
  <c r="U21" i="17" s="1"/>
  <c r="Q37" i="17"/>
  <c r="U37" i="17" s="1"/>
  <c r="Q53" i="17"/>
  <c r="U53" i="17" s="1"/>
  <c r="Q69" i="17"/>
  <c r="U69" i="17" s="1"/>
  <c r="Q85" i="17"/>
  <c r="U85" i="17" s="1"/>
  <c r="Q101" i="17"/>
  <c r="U101" i="17" s="1"/>
  <c r="R19" i="17"/>
  <c r="S19" i="17" s="1"/>
  <c r="R27" i="17"/>
  <c r="S27" i="17" s="1"/>
  <c r="R35" i="17"/>
  <c r="S35" i="17" s="1"/>
  <c r="R43" i="17"/>
  <c r="S43" i="17" s="1"/>
  <c r="R51" i="17"/>
  <c r="S51" i="17" s="1"/>
  <c r="R59" i="17"/>
  <c r="S59" i="17" s="1"/>
  <c r="R67" i="17"/>
  <c r="S67" i="17" s="1"/>
  <c r="R75" i="17"/>
  <c r="S75" i="17" s="1"/>
  <c r="R83" i="17"/>
  <c r="S83" i="17" s="1"/>
  <c r="R91" i="17"/>
  <c r="S91" i="17" s="1"/>
  <c r="R99" i="17"/>
  <c r="S99" i="17" s="1"/>
  <c r="R107" i="17"/>
  <c r="S107" i="17" s="1"/>
  <c r="R24" i="17"/>
  <c r="S24" i="17" s="1"/>
  <c r="R40" i="17"/>
  <c r="S40" i="17" s="1"/>
  <c r="R56" i="17"/>
  <c r="S56" i="17" s="1"/>
  <c r="R72" i="17"/>
  <c r="S72" i="17" s="1"/>
  <c r="R88" i="17"/>
  <c r="S88" i="17" s="1"/>
  <c r="R104" i="17"/>
  <c r="S104" i="17" s="1"/>
  <c r="R623" i="17"/>
  <c r="S623" i="17" s="1"/>
  <c r="R400" i="17"/>
  <c r="S400" i="17" s="1"/>
  <c r="Q324" i="17"/>
  <c r="U324" i="17" s="1"/>
  <c r="Q346" i="17"/>
  <c r="U346" i="17" s="1"/>
  <c r="Q362" i="17"/>
  <c r="U362" i="17" s="1"/>
  <c r="Q378" i="17"/>
  <c r="U378" i="17" s="1"/>
  <c r="Q394" i="17"/>
  <c r="U394" i="17" s="1"/>
  <c r="Q410" i="17"/>
  <c r="U410" i="17" s="1"/>
  <c r="Q426" i="17"/>
  <c r="U426" i="17" s="1"/>
  <c r="Q442" i="17"/>
  <c r="U442" i="17" s="1"/>
  <c r="Q458" i="17"/>
  <c r="U458" i="17" s="1"/>
  <c r="Q474" i="17"/>
  <c r="U474" i="17" s="1"/>
  <c r="Q490" i="17"/>
  <c r="U490" i="17" s="1"/>
  <c r="Q506" i="17"/>
  <c r="U506" i="17" s="1"/>
  <c r="Q419" i="17"/>
  <c r="U419" i="17" s="1"/>
  <c r="Q435" i="17"/>
  <c r="U435" i="17" s="1"/>
  <c r="Q451" i="17"/>
  <c r="U451" i="17" s="1"/>
  <c r="Q467" i="17"/>
  <c r="U467" i="17" s="1"/>
  <c r="Q483" i="17"/>
  <c r="U483" i="17" s="1"/>
  <c r="Q499" i="17"/>
  <c r="U499" i="17" s="1"/>
  <c r="Q515" i="17"/>
  <c r="U515" i="17" s="1"/>
  <c r="R530" i="17"/>
  <c r="S530" i="17" s="1"/>
  <c r="R549" i="17"/>
  <c r="S549" i="17" s="1"/>
  <c r="R581" i="17"/>
  <c r="S581" i="17" s="1"/>
  <c r="Q530" i="17"/>
  <c r="U530" i="17" s="1"/>
  <c r="Q548" i="17"/>
  <c r="U548" i="17" s="1"/>
  <c r="Q580" i="17"/>
  <c r="U580" i="17" s="1"/>
  <c r="R552" i="17"/>
  <c r="S552" i="17" s="1"/>
  <c r="R568" i="17"/>
  <c r="S568" i="17" s="1"/>
  <c r="R584" i="17"/>
  <c r="S584" i="17" s="1"/>
  <c r="Q600" i="17"/>
  <c r="U600" i="17" s="1"/>
  <c r="Q597" i="17"/>
  <c r="U597" i="17" s="1"/>
  <c r="Q613" i="17"/>
  <c r="R317" i="17"/>
  <c r="S317" i="17" s="1"/>
  <c r="R333" i="17"/>
  <c r="S333" i="17" s="1"/>
  <c r="R349" i="17"/>
  <c r="S349" i="17" s="1"/>
  <c r="R365" i="17"/>
  <c r="S365" i="17" s="1"/>
  <c r="R381" i="17"/>
  <c r="S381" i="17" s="1"/>
  <c r="R397" i="17"/>
  <c r="S397" i="17" s="1"/>
  <c r="R413" i="17"/>
  <c r="S413" i="17" s="1"/>
  <c r="R429" i="17"/>
  <c r="S429" i="17" s="1"/>
  <c r="R445" i="17"/>
  <c r="S445" i="17" s="1"/>
  <c r="R461" i="17"/>
  <c r="S461" i="17" s="1"/>
  <c r="R477" i="17"/>
  <c r="S477" i="17" s="1"/>
  <c r="R493" i="17"/>
  <c r="S493" i="17" s="1"/>
  <c r="R509" i="17"/>
  <c r="S509" i="17" s="1"/>
  <c r="R422" i="17"/>
  <c r="S422" i="17" s="1"/>
  <c r="R438" i="17"/>
  <c r="S438" i="17" s="1"/>
  <c r="R454" i="17"/>
  <c r="S454" i="17" s="1"/>
  <c r="R470" i="17"/>
  <c r="S470" i="17" s="1"/>
  <c r="R486" i="17"/>
  <c r="S486" i="17" s="1"/>
  <c r="R502" i="17"/>
  <c r="S502" i="17" s="1"/>
  <c r="R519" i="17"/>
  <c r="S519" i="17" s="1"/>
  <c r="Q533" i="17"/>
  <c r="U533" i="17" s="1"/>
  <c r="R555" i="17"/>
  <c r="S555" i="17" s="1"/>
  <c r="R587" i="17"/>
  <c r="S587" i="17" s="1"/>
  <c r="R598" i="17"/>
  <c r="S598" i="17" s="1"/>
  <c r="Q585" i="17"/>
  <c r="U585" i="17" s="1"/>
  <c r="Q553" i="17"/>
  <c r="U553" i="17" s="1"/>
  <c r="Q550" i="17"/>
  <c r="U550" i="17" s="1"/>
  <c r="R583" i="17"/>
  <c r="S583" i="17" s="1"/>
  <c r="Q531" i="17"/>
  <c r="U531" i="17" s="1"/>
  <c r="R500" i="17"/>
  <c r="S500" i="17" s="1"/>
  <c r="R468" i="17"/>
  <c r="S468" i="17" s="1"/>
  <c r="R436" i="17"/>
  <c r="S436" i="17" s="1"/>
  <c r="R507" i="17"/>
  <c r="S507" i="17" s="1"/>
  <c r="R475" i="17"/>
  <c r="S475" i="17" s="1"/>
  <c r="R443" i="17"/>
  <c r="S443" i="17" s="1"/>
  <c r="R411" i="17"/>
  <c r="S411" i="17" s="1"/>
  <c r="R379" i="17"/>
  <c r="S379" i="17" s="1"/>
  <c r="R347" i="17"/>
  <c r="S347" i="17" s="1"/>
  <c r="R315" i="17"/>
  <c r="S315" i="17" s="1"/>
  <c r="Q595" i="17"/>
  <c r="U595" i="17" s="1"/>
  <c r="R582" i="17"/>
  <c r="S582" i="17" s="1"/>
  <c r="R550" i="17"/>
  <c r="S550" i="17" s="1"/>
  <c r="Q544" i="17"/>
  <c r="U544" i="17" s="1"/>
  <c r="R577" i="17"/>
  <c r="S577" i="17" s="1"/>
  <c r="R528" i="17"/>
  <c r="S528" i="17" s="1"/>
  <c r="Q497" i="17"/>
  <c r="U497" i="17" s="1"/>
  <c r="Q465" i="17"/>
  <c r="U465" i="17" s="1"/>
  <c r="Q433" i="17"/>
  <c r="U433" i="17" s="1"/>
  <c r="Q504" i="17"/>
  <c r="U504" i="17" s="1"/>
  <c r="Q472" i="17"/>
  <c r="U472" i="17" s="1"/>
  <c r="Q440" i="17"/>
  <c r="U440" i="17" s="1"/>
  <c r="Q408" i="17"/>
  <c r="U408" i="17" s="1"/>
  <c r="Q376" i="17"/>
  <c r="U376" i="17" s="1"/>
  <c r="Q344" i="17"/>
  <c r="U344" i="17" s="1"/>
  <c r="R398" i="17"/>
  <c r="S398" i="17" s="1"/>
  <c r="R376" i="17"/>
  <c r="S376" i="17" s="1"/>
  <c r="R360" i="17"/>
  <c r="S360" i="17" s="1"/>
  <c r="R344" i="17"/>
  <c r="S344" i="17" s="1"/>
  <c r="R328" i="17"/>
  <c r="S328" i="17" s="1"/>
  <c r="Q312" i="17"/>
  <c r="U312" i="17" s="1"/>
  <c r="Q296" i="17"/>
  <c r="U296" i="17" s="1"/>
  <c r="Q280" i="17"/>
  <c r="U280" i="17" s="1"/>
  <c r="Q264" i="17"/>
  <c r="U264" i="17" s="1"/>
  <c r="Q248" i="17"/>
  <c r="U248" i="17" s="1"/>
  <c r="Q232" i="17"/>
  <c r="U232" i="17" s="1"/>
  <c r="Q216" i="17"/>
  <c r="U216" i="17" s="1"/>
  <c r="Q200" i="17"/>
  <c r="U200" i="17" s="1"/>
  <c r="Q184" i="17"/>
  <c r="U184" i="17" s="1"/>
  <c r="Q168" i="17"/>
  <c r="U168" i="17" s="1"/>
  <c r="Q152" i="17"/>
  <c r="U152" i="17" s="1"/>
  <c r="Q136" i="17"/>
  <c r="U136" i="17" s="1"/>
  <c r="Q120" i="17"/>
  <c r="U120" i="17" s="1"/>
  <c r="Q309" i="17"/>
  <c r="U309" i="17" s="1"/>
  <c r="Q293" i="17"/>
  <c r="Q277" i="17"/>
  <c r="U277" i="17" s="1"/>
  <c r="Q261" i="17"/>
  <c r="U261" i="17" s="1"/>
  <c r="Q245" i="17"/>
  <c r="U245" i="17" s="1"/>
  <c r="Q229" i="17"/>
  <c r="U229" i="17" s="1"/>
  <c r="Q213" i="17"/>
  <c r="U213" i="17" s="1"/>
  <c r="Q197" i="17"/>
  <c r="U197" i="17" s="1"/>
  <c r="Q181" i="17"/>
  <c r="U181" i="17" s="1"/>
  <c r="Q165" i="17"/>
  <c r="U165" i="17" s="1"/>
  <c r="Q149" i="17"/>
  <c r="U149" i="17" s="1"/>
  <c r="Q133" i="17"/>
  <c r="U133" i="17" s="1"/>
  <c r="Q326" i="17"/>
  <c r="U326" i="17" s="1"/>
  <c r="Q401" i="17"/>
  <c r="U401" i="17" s="1"/>
  <c r="Q385" i="17"/>
  <c r="U385" i="17" s="1"/>
  <c r="Q369" i="17"/>
  <c r="U369" i="17" s="1"/>
  <c r="Q353" i="17"/>
  <c r="U353" i="17" s="1"/>
  <c r="Q337" i="17"/>
  <c r="U337" i="17" s="1"/>
  <c r="Q321" i="17"/>
  <c r="U321" i="17" s="1"/>
  <c r="R305" i="17"/>
  <c r="S305" i="17" s="1"/>
  <c r="R289" i="17"/>
  <c r="S289" i="17" s="1"/>
  <c r="R273" i="17"/>
  <c r="S273" i="17" s="1"/>
  <c r="R257" i="17"/>
  <c r="S257" i="17" s="1"/>
  <c r="R241" i="17"/>
  <c r="S241" i="17" s="1"/>
  <c r="R225" i="17"/>
  <c r="S225" i="17" s="1"/>
  <c r="R209" i="17"/>
  <c r="S209" i="17" s="1"/>
  <c r="R193" i="17"/>
  <c r="S193" i="17" s="1"/>
  <c r="R177" i="17"/>
  <c r="S177" i="17" s="1"/>
  <c r="R161" i="17"/>
  <c r="S161" i="17" s="1"/>
  <c r="R145" i="17"/>
  <c r="S145" i="17" s="1"/>
  <c r="R129" i="17"/>
  <c r="S129" i="17" s="1"/>
  <c r="R113" i="17"/>
  <c r="S113" i="17" s="1"/>
  <c r="R302" i="17"/>
  <c r="S302" i="17" s="1"/>
  <c r="R286" i="17"/>
  <c r="S286" i="17" s="1"/>
  <c r="R270" i="17"/>
  <c r="S270" i="17" s="1"/>
  <c r="R254" i="17"/>
  <c r="S254" i="17" s="1"/>
  <c r="R238" i="17"/>
  <c r="S238" i="17" s="1"/>
  <c r="R222" i="17"/>
  <c r="S222" i="17" s="1"/>
  <c r="R206" i="17"/>
  <c r="S206" i="17" s="1"/>
  <c r="R190" i="17"/>
  <c r="S190" i="17" s="1"/>
  <c r="R174" i="17"/>
  <c r="S174" i="17" s="1"/>
  <c r="R158" i="17"/>
  <c r="S158" i="17" s="1"/>
  <c r="R142" i="17"/>
  <c r="S142" i="17" s="1"/>
  <c r="R126" i="17"/>
  <c r="S126" i="17" s="1"/>
  <c r="Q113" i="17"/>
  <c r="U113" i="17" s="1"/>
  <c r="Q16" i="17"/>
  <c r="U16" i="17" s="1"/>
  <c r="Q25" i="17"/>
  <c r="U25" i="17" s="1"/>
  <c r="Q41" i="17"/>
  <c r="U41" i="17" s="1"/>
  <c r="Q57" i="17"/>
  <c r="U57" i="17" s="1"/>
  <c r="Q73" i="17"/>
  <c r="U73" i="17" s="1"/>
  <c r="Q89" i="17"/>
  <c r="U89" i="17" s="1"/>
  <c r="Q105" i="17"/>
  <c r="U105" i="17" s="1"/>
  <c r="R21" i="17"/>
  <c r="S21" i="17" s="1"/>
  <c r="R29" i="17"/>
  <c r="S29" i="17" s="1"/>
  <c r="R37" i="17"/>
  <c r="S37" i="17" s="1"/>
  <c r="R45" i="17"/>
  <c r="S45" i="17" s="1"/>
  <c r="R53" i="17"/>
  <c r="S53" i="17" s="1"/>
  <c r="R61" i="17"/>
  <c r="S61" i="17" s="1"/>
  <c r="R69" i="17"/>
  <c r="S69" i="17" s="1"/>
  <c r="R77" i="17"/>
  <c r="S77" i="17" s="1"/>
  <c r="R85" i="17"/>
  <c r="S85" i="17" s="1"/>
  <c r="R93" i="17"/>
  <c r="S93" i="17" s="1"/>
  <c r="R101" i="17"/>
  <c r="S101" i="17" s="1"/>
  <c r="R109" i="17"/>
  <c r="S109" i="17" s="1"/>
  <c r="R28" i="17"/>
  <c r="S28" i="17" s="1"/>
  <c r="R44" i="17"/>
  <c r="S44" i="17" s="1"/>
  <c r="R60" i="17"/>
  <c r="S60" i="17" s="1"/>
  <c r="R76" i="17"/>
  <c r="S76" i="17" s="1"/>
  <c r="R92" i="17"/>
  <c r="S92" i="17" s="1"/>
  <c r="R108" i="17"/>
  <c r="S108" i="17" s="1"/>
  <c r="R388" i="17"/>
  <c r="S388" i="17" s="1"/>
  <c r="R404" i="17"/>
  <c r="S404" i="17" s="1"/>
  <c r="Q332" i="17"/>
  <c r="U332" i="17" s="1"/>
  <c r="Q350" i="17"/>
  <c r="U350" i="17" s="1"/>
  <c r="Q366" i="17"/>
  <c r="U366" i="17" s="1"/>
  <c r="Q382" i="17"/>
  <c r="U382" i="17" s="1"/>
  <c r="Q398" i="17"/>
  <c r="U398" i="17" s="1"/>
  <c r="Q414" i="17"/>
  <c r="U414" i="17" s="1"/>
  <c r="Q430" i="17"/>
  <c r="Q446" i="17"/>
  <c r="U446" i="17" s="1"/>
  <c r="Q462" i="17"/>
  <c r="U462" i="17" s="1"/>
  <c r="Q478" i="17"/>
  <c r="U478" i="17" s="1"/>
  <c r="Q494" i="17"/>
  <c r="U494" i="17" s="1"/>
  <c r="Q510" i="17"/>
  <c r="U510" i="17" s="1"/>
  <c r="Q423" i="17"/>
  <c r="U423" i="17" s="1"/>
  <c r="Q439" i="17"/>
  <c r="U439" i="17" s="1"/>
  <c r="Q455" i="17"/>
  <c r="U455" i="17" s="1"/>
  <c r="Q471" i="17"/>
  <c r="U471" i="17" s="1"/>
  <c r="Q487" i="17"/>
  <c r="Q503" i="17"/>
  <c r="U503" i="17" s="1"/>
  <c r="R518" i="17"/>
  <c r="S518" i="17" s="1"/>
  <c r="R534" i="17"/>
  <c r="S534" i="17" s="1"/>
  <c r="R557" i="17"/>
  <c r="S557" i="17" s="1"/>
  <c r="R589" i="17"/>
  <c r="S589" i="17" s="1"/>
  <c r="Q534" i="17"/>
  <c r="U534" i="17" s="1"/>
  <c r="Q556" i="17"/>
  <c r="U556" i="17" s="1"/>
  <c r="Q588" i="17"/>
  <c r="U588" i="17" s="1"/>
  <c r="R556" i="17"/>
  <c r="S556" i="17" s="1"/>
  <c r="R572" i="17"/>
  <c r="S572" i="17" s="1"/>
  <c r="R588" i="17"/>
  <c r="S588" i="17" s="1"/>
  <c r="Q604" i="17"/>
  <c r="U604" i="17" s="1"/>
  <c r="Q601" i="17"/>
  <c r="U601" i="17" s="1"/>
  <c r="Q407" i="17"/>
  <c r="U407" i="17" s="1"/>
  <c r="R321" i="17"/>
  <c r="S321" i="17" s="1"/>
  <c r="R337" i="17"/>
  <c r="S337" i="17" s="1"/>
  <c r="R353" i="17"/>
  <c r="S353" i="17" s="1"/>
  <c r="R369" i="17"/>
  <c r="S369" i="17" s="1"/>
  <c r="R385" i="17"/>
  <c r="S385" i="17" s="1"/>
  <c r="R401" i="17"/>
  <c r="S401" i="17" s="1"/>
  <c r="R417" i="17"/>
  <c r="S417" i="17" s="1"/>
  <c r="R433" i="17"/>
  <c r="S433" i="17" s="1"/>
  <c r="R449" i="17"/>
  <c r="S449" i="17" s="1"/>
  <c r="R465" i="17"/>
  <c r="S465" i="17" s="1"/>
  <c r="R481" i="17"/>
  <c r="S481" i="17" s="1"/>
  <c r="R497" i="17"/>
  <c r="S497" i="17" s="1"/>
  <c r="R513" i="17"/>
  <c r="S513" i="17" s="1"/>
  <c r="R426" i="17"/>
  <c r="S426" i="17" s="1"/>
  <c r="R442" i="17"/>
  <c r="S442" i="17" s="1"/>
  <c r="R458" i="17"/>
  <c r="S458" i="17" s="1"/>
  <c r="R474" i="17"/>
  <c r="S474" i="17" s="1"/>
  <c r="R490" i="17"/>
  <c r="S490" i="17" s="1"/>
  <c r="R506" i="17"/>
  <c r="S506" i="17" s="1"/>
  <c r="Q521" i="17"/>
  <c r="U521" i="17" s="1"/>
  <c r="Q537" i="17"/>
  <c r="U537" i="17" s="1"/>
  <c r="R563" i="17"/>
  <c r="S563" i="17" s="1"/>
  <c r="R525" i="17"/>
  <c r="S525" i="17" s="1"/>
  <c r="R529" i="17"/>
  <c r="S529" i="17" s="1"/>
  <c r="Q546" i="17"/>
  <c r="U546" i="17" s="1"/>
  <c r="Q578" i="17"/>
  <c r="U578" i="17" s="1"/>
  <c r="Q551" i="17"/>
  <c r="U551" i="17" s="1"/>
  <c r="Q567" i="17"/>
  <c r="U567" i="17" s="1"/>
  <c r="Q583" i="17"/>
  <c r="U583" i="17" s="1"/>
  <c r="R599" i="17"/>
  <c r="S599" i="17" s="1"/>
  <c r="R596" i="17"/>
  <c r="S596" i="17" s="1"/>
  <c r="R612" i="17"/>
  <c r="S612" i="17" s="1"/>
  <c r="Q581" i="17"/>
  <c r="U581" i="17" s="1"/>
  <c r="R543" i="17"/>
  <c r="S543" i="17" s="1"/>
  <c r="Q527" i="17"/>
  <c r="U527" i="17" s="1"/>
  <c r="R464" i="17"/>
  <c r="S464" i="17" s="1"/>
  <c r="R503" i="17"/>
  <c r="S503" i="17" s="1"/>
  <c r="R439" i="17"/>
  <c r="S439" i="17" s="1"/>
  <c r="R375" i="17"/>
  <c r="S375" i="17" s="1"/>
  <c r="Q413" i="17"/>
  <c r="U413" i="17" s="1"/>
  <c r="R578" i="17"/>
  <c r="S578" i="17" s="1"/>
  <c r="Q540" i="17"/>
  <c r="U540" i="17" s="1"/>
  <c r="R524" i="17"/>
  <c r="S524" i="17" s="1"/>
  <c r="Q461" i="17"/>
  <c r="U461" i="17" s="1"/>
  <c r="Q500" i="17"/>
  <c r="U500" i="17" s="1"/>
  <c r="Q436" i="17"/>
  <c r="U436" i="17" s="1"/>
  <c r="Q372" i="17"/>
  <c r="U372" i="17" s="1"/>
  <c r="R394" i="17"/>
  <c r="S394" i="17" s="1"/>
  <c r="R358" i="17"/>
  <c r="S358" i="17" s="1"/>
  <c r="R326" i="17"/>
  <c r="S326" i="17" s="1"/>
  <c r="Q294" i="17"/>
  <c r="U294" i="17" s="1"/>
  <c r="Q262" i="17"/>
  <c r="U262" i="17" s="1"/>
  <c r="Q230" i="17"/>
  <c r="U230" i="17" s="1"/>
  <c r="Q198" i="17"/>
  <c r="U198" i="17" s="1"/>
  <c r="Q166" i="17"/>
  <c r="U166" i="17" s="1"/>
  <c r="Q134" i="17"/>
  <c r="U134" i="17" s="1"/>
  <c r="Q307" i="17"/>
  <c r="U307" i="17" s="1"/>
  <c r="Q275" i="17"/>
  <c r="U275" i="17" s="1"/>
  <c r="Q243" i="17"/>
  <c r="U243" i="17" s="1"/>
  <c r="Q211" i="17"/>
  <c r="U211" i="17" s="1"/>
  <c r="Q179" i="17"/>
  <c r="U179" i="17" s="1"/>
  <c r="Q147" i="17"/>
  <c r="U147" i="17" s="1"/>
  <c r="Q322" i="17"/>
  <c r="U322" i="17" s="1"/>
  <c r="Q383" i="17"/>
  <c r="U383" i="17" s="1"/>
  <c r="Q351" i="17"/>
  <c r="U351" i="17" s="1"/>
  <c r="Q319" i="17"/>
  <c r="U319" i="17" s="1"/>
  <c r="R287" i="17"/>
  <c r="S287" i="17" s="1"/>
  <c r="R255" i="17"/>
  <c r="S255" i="17" s="1"/>
  <c r="R223" i="17"/>
  <c r="S223" i="17" s="1"/>
  <c r="R191" i="17"/>
  <c r="S191" i="17" s="1"/>
  <c r="R159" i="17"/>
  <c r="S159" i="17" s="1"/>
  <c r="R127" i="17"/>
  <c r="S127" i="17" s="1"/>
  <c r="R300" i="17"/>
  <c r="S300" i="17" s="1"/>
  <c r="R268" i="17"/>
  <c r="S268" i="17" s="1"/>
  <c r="R236" i="17"/>
  <c r="S236" i="17" s="1"/>
  <c r="R204" i="17"/>
  <c r="S204" i="17" s="1"/>
  <c r="R172" i="17"/>
  <c r="S172" i="17" s="1"/>
  <c r="R140" i="17"/>
  <c r="S140" i="17" s="1"/>
  <c r="Q111" i="17"/>
  <c r="U111" i="17" s="1"/>
  <c r="Q27" i="17"/>
  <c r="U27" i="17" s="1"/>
  <c r="Q59" i="17"/>
  <c r="U59" i="17" s="1"/>
  <c r="Q91" i="17"/>
  <c r="U91" i="17" s="1"/>
  <c r="Q22" i="17"/>
  <c r="Q38" i="17"/>
  <c r="U38" i="17" s="1"/>
  <c r="Q54" i="17"/>
  <c r="U54" i="17" s="1"/>
  <c r="Q70" i="17"/>
  <c r="U70" i="17" s="1"/>
  <c r="Q86" i="17"/>
  <c r="Q102" i="17"/>
  <c r="U102" i="17" s="1"/>
  <c r="R30" i="17"/>
  <c r="S30" i="17" s="1"/>
  <c r="R62" i="17"/>
  <c r="S62" i="17" s="1"/>
  <c r="R94" i="17"/>
  <c r="S94" i="17" s="1"/>
  <c r="R602" i="17"/>
  <c r="S602" i="17" s="1"/>
  <c r="R591" i="17"/>
  <c r="S591" i="17" s="1"/>
  <c r="R440" i="17"/>
  <c r="S440" i="17" s="1"/>
  <c r="R415" i="17"/>
  <c r="S415" i="17" s="1"/>
  <c r="Q599" i="17"/>
  <c r="U599" i="17" s="1"/>
  <c r="R585" i="17"/>
  <c r="S585" i="17" s="1"/>
  <c r="Q437" i="17"/>
  <c r="U437" i="17" s="1"/>
  <c r="Q412" i="17"/>
  <c r="U412" i="17" s="1"/>
  <c r="R378" i="17"/>
  <c r="S378" i="17" s="1"/>
  <c r="Q314" i="17"/>
  <c r="U314" i="17" s="1"/>
  <c r="Q250" i="17"/>
  <c r="U250" i="17" s="1"/>
  <c r="Q186" i="17"/>
  <c r="U186" i="17" s="1"/>
  <c r="Q122" i="17"/>
  <c r="U122" i="17" s="1"/>
  <c r="Q263" i="17"/>
  <c r="U263" i="17" s="1"/>
  <c r="Q199" i="17"/>
  <c r="U199" i="17" s="1"/>
  <c r="Q135" i="17"/>
  <c r="U135" i="17" s="1"/>
  <c r="Q371" i="17"/>
  <c r="U371" i="17" s="1"/>
  <c r="R307" i="17"/>
  <c r="S307" i="17" s="1"/>
  <c r="R243" i="17"/>
  <c r="S243" i="17" s="1"/>
  <c r="R179" i="17"/>
  <c r="S179" i="17" s="1"/>
  <c r="R115" i="17"/>
  <c r="S115" i="17" s="1"/>
  <c r="R256" i="17"/>
  <c r="S256" i="17" s="1"/>
  <c r="R192" i="17"/>
  <c r="S192" i="17" s="1"/>
  <c r="R128" i="17"/>
  <c r="S128" i="17" s="1"/>
  <c r="Q39" i="17"/>
  <c r="U39" i="17" s="1"/>
  <c r="Q103" i="17"/>
  <c r="U103" i="17" s="1"/>
  <c r="Q44" i="17"/>
  <c r="U44" i="17" s="1"/>
  <c r="Q76" i="17"/>
  <c r="U76" i="17" s="1"/>
  <c r="Q108" i="17"/>
  <c r="U108" i="17" s="1"/>
  <c r="R74" i="17"/>
  <c r="S74" i="17" s="1"/>
  <c r="Q590" i="17"/>
  <c r="U590" i="17" s="1"/>
  <c r="R463" i="17"/>
  <c r="S463" i="17" s="1"/>
  <c r="Q584" i="17"/>
  <c r="Q460" i="17"/>
  <c r="U460" i="17" s="1"/>
  <c r="R338" i="17"/>
  <c r="S338" i="17" s="1"/>
  <c r="Q210" i="17"/>
  <c r="U210" i="17" s="1"/>
  <c r="Q287" i="17"/>
  <c r="U287" i="17" s="1"/>
  <c r="Q159" i="17"/>
  <c r="U159" i="17" s="1"/>
  <c r="Q331" i="17"/>
  <c r="U331" i="17" s="1"/>
  <c r="R203" i="17"/>
  <c r="S203" i="17" s="1"/>
  <c r="R280" i="17"/>
  <c r="S280" i="17" s="1"/>
  <c r="R152" i="17"/>
  <c r="S152" i="17" s="1"/>
  <c r="Q79" i="17"/>
  <c r="U79" i="17" s="1"/>
  <c r="Q64" i="17"/>
  <c r="U64" i="17" s="1"/>
  <c r="R50" i="17"/>
  <c r="S50" i="17" s="1"/>
  <c r="Q519" i="17"/>
  <c r="U519" i="17" s="1"/>
  <c r="Q517" i="17"/>
  <c r="U517" i="17" s="1"/>
  <c r="Q290" i="17"/>
  <c r="U290" i="17" s="1"/>
  <c r="Q239" i="17"/>
  <c r="U239" i="17" s="1"/>
  <c r="R283" i="17"/>
  <c r="S283" i="17" s="1"/>
  <c r="R232" i="17"/>
  <c r="S232" i="17" s="1"/>
  <c r="Q24" i="17"/>
  <c r="U24" i="17" s="1"/>
  <c r="R98" i="17"/>
  <c r="S98" i="17" s="1"/>
  <c r="Q428" i="17"/>
  <c r="U428" i="17" s="1"/>
  <c r="Q143" i="17"/>
  <c r="U143" i="17" s="1"/>
  <c r="R136" i="17"/>
  <c r="S136" i="17" s="1"/>
  <c r="R456" i="17"/>
  <c r="S456" i="17" s="1"/>
  <c r="R251" i="17"/>
  <c r="S251" i="17" s="1"/>
  <c r="Q130" i="17"/>
  <c r="Q31" i="17"/>
  <c r="U31" i="17" s="1"/>
  <c r="R541" i="17"/>
  <c r="S541" i="17" s="1"/>
  <c r="Q570" i="17"/>
  <c r="U570" i="17" s="1"/>
  <c r="Q547" i="17"/>
  <c r="U547" i="17" s="1"/>
  <c r="Q563" i="17"/>
  <c r="U563" i="17" s="1"/>
  <c r="Q579" i="17"/>
  <c r="U579" i="17" s="1"/>
  <c r="R595" i="17"/>
  <c r="S595" i="17" s="1"/>
  <c r="R611" i="17"/>
  <c r="S611" i="17" s="1"/>
  <c r="R608" i="17"/>
  <c r="S608" i="17" s="1"/>
  <c r="R597" i="17"/>
  <c r="S597" i="17" s="1"/>
  <c r="Q574" i="17"/>
  <c r="U574" i="17" s="1"/>
  <c r="Q543" i="17"/>
  <c r="U543" i="17" s="1"/>
  <c r="R480" i="17"/>
  <c r="S480" i="17" s="1"/>
  <c r="Q520" i="17"/>
  <c r="U520" i="17" s="1"/>
  <c r="R455" i="17"/>
  <c r="S455" i="17" s="1"/>
  <c r="R391" i="17"/>
  <c r="S391" i="17" s="1"/>
  <c r="R327" i="17"/>
  <c r="S327" i="17" s="1"/>
  <c r="R594" i="17"/>
  <c r="S594" i="17" s="1"/>
  <c r="Q568" i="17"/>
  <c r="U568" i="17" s="1"/>
  <c r="R540" i="17"/>
  <c r="S540" i="17" s="1"/>
  <c r="Q477" i="17"/>
  <c r="U477" i="17" s="1"/>
  <c r="Q516" i="17"/>
  <c r="U516" i="17" s="1"/>
  <c r="Q452" i="17"/>
  <c r="U452" i="17" s="1"/>
  <c r="Q388" i="17"/>
  <c r="U388" i="17" s="1"/>
  <c r="R414" i="17"/>
  <c r="S414" i="17" s="1"/>
  <c r="R366" i="17"/>
  <c r="S366" i="17" s="1"/>
  <c r="R334" i="17"/>
  <c r="S334" i="17" s="1"/>
  <c r="Q302" i="17"/>
  <c r="U302" i="17" s="1"/>
  <c r="Q270" i="17"/>
  <c r="U270" i="17" s="1"/>
  <c r="Q238" i="17"/>
  <c r="Q206" i="17"/>
  <c r="U206" i="17" s="1"/>
  <c r="Q174" i="17"/>
  <c r="U174" i="17" s="1"/>
  <c r="Q142" i="17"/>
  <c r="U142" i="17" s="1"/>
  <c r="Q110" i="17"/>
  <c r="Q283" i="17"/>
  <c r="U283" i="17" s="1"/>
  <c r="Q251" i="17"/>
  <c r="U251" i="17" s="1"/>
  <c r="Q219" i="17"/>
  <c r="U219" i="17" s="1"/>
  <c r="Q187" i="17"/>
  <c r="U187" i="17" s="1"/>
  <c r="Q155" i="17"/>
  <c r="U155" i="17" s="1"/>
  <c r="Q123" i="17"/>
  <c r="U123" i="17" s="1"/>
  <c r="Q391" i="17"/>
  <c r="Q359" i="17"/>
  <c r="U359" i="17" s="1"/>
  <c r="Q327" i="17"/>
  <c r="U327" i="17" s="1"/>
  <c r="R295" i="17"/>
  <c r="S295" i="17" s="1"/>
  <c r="R263" i="17"/>
  <c r="S263" i="17" s="1"/>
  <c r="R231" i="17"/>
  <c r="S231" i="17" s="1"/>
  <c r="R199" i="17"/>
  <c r="S199" i="17" s="1"/>
  <c r="R167" i="17"/>
  <c r="S167" i="17" s="1"/>
  <c r="R135" i="17"/>
  <c r="S135" i="17" s="1"/>
  <c r="R308" i="17"/>
  <c r="S308" i="17" s="1"/>
  <c r="R276" i="17"/>
  <c r="S276" i="17" s="1"/>
  <c r="R244" i="17"/>
  <c r="S244" i="17" s="1"/>
  <c r="R212" i="17"/>
  <c r="S212" i="17" s="1"/>
  <c r="R180" i="17"/>
  <c r="S180" i="17" s="1"/>
  <c r="R148" i="17"/>
  <c r="S148" i="17" s="1"/>
  <c r="R116" i="17"/>
  <c r="S116" i="17" s="1"/>
  <c r="Q19" i="17"/>
  <c r="U19" i="17" s="1"/>
  <c r="Q51" i="17"/>
  <c r="U51" i="17" s="1"/>
  <c r="Q83" i="17"/>
  <c r="U83" i="17" s="1"/>
  <c r="R17" i="17"/>
  <c r="S17" i="17" s="1"/>
  <c r="Q34" i="17"/>
  <c r="U34" i="17" s="1"/>
  <c r="Q50" i="17"/>
  <c r="U50" i="17" s="1"/>
  <c r="Q66" i="17"/>
  <c r="U66" i="17" s="1"/>
  <c r="Q82" i="17"/>
  <c r="U82" i="17" s="1"/>
  <c r="Q98" i="17"/>
  <c r="U98" i="17" s="1"/>
  <c r="R22" i="17"/>
  <c r="S22" i="17" s="1"/>
  <c r="R54" i="17"/>
  <c r="S54" i="17" s="1"/>
  <c r="R86" i="17"/>
  <c r="S86" i="17" s="1"/>
  <c r="Q623" i="17"/>
  <c r="D633" i="17" s="1"/>
  <c r="Q558" i="17"/>
  <c r="U558" i="17" s="1"/>
  <c r="R472" i="17"/>
  <c r="S472" i="17" s="1"/>
  <c r="R447" i="17"/>
  <c r="S447" i="17" s="1"/>
  <c r="R319" i="17"/>
  <c r="S319" i="17" s="1"/>
  <c r="Q552" i="17"/>
  <c r="U552" i="17" s="1"/>
  <c r="Q469" i="17"/>
  <c r="Q444" i="17"/>
  <c r="U444" i="17" s="1"/>
  <c r="R402" i="17"/>
  <c r="S402" i="17" s="1"/>
  <c r="R330" i="17"/>
  <c r="S330" i="17" s="1"/>
  <c r="Q266" i="17"/>
  <c r="U266" i="17" s="1"/>
  <c r="Q202" i="17"/>
  <c r="U202" i="17" s="1"/>
  <c r="Q138" i="17"/>
  <c r="U138" i="17" s="1"/>
  <c r="Q279" i="17"/>
  <c r="U279" i="17" s="1"/>
  <c r="Q215" i="17"/>
  <c r="U215" i="17" s="1"/>
  <c r="Q151" i="17"/>
  <c r="U151" i="17" s="1"/>
  <c r="Q387" i="17"/>
  <c r="U387" i="17" s="1"/>
  <c r="Q323" i="17"/>
  <c r="U323" i="17" s="1"/>
  <c r="R259" i="17"/>
  <c r="S259" i="17" s="1"/>
  <c r="R195" i="17"/>
  <c r="S195" i="17" s="1"/>
  <c r="R131" i="17"/>
  <c r="S131" i="17" s="1"/>
  <c r="R272" i="17"/>
  <c r="S272" i="17" s="1"/>
  <c r="R208" i="17"/>
  <c r="S208" i="17" s="1"/>
  <c r="R144" i="17"/>
  <c r="S144" i="17" s="1"/>
  <c r="Q23" i="17"/>
  <c r="U23" i="17" s="1"/>
  <c r="Q87" i="17"/>
  <c r="U87" i="17" s="1"/>
  <c r="Q36" i="17"/>
  <c r="U36" i="17" s="1"/>
  <c r="Q68" i="17"/>
  <c r="U68" i="17" s="1"/>
  <c r="Q100" i="17"/>
  <c r="U100" i="17" s="1"/>
  <c r="R58" i="17"/>
  <c r="S58" i="17" s="1"/>
  <c r="R605" i="17"/>
  <c r="S605" i="17" s="1"/>
  <c r="R424" i="17"/>
  <c r="S424" i="17" s="1"/>
  <c r="Q602" i="17"/>
  <c r="U602" i="17" s="1"/>
  <c r="Q421" i="17"/>
  <c r="U421" i="17" s="1"/>
  <c r="R370" i="17"/>
  <c r="S370" i="17" s="1"/>
  <c r="Q242" i="17"/>
  <c r="U242" i="17" s="1"/>
  <c r="Q114" i="17"/>
  <c r="U114" i="17" s="1"/>
  <c r="Q191" i="17"/>
  <c r="U191" i="17" s="1"/>
  <c r="Q363" i="17"/>
  <c r="U363" i="17" s="1"/>
  <c r="R235" i="17"/>
  <c r="S235" i="17" s="1"/>
  <c r="R312" i="17"/>
  <c r="S312" i="17" s="1"/>
  <c r="R184" i="17"/>
  <c r="S184" i="17" s="1"/>
  <c r="Q47" i="17"/>
  <c r="U47" i="17" s="1"/>
  <c r="Q48" i="17"/>
  <c r="U48" i="17" s="1"/>
  <c r="R18" i="17"/>
  <c r="S18" i="17" s="1"/>
  <c r="Q573" i="17"/>
  <c r="U573" i="17" s="1"/>
  <c r="R570" i="17"/>
  <c r="S570" i="17" s="1"/>
  <c r="R354" i="17"/>
  <c r="S354" i="17" s="1"/>
  <c r="Q303" i="17"/>
  <c r="U303" i="17" s="1"/>
  <c r="Q347" i="17"/>
  <c r="U347" i="17" s="1"/>
  <c r="R296" i="17"/>
  <c r="S296" i="17" s="1"/>
  <c r="Q63" i="17"/>
  <c r="U63" i="17" s="1"/>
  <c r="R34" i="17"/>
  <c r="S34" i="17" s="1"/>
  <c r="Q532" i="17"/>
  <c r="U532" i="17" s="1"/>
  <c r="Q271" i="17"/>
  <c r="U271" i="17" s="1"/>
  <c r="R264" i="17"/>
  <c r="S264" i="17" s="1"/>
  <c r="R66" i="17"/>
  <c r="S66" i="17" s="1"/>
  <c r="Q207" i="17"/>
  <c r="U207" i="17" s="1"/>
  <c r="R386" i="17"/>
  <c r="S386" i="17" s="1"/>
  <c r="R610" i="17"/>
  <c r="S610" i="17" s="1"/>
  <c r="X583" i="17"/>
  <c r="X430" i="17"/>
  <c r="X190" i="17"/>
  <c r="Y240" i="17"/>
  <c r="X315" i="17"/>
  <c r="X194" i="17"/>
  <c r="X195" i="17"/>
  <c r="X463" i="17"/>
  <c r="Y187" i="17"/>
  <c r="X559" i="17"/>
  <c r="X368" i="17"/>
  <c r="Y559" i="17"/>
  <c r="Y574" i="17"/>
  <c r="X208" i="17"/>
  <c r="Y579" i="17"/>
  <c r="Y530" i="17"/>
  <c r="Y177" i="17"/>
  <c r="X251" i="17"/>
  <c r="Y426" i="17"/>
  <c r="Y490" i="17"/>
  <c r="X561" i="17"/>
  <c r="X322" i="17"/>
  <c r="X566" i="17"/>
  <c r="Y421" i="17"/>
  <c r="X495" i="17"/>
  <c r="X557" i="17"/>
  <c r="X626" i="17"/>
  <c r="Y155" i="17"/>
  <c r="X258" i="17"/>
  <c r="Y318" i="17"/>
  <c r="X130" i="17"/>
  <c r="Y551" i="17"/>
  <c r="X241" i="17"/>
  <c r="Y469" i="17"/>
  <c r="X81" i="17"/>
  <c r="X511" i="17"/>
  <c r="X162" i="17"/>
  <c r="X555" i="17"/>
  <c r="X524" i="17"/>
  <c r="Y382" i="17"/>
  <c r="X254" i="17"/>
  <c r="X126" i="17"/>
  <c r="X35" i="17"/>
  <c r="X589" i="17"/>
  <c r="Y291" i="17"/>
  <c r="Y163" i="17"/>
  <c r="X127" i="17"/>
  <c r="X226" i="17"/>
  <c r="Y322" i="17"/>
  <c r="Y305" i="17"/>
  <c r="Y203" i="17"/>
  <c r="Y333" i="17"/>
  <c r="Y381" i="17"/>
  <c r="Y502" i="17"/>
  <c r="X471" i="17"/>
  <c r="Y533" i="17"/>
  <c r="Y335" i="17"/>
  <c r="Y351" i="17"/>
  <c r="Y367" i="17"/>
  <c r="Y383" i="17"/>
  <c r="Y399" i="17"/>
  <c r="Y431" i="17"/>
  <c r="Y586" i="17"/>
  <c r="Y554" i="17"/>
  <c r="Y532" i="17"/>
  <c r="X508" i="17"/>
  <c r="X476" i="17"/>
  <c r="X380" i="17"/>
  <c r="X348" i="17"/>
  <c r="X509" i="17"/>
  <c r="X445" i="17"/>
  <c r="Y553" i="17"/>
  <c r="X56" i="17"/>
  <c r="X611" i="17"/>
  <c r="X316" i="17"/>
  <c r="Y606" i="17"/>
  <c r="Y444" i="17"/>
  <c r="Y483" i="17"/>
  <c r="Y558" i="17"/>
  <c r="X480" i="17"/>
  <c r="X416" i="17"/>
  <c r="X352" i="17"/>
  <c r="Y406" i="17"/>
  <c r="X362" i="17"/>
  <c r="X426" i="17"/>
  <c r="X458" i="17"/>
  <c r="X490" i="17"/>
  <c r="X548" i="17"/>
  <c r="Y568" i="17"/>
  <c r="Y438" i="17"/>
  <c r="Y470" i="17"/>
  <c r="Y500" i="17"/>
  <c r="Y241" i="17"/>
  <c r="Y474" i="17"/>
  <c r="Y563" i="17"/>
  <c r="Y529" i="17"/>
  <c r="X551" i="17"/>
  <c r="Y503" i="17"/>
  <c r="Y358" i="17"/>
  <c r="X294" i="17"/>
  <c r="X230" i="17"/>
  <c r="X166" i="17"/>
  <c r="X307" i="17"/>
  <c r="Y602" i="17"/>
  <c r="Y591" i="17"/>
  <c r="X331" i="17"/>
  <c r="X64" i="17"/>
  <c r="X290" i="17"/>
  <c r="Y283" i="17"/>
  <c r="Y136" i="17"/>
  <c r="X574" i="17"/>
  <c r="X520" i="17"/>
  <c r="Y391" i="17"/>
  <c r="X215" i="17"/>
  <c r="X100" i="17"/>
  <c r="Y605" i="17"/>
  <c r="X48" i="17"/>
  <c r="Y354" i="17"/>
  <c r="X303" i="17"/>
  <c r="X271" i="17"/>
  <c r="Y81" i="17"/>
  <c r="Y150" i="17"/>
  <c r="X523" i="17"/>
  <c r="X522" i="17"/>
  <c r="Y565" i="17"/>
  <c r="X255" i="17"/>
  <c r="X17" i="17"/>
  <c r="X203" i="17"/>
  <c r="X432" i="17"/>
  <c r="X496" i="17"/>
  <c r="X417" i="17"/>
  <c r="X513" i="17"/>
  <c r="Y520" i="17"/>
  <c r="X330" i="17"/>
  <c r="Y592" i="17"/>
  <c r="M624" i="17"/>
  <c r="N624" i="17"/>
  <c r="X407" i="17"/>
  <c r="X497" i="17"/>
  <c r="X275" i="17"/>
  <c r="X134" i="17"/>
  <c r="X198" i="17"/>
  <c r="X262" i="17"/>
  <c r="Y326" i="17"/>
  <c r="X384" i="17"/>
  <c r="X448" i="17"/>
  <c r="X512" i="17"/>
  <c r="Y442" i="17"/>
  <c r="Y458" i="17"/>
  <c r="Y506" i="17"/>
  <c r="Y536" i="17"/>
  <c r="X560" i="17"/>
  <c r="Y590" i="17"/>
  <c r="X593" i="17"/>
  <c r="Y400" i="17"/>
  <c r="X394" i="17"/>
  <c r="X600" i="17"/>
  <c r="X613" i="17"/>
  <c r="Y360" i="17"/>
  <c r="X296" i="17"/>
  <c r="X232" i="17"/>
  <c r="X168" i="17"/>
  <c r="X159" i="17"/>
  <c r="X16" i="17"/>
  <c r="X219" i="17"/>
  <c r="X155" i="17"/>
  <c r="X57" i="17"/>
  <c r="X41" i="17"/>
  <c r="Y376" i="17"/>
  <c r="X248" i="17"/>
  <c r="X136" i="17"/>
  <c r="X277" i="17"/>
  <c r="X213" i="17"/>
  <c r="Y612" i="17"/>
  <c r="Y549" i="17"/>
  <c r="X531" i="17"/>
  <c r="Y475" i="17"/>
  <c r="Y443" i="17"/>
  <c r="Y379" i="17"/>
  <c r="Y315" i="17"/>
  <c r="X325" i="17"/>
  <c r="Y309" i="17"/>
  <c r="Y293" i="17"/>
  <c r="Y277" i="17"/>
  <c r="Y261" i="17"/>
  <c r="Y245" i="17"/>
  <c r="Y229" i="17"/>
  <c r="Y213" i="17"/>
  <c r="Y197" i="17"/>
  <c r="Y181" i="17"/>
  <c r="Y165" i="17"/>
  <c r="Y149" i="17"/>
  <c r="Y133" i="17"/>
  <c r="Y117" i="17"/>
  <c r="Y306" i="17"/>
  <c r="Y290" i="17"/>
  <c r="Y274" i="17"/>
  <c r="Y258" i="17"/>
  <c r="Y242" i="17"/>
  <c r="Y226" i="17"/>
  <c r="Y210" i="17"/>
  <c r="Y194" i="17"/>
  <c r="Y178" i="17"/>
  <c r="Y162" i="17"/>
  <c r="X113" i="17"/>
  <c r="X578" i="17"/>
  <c r="X546" i="17"/>
  <c r="X515" i="17"/>
  <c r="X499" i="17"/>
  <c r="X483" i="17"/>
  <c r="X467" i="17"/>
  <c r="X383" i="17"/>
  <c r="X351" i="17"/>
  <c r="X319" i="17"/>
  <c r="Y287" i="17"/>
  <c r="Y255" i="17"/>
  <c r="Y223" i="17"/>
  <c r="Y191" i="17"/>
  <c r="Y159" i="17"/>
  <c r="X197" i="17"/>
  <c r="X165" i="17"/>
  <c r="X34" i="17"/>
  <c r="X50" i="17"/>
  <c r="X66" i="17"/>
  <c r="X82" i="17"/>
  <c r="X98" i="17"/>
  <c r="X425" i="17"/>
  <c r="X457" i="17"/>
  <c r="X489" i="17"/>
  <c r="X207" i="17"/>
  <c r="X328" i="17"/>
  <c r="X360" i="17"/>
  <c r="X392" i="17"/>
  <c r="X424" i="17"/>
  <c r="X456" i="17"/>
  <c r="X488" i="17"/>
  <c r="Y434" i="17"/>
  <c r="Y498" i="17"/>
  <c r="X576" i="17"/>
  <c r="Y543" i="17"/>
  <c r="Y566" i="17"/>
  <c r="X598" i="17"/>
  <c r="X553" i="17"/>
  <c r="X585" i="17"/>
  <c r="X160" i="17"/>
  <c r="X192" i="17"/>
  <c r="X224" i="17"/>
  <c r="X256" i="17"/>
  <c r="X288" i="17"/>
  <c r="Y320" i="17"/>
  <c r="Y352" i="17"/>
  <c r="Y384" i="17"/>
  <c r="X474" i="17"/>
  <c r="X506" i="17"/>
  <c r="Y552" i="17"/>
  <c r="Y584" i="17"/>
  <c r="X144" i="17"/>
  <c r="X112" i="17"/>
  <c r="X285" i="17"/>
  <c r="X253" i="17"/>
  <c r="X221" i="17"/>
  <c r="Y515" i="17"/>
  <c r="X27" i="17"/>
  <c r="X91" i="17"/>
  <c r="Y17" i="17"/>
  <c r="X143" i="17"/>
  <c r="X36" i="17"/>
  <c r="X25" i="17"/>
  <c r="Y74" i="17"/>
  <c r="X312" i="17"/>
  <c r="X577" i="17"/>
  <c r="Y339" i="17"/>
  <c r="X592" i="17"/>
  <c r="Y390" i="17"/>
  <c r="X148" i="17"/>
  <c r="X289" i="17"/>
  <c r="X225" i="17"/>
  <c r="X397" i="17"/>
  <c r="X450" i="17"/>
  <c r="X459" i="17"/>
  <c r="Y538" i="17"/>
  <c r="X538" i="17"/>
  <c r="X605" i="17"/>
  <c r="X411" i="17"/>
  <c r="Y357" i="17"/>
  <c r="Y437" i="17"/>
  <c r="Y453" i="17"/>
  <c r="Y485" i="17"/>
  <c r="Y501" i="17"/>
  <c r="Y531" i="17"/>
  <c r="X449" i="17"/>
  <c r="Y336" i="17"/>
  <c r="X173" i="17"/>
  <c r="X33" i="17"/>
  <c r="Y68" i="17"/>
  <c r="X518" i="17"/>
  <c r="X431" i="17"/>
  <c r="X447" i="17"/>
  <c r="X479" i="17"/>
  <c r="Y466" i="17"/>
  <c r="Y521" i="17"/>
  <c r="X575" i="17"/>
  <c r="Y471" i="17"/>
  <c r="X493" i="17"/>
  <c r="Y374" i="17"/>
  <c r="X310" i="17"/>
  <c r="X246" i="17"/>
  <c r="X182" i="17"/>
  <c r="X118" i="17"/>
  <c r="X107" i="17"/>
  <c r="X274" i="17"/>
  <c r="X146" i="17"/>
  <c r="X395" i="17"/>
  <c r="Y267" i="17"/>
  <c r="X587" i="17"/>
  <c r="Y600" i="17"/>
  <c r="Y423" i="17"/>
  <c r="Y350" i="17"/>
  <c r="X286" i="17"/>
  <c r="X222" i="17"/>
  <c r="X158" i="17"/>
  <c r="X299" i="17"/>
  <c r="X267" i="17"/>
  <c r="Y151" i="17"/>
  <c r="Y112" i="17"/>
  <c r="X535" i="17"/>
  <c r="Y511" i="17"/>
  <c r="X247" i="17"/>
  <c r="X355" i="17"/>
  <c r="Y227" i="17"/>
  <c r="Y304" i="17"/>
  <c r="Y90" i="17"/>
  <c r="X306" i="17"/>
  <c r="X178" i="17"/>
  <c r="Y299" i="17"/>
  <c r="Y248" i="17"/>
  <c r="Y120" i="17"/>
  <c r="X379" i="17"/>
  <c r="X19" i="17"/>
  <c r="Y61" i="17"/>
  <c r="Y109" i="17"/>
  <c r="X137" i="17"/>
  <c r="Y110" i="17"/>
  <c r="Y142" i="17"/>
  <c r="Y158" i="17"/>
  <c r="Y190" i="17"/>
  <c r="Y238" i="17"/>
  <c r="Y270" i="17"/>
  <c r="Y286" i="17"/>
  <c r="Y113" i="17"/>
  <c r="Y456" i="17"/>
  <c r="X590" i="17"/>
  <c r="Y557" i="17"/>
  <c r="Y589" i="17"/>
  <c r="X573" i="17"/>
  <c r="X85" i="17"/>
  <c r="Y264" i="17"/>
  <c r="Y296" i="17"/>
  <c r="Y179" i="17"/>
  <c r="Y251" i="17"/>
  <c r="Y317" i="17"/>
  <c r="Y365" i="17"/>
  <c r="Y422" i="17"/>
  <c r="Y454" i="17"/>
  <c r="Y486" i="17"/>
  <c r="X533" i="17"/>
  <c r="X532" i="17"/>
  <c r="X540" i="17"/>
  <c r="X603" i="17"/>
  <c r="X287" i="17"/>
  <c r="X114" i="17"/>
  <c r="X210" i="17"/>
  <c r="X242" i="17"/>
  <c r="Y338" i="17"/>
  <c r="Y370" i="17"/>
  <c r="Y583" i="17"/>
  <c r="Y596" i="17"/>
  <c r="Y598" i="17"/>
  <c r="X189" i="17"/>
  <c r="Y41" i="17"/>
  <c r="Y49" i="17"/>
  <c r="Y57" i="17"/>
  <c r="Y105" i="17"/>
  <c r="Y20" i="17"/>
  <c r="Y36" i="17"/>
  <c r="Y84" i="17"/>
  <c r="X60" i="17"/>
  <c r="Y139" i="17"/>
  <c r="Y216" i="17"/>
  <c r="X139" i="17"/>
  <c r="Y176" i="17"/>
  <c r="X175" i="17"/>
  <c r="X51" i="17"/>
  <c r="Y66" i="17"/>
  <c r="X76" i="17"/>
  <c r="X69" i="17"/>
  <c r="Y280" i="17"/>
  <c r="Y232" i="17"/>
  <c r="Y152" i="17"/>
  <c r="X157" i="17"/>
  <c r="Y89" i="17"/>
  <c r="X68" i="17"/>
  <c r="Y42" i="17"/>
  <c r="X622" i="17"/>
  <c r="X318" i="17"/>
  <c r="Y372" i="17"/>
  <c r="Y356" i="17"/>
  <c r="Y340" i="17"/>
  <c r="Y324" i="17"/>
  <c r="X308" i="17"/>
  <c r="X292" i="17"/>
  <c r="X276" i="17"/>
  <c r="X260" i="17"/>
  <c r="X244" i="17"/>
  <c r="X228" i="17"/>
  <c r="X212" i="17"/>
  <c r="X196" i="17"/>
  <c r="X180" i="17"/>
  <c r="X164" i="17"/>
  <c r="X370" i="17"/>
  <c r="X607" i="17"/>
  <c r="Y562" i="17"/>
  <c r="X484" i="17"/>
  <c r="X420" i="17"/>
  <c r="X356" i="17"/>
  <c r="X485" i="17"/>
  <c r="X453" i="17"/>
  <c r="X317" i="17"/>
  <c r="Y301" i="17"/>
  <c r="Y285" i="17"/>
  <c r="Y269" i="17"/>
  <c r="Y253" i="17"/>
  <c r="Y237" i="17"/>
  <c r="Y221" i="17"/>
  <c r="Y205" i="17"/>
  <c r="Y189" i="17"/>
  <c r="Y173" i="17"/>
  <c r="Y157" i="17"/>
  <c r="Y141" i="17"/>
  <c r="Y125" i="17"/>
  <c r="Y314" i="17"/>
  <c r="Y298" i="17"/>
  <c r="Y282" i="17"/>
  <c r="Y266" i="17"/>
  <c r="Y250" i="17"/>
  <c r="Y234" i="17"/>
  <c r="Y218" i="17"/>
  <c r="Y202" i="17"/>
  <c r="Y186" i="17"/>
  <c r="Y170" i="17"/>
  <c r="X193" i="17"/>
  <c r="X161" i="17"/>
  <c r="X129" i="17"/>
  <c r="X14" i="17"/>
  <c r="X30" i="17"/>
  <c r="X46" i="17"/>
  <c r="X62" i="17"/>
  <c r="X78" i="17"/>
  <c r="X94" i="17"/>
  <c r="X609" i="17"/>
  <c r="X612" i="17"/>
  <c r="X596" i="17"/>
  <c r="Y580" i="17"/>
  <c r="Y564" i="17"/>
  <c r="Y548" i="17"/>
  <c r="Y571" i="17"/>
  <c r="Y541" i="17"/>
  <c r="Y448" i="17"/>
  <c r="Y432" i="17"/>
  <c r="Y519" i="17"/>
  <c r="X502" i="17"/>
  <c r="X486" i="17"/>
  <c r="X470" i="17"/>
  <c r="X454" i="17"/>
  <c r="X438" i="17"/>
  <c r="X406" i="17"/>
  <c r="X390" i="17"/>
  <c r="X374" i="17"/>
  <c r="X358" i="17"/>
  <c r="X342" i="17"/>
  <c r="X326" i="17"/>
  <c r="Y412" i="17"/>
  <c r="X268" i="17"/>
  <c r="X252" i="17"/>
  <c r="X236" i="17"/>
  <c r="X220" i="17"/>
  <c r="X204" i="17"/>
  <c r="X188" i="17"/>
  <c r="X172" i="17"/>
  <c r="X156" i="17"/>
  <c r="X608" i="17"/>
  <c r="Y544" i="17"/>
  <c r="Y428" i="17"/>
  <c r="X466" i="17"/>
  <c r="X402" i="17"/>
  <c r="Y613" i="17"/>
  <c r="X549" i="17"/>
  <c r="X610" i="17"/>
  <c r="Y546" i="17"/>
  <c r="Y539" i="17"/>
  <c r="X568" i="17"/>
  <c r="Y462" i="17"/>
  <c r="X468" i="17"/>
  <c r="X404" i="17"/>
  <c r="X340" i="17"/>
  <c r="Y346" i="17"/>
  <c r="X282" i="17"/>
  <c r="X218" i="17"/>
  <c r="X154" i="17"/>
  <c r="X295" i="17"/>
  <c r="X469" i="17"/>
  <c r="X353" i="17"/>
  <c r="X177" i="17"/>
  <c r="X145" i="17"/>
  <c r="X259" i="17"/>
  <c r="X227" i="17"/>
  <c r="Y608" i="17"/>
  <c r="Y595" i="17"/>
  <c r="X563" i="17"/>
  <c r="X529" i="17"/>
  <c r="X399" i="17"/>
  <c r="X367" i="17"/>
  <c r="X335" i="17"/>
  <c r="Y303" i="17"/>
  <c r="Y271" i="17"/>
  <c r="Y239" i="17"/>
  <c r="Y207" i="17"/>
  <c r="Y175" i="17"/>
  <c r="X125" i="17"/>
  <c r="Y15" i="17"/>
  <c r="Y23" i="17"/>
  <c r="Y31" i="17"/>
  <c r="Y39" i="17"/>
  <c r="Y47" i="17"/>
  <c r="Y55" i="17"/>
  <c r="Y63" i="17"/>
  <c r="Y71" i="17"/>
  <c r="Y79" i="17"/>
  <c r="Y87" i="17"/>
  <c r="Y95" i="17"/>
  <c r="Y103" i="17"/>
  <c r="X18" i="17"/>
  <c r="X26" i="17"/>
  <c r="X42" i="17"/>
  <c r="X58" i="17"/>
  <c r="X74" i="17"/>
  <c r="X90" i="17"/>
  <c r="X106" i="17"/>
  <c r="X333" i="17"/>
  <c r="X349" i="17"/>
  <c r="Y327" i="17"/>
  <c r="Y343" i="17"/>
  <c r="Y359" i="17"/>
  <c r="Y375" i="17"/>
  <c r="X481" i="17"/>
  <c r="X527" i="17"/>
  <c r="X526" i="17"/>
  <c r="X542" i="17"/>
  <c r="X591" i="17"/>
  <c r="Y604" i="17"/>
  <c r="X291" i="17"/>
  <c r="X150" i="17"/>
  <c r="X214" i="17"/>
  <c r="X278" i="17"/>
  <c r="Y342" i="17"/>
  <c r="X320" i="17"/>
  <c r="X336" i="17"/>
  <c r="X400" i="17"/>
  <c r="X464" i="17"/>
  <c r="Y535" i="17"/>
  <c r="X606" i="17"/>
  <c r="X545" i="17"/>
  <c r="Y609" i="17"/>
  <c r="X209" i="17"/>
  <c r="X257" i="17"/>
  <c r="X273" i="17"/>
  <c r="X116" i="17"/>
  <c r="X132" i="17"/>
  <c r="X176" i="17"/>
  <c r="X240" i="17"/>
  <c r="X272" i="17"/>
  <c r="X304" i="17"/>
  <c r="Y368" i="17"/>
  <c r="Y420" i="17"/>
  <c r="Y452" i="17"/>
  <c r="Y484" i="17"/>
  <c r="Y516" i="17"/>
  <c r="X514" i="17"/>
  <c r="X386" i="17"/>
  <c r="X128" i="17"/>
  <c r="X301" i="17"/>
  <c r="X269" i="17"/>
  <c r="X237" i="17"/>
  <c r="X205" i="17"/>
  <c r="X602" i="17"/>
  <c r="Y570" i="17"/>
  <c r="X552" i="17"/>
  <c r="X492" i="17"/>
  <c r="X460" i="17"/>
  <c r="X428" i="17"/>
  <c r="X396" i="17"/>
  <c r="X364" i="17"/>
  <c r="X332" i="17"/>
  <c r="Y402" i="17"/>
  <c r="X461" i="17"/>
  <c r="Y467" i="17"/>
  <c r="Y435" i="17"/>
  <c r="Y371" i="17"/>
  <c r="X409" i="17"/>
  <c r="X345" i="17"/>
  <c r="Y289" i="17"/>
  <c r="Y273" i="17"/>
  <c r="Y225" i="17"/>
  <c r="Y209" i="17"/>
  <c r="Y161" i="17"/>
  <c r="Y145" i="17"/>
  <c r="Y262" i="17"/>
  <c r="Y230" i="17"/>
  <c r="X185" i="17"/>
  <c r="X121" i="17"/>
  <c r="X235" i="17"/>
  <c r="Y585" i="17"/>
  <c r="X554" i="17"/>
  <c r="X455" i="17"/>
  <c r="X423" i="17"/>
  <c r="Y429" i="17"/>
  <c r="Y397" i="17"/>
  <c r="X403" i="17"/>
  <c r="X371" i="17"/>
  <c r="Y275" i="17"/>
  <c r="Y243" i="17"/>
  <c r="Y147" i="17"/>
  <c r="Y115" i="17"/>
  <c r="Y224" i="17"/>
  <c r="Y192" i="17"/>
  <c r="X171" i="17"/>
  <c r="Y13" i="17"/>
  <c r="Y29" i="17"/>
  <c r="Y77" i="17"/>
  <c r="Y93" i="17"/>
  <c r="Y44" i="17"/>
  <c r="X43" i="17"/>
  <c r="X75" i="17"/>
  <c r="X101" i="17"/>
  <c r="X32" i="17"/>
  <c r="X80" i="17"/>
  <c r="X96" i="17"/>
  <c r="Y18" i="17"/>
  <c r="Y50" i="17"/>
  <c r="X49" i="17"/>
  <c r="X97" i="17"/>
  <c r="Y254" i="17"/>
  <c r="Y222" i="17"/>
  <c r="X169" i="17"/>
  <c r="Y569" i="17"/>
  <c r="X541" i="17"/>
  <c r="Y517" i="17"/>
  <c r="Y389" i="17"/>
  <c r="X363" i="17"/>
  <c r="Y235" i="17"/>
  <c r="Y312" i="17"/>
  <c r="Y184" i="17"/>
  <c r="Y33" i="17"/>
  <c r="Y97" i="17"/>
  <c r="Y52" i="17"/>
  <c r="X83" i="17"/>
  <c r="Y626" i="17"/>
  <c r="X20" i="17"/>
  <c r="X84" i="17"/>
  <c r="Y26" i="17"/>
  <c r="Y73" i="17"/>
  <c r="X28" i="17"/>
  <c r="X92" i="17"/>
  <c r="X570" i="17"/>
  <c r="Y405" i="17"/>
  <c r="Y25" i="17"/>
  <c r="Y200" i="17"/>
  <c r="Y123" i="17"/>
  <c r="X199" i="17"/>
  <c r="X67" i="17"/>
  <c r="X263" i="17"/>
  <c r="X63" i="17"/>
  <c r="X314" i="17"/>
  <c r="Y577" i="17"/>
  <c r="Y409" i="17"/>
  <c r="Y220" i="17"/>
  <c r="Y542" i="17"/>
  <c r="Y316" i="17"/>
  <c r="X581" i="17"/>
  <c r="Y494" i="17"/>
  <c r="X186" i="17"/>
  <c r="X582" i="17"/>
  <c r="X435" i="17"/>
  <c r="Y480" i="17"/>
  <c r="Y380" i="17"/>
  <c r="X338" i="17"/>
  <c r="X184" i="17"/>
  <c r="Y430" i="17"/>
  <c r="Y378" i="17"/>
  <c r="X250" i="17"/>
  <c r="X122" i="17"/>
  <c r="X567" i="17"/>
  <c r="Y114" i="17"/>
  <c r="Y473" i="17"/>
  <c r="Y345" i="17"/>
  <c r="Y284" i="17"/>
  <c r="Y156" i="17"/>
  <c r="X437" i="17"/>
  <c r="Y32" i="17"/>
  <c r="X119" i="17"/>
  <c r="Y70" i="17"/>
  <c r="Y525" i="17"/>
  <c r="Y512" i="17"/>
  <c r="X422" i="17"/>
  <c r="Y348" i="17"/>
  <c r="X284" i="17"/>
  <c r="X564" i="17"/>
  <c r="X309" i="17"/>
  <c r="X245" i="17"/>
  <c r="Y578" i="17"/>
  <c r="Y524" i="17"/>
  <c r="X500" i="17"/>
  <c r="X436" i="17"/>
  <c r="X372" i="17"/>
  <c r="Y410" i="17"/>
  <c r="Y146" i="17"/>
  <c r="X528" i="17"/>
  <c r="Y505" i="17"/>
  <c r="Y441" i="17"/>
  <c r="Y377" i="17"/>
  <c r="X415" i="17"/>
  <c r="Y143" i="17"/>
  <c r="Y411" i="17"/>
  <c r="X385" i="17"/>
  <c r="Y96" i="17"/>
  <c r="X77" i="17"/>
  <c r="X37" i="17"/>
  <c r="X539" i="17"/>
  <c r="Y476" i="17"/>
  <c r="Y451" i="17"/>
  <c r="Y130" i="17"/>
  <c r="X419" i="17"/>
  <c r="X451" i="17"/>
  <c r="Y445" i="17"/>
  <c r="Y461" i="17"/>
  <c r="Y493" i="17"/>
  <c r="Y509" i="17"/>
  <c r="Y347" i="17"/>
  <c r="X321" i="17"/>
  <c r="Y257" i="17"/>
  <c r="Y193" i="17"/>
  <c r="Y129" i="17"/>
  <c r="Y302" i="17"/>
  <c r="Y206" i="17"/>
  <c r="Y174" i="17"/>
  <c r="Y126" i="17"/>
  <c r="X73" i="17"/>
  <c r="Y45" i="17"/>
  <c r="Y60" i="17"/>
  <c r="Y76" i="17"/>
  <c r="Y108" i="17"/>
  <c r="X111" i="17"/>
  <c r="X44" i="17"/>
  <c r="X108" i="17"/>
  <c r="X572" i="17"/>
  <c r="Y526" i="17"/>
  <c r="Y496" i="17"/>
  <c r="Y464" i="17"/>
  <c r="Y396" i="17"/>
  <c r="Y364" i="17"/>
  <c r="Y332" i="17"/>
  <c r="X300" i="17"/>
  <c r="Y492" i="17"/>
  <c r="X223" i="17"/>
  <c r="Y573" i="17"/>
  <c r="X543" i="17"/>
  <c r="X465" i="17"/>
  <c r="X433" i="17"/>
  <c r="Y487" i="17"/>
  <c r="Y455" i="17"/>
  <c r="Y439" i="17"/>
  <c r="Y407" i="17"/>
  <c r="X413" i="17"/>
  <c r="X381" i="17"/>
  <c r="Y545" i="17"/>
  <c r="Y489" i="17"/>
  <c r="Y457" i="17"/>
  <c r="Y425" i="17"/>
  <c r="Y393" i="17"/>
  <c r="Y361" i="17"/>
  <c r="Y329" i="17"/>
  <c r="Y111" i="17"/>
  <c r="Y252" i="17"/>
  <c r="Y188" i="17"/>
  <c r="Y124" i="17"/>
  <c r="X501" i="17"/>
  <c r="X429" i="17"/>
  <c r="Y499" i="17"/>
  <c r="Y403" i="17"/>
  <c r="X377" i="17"/>
  <c r="Y121" i="17"/>
  <c r="Y294" i="17"/>
  <c r="Y198" i="17"/>
  <c r="Y166" i="17"/>
  <c r="Y134" i="17"/>
  <c r="Y603" i="17"/>
  <c r="X525" i="17"/>
  <c r="X487" i="17"/>
  <c r="Y373" i="17"/>
  <c r="Y341" i="17"/>
  <c r="Y325" i="17"/>
  <c r="X347" i="17"/>
  <c r="Y307" i="17"/>
  <c r="Y211" i="17"/>
  <c r="Y171" i="17"/>
  <c r="Y288" i="17"/>
  <c r="Y256" i="17"/>
  <c r="Y168" i="17"/>
  <c r="Y128" i="17"/>
  <c r="X123" i="17"/>
  <c r="Y65" i="17"/>
  <c r="X99" i="17"/>
  <c r="X131" i="17"/>
  <c r="Y64" i="17"/>
  <c r="X31" i="17"/>
  <c r="X95" i="17"/>
  <c r="X191" i="17"/>
  <c r="Y38" i="17"/>
  <c r="Y102" i="17"/>
  <c r="X52" i="17"/>
  <c r="Y82" i="17"/>
  <c r="Y106" i="17"/>
  <c r="X414" i="17"/>
  <c r="X398" i="17"/>
  <c r="X382" i="17"/>
  <c r="X366" i="17"/>
  <c r="X350" i="17"/>
  <c r="X334" i="17"/>
  <c r="Y404" i="17"/>
  <c r="Y388" i="17"/>
  <c r="Y344" i="17"/>
  <c r="X280" i="17"/>
  <c r="X216" i="17"/>
  <c r="X152" i="17"/>
  <c r="X120" i="17"/>
  <c r="X293" i="17"/>
  <c r="X261" i="17"/>
  <c r="X229" i="17"/>
  <c r="Y594" i="17"/>
  <c r="Y540" i="17"/>
  <c r="X516" i="17"/>
  <c r="X452" i="17"/>
  <c r="X388" i="17"/>
  <c r="X324" i="17"/>
  <c r="Y394" i="17"/>
  <c r="X517" i="17"/>
  <c r="X421" i="17"/>
  <c r="Y427" i="17"/>
  <c r="Y395" i="17"/>
  <c r="Y363" i="17"/>
  <c r="Y331" i="17"/>
  <c r="X401" i="17"/>
  <c r="X369" i="17"/>
  <c r="X337" i="17"/>
  <c r="Y561" i="17"/>
  <c r="X536" i="17"/>
  <c r="X181" i="17"/>
  <c r="X149" i="17"/>
  <c r="Y19" i="17"/>
  <c r="Y27" i="17"/>
  <c r="Y35" i="17"/>
  <c r="Y43" i="17"/>
  <c r="Y51" i="17"/>
  <c r="Y59" i="17"/>
  <c r="Y67" i="17"/>
  <c r="Y75" i="17"/>
  <c r="Y83" i="17"/>
  <c r="Y91" i="17"/>
  <c r="Y99" i="17"/>
  <c r="Y107" i="17"/>
  <c r="X133" i="17"/>
  <c r="X22" i="17"/>
  <c r="X38" i="17"/>
  <c r="X54" i="17"/>
  <c r="X70" i="17"/>
  <c r="X86" i="17"/>
  <c r="X102" i="17"/>
  <c r="X341" i="17"/>
  <c r="X357" i="17"/>
  <c r="X373" i="17"/>
  <c r="X389" i="17"/>
  <c r="X405" i="17"/>
  <c r="Y319" i="17"/>
  <c r="Y415" i="17"/>
  <c r="Y447" i="17"/>
  <c r="X441" i="17"/>
  <c r="X473" i="17"/>
  <c r="X505" i="17"/>
  <c r="Y593" i="17"/>
  <c r="Y398" i="17"/>
  <c r="Y414" i="17"/>
  <c r="X344" i="17"/>
  <c r="X376" i="17"/>
  <c r="X408" i="17"/>
  <c r="X440" i="17"/>
  <c r="X472" i="17"/>
  <c r="X504" i="17"/>
  <c r="Y528" i="17"/>
  <c r="X544" i="17"/>
  <c r="Y550" i="17"/>
  <c r="Y582" i="17"/>
  <c r="X595" i="17"/>
  <c r="X201" i="17"/>
  <c r="X217" i="17"/>
  <c r="X233" i="17"/>
  <c r="X249" i="17"/>
  <c r="X265" i="17"/>
  <c r="X281" i="17"/>
  <c r="X297" i="17"/>
  <c r="X313" i="17"/>
  <c r="X124" i="17"/>
  <c r="X140" i="17"/>
  <c r="X346" i="17"/>
  <c r="X378" i="17"/>
  <c r="X410" i="17"/>
  <c r="Y328" i="17"/>
  <c r="X264" i="17"/>
  <c r="X200" i="17"/>
  <c r="X599" i="17"/>
  <c r="X584" i="17"/>
  <c r="X444" i="17"/>
  <c r="X412" i="17"/>
  <c r="Y386" i="17"/>
  <c r="X477" i="17"/>
  <c r="Y419" i="17"/>
  <c r="Y387" i="17"/>
  <c r="Y355" i="17"/>
  <c r="Y323" i="17"/>
  <c r="X153" i="17"/>
  <c r="Y21" i="17"/>
  <c r="Y37" i="17"/>
  <c r="Y53" i="17"/>
  <c r="Y69" i="17"/>
  <c r="Y85" i="17"/>
  <c r="Y101" i="17"/>
  <c r="X24" i="17"/>
  <c r="Y127" i="17"/>
  <c r="Y300" i="17"/>
  <c r="Y268" i="17"/>
  <c r="Y236" i="17"/>
  <c r="Y204" i="17"/>
  <c r="Y172" i="17"/>
  <c r="Y140" i="17"/>
  <c r="Y507" i="17"/>
  <c r="X163" i="17"/>
  <c r="Y16" i="17"/>
  <c r="Y48" i="17"/>
  <c r="Y80" i="17"/>
  <c r="X15" i="17"/>
  <c r="X47" i="17"/>
  <c r="X79" i="17"/>
  <c r="Y622" i="17"/>
  <c r="X109" i="17"/>
  <c r="X151" i="17"/>
  <c r="Y22" i="17"/>
  <c r="Y54" i="17"/>
  <c r="Y86" i="17"/>
  <c r="X21" i="17"/>
  <c r="X53" i="17"/>
  <c r="X105" i="17"/>
  <c r="Y572" i="17"/>
  <c r="Y518" i="17"/>
  <c r="X494" i="17"/>
  <c r="Y433" i="17"/>
  <c r="Y279" i="17"/>
  <c r="Y228" i="17"/>
  <c r="J625" i="17"/>
  <c r="I625" i="17"/>
  <c r="C625" i="17"/>
  <c r="O625" i="17"/>
  <c r="D625" i="17"/>
  <c r="F625" i="17"/>
  <c r="P625" i="17"/>
  <c r="K625" i="17"/>
  <c r="E625" i="17"/>
  <c r="L625" i="17"/>
  <c r="I624" i="17"/>
  <c r="K624" i="17"/>
  <c r="C624" i="17"/>
  <c r="F624" i="17"/>
  <c r="P624" i="17"/>
  <c r="L624" i="17"/>
  <c r="J624" i="17"/>
  <c r="D624" i="17"/>
  <c r="E624" i="17"/>
  <c r="O624" i="17"/>
  <c r="X418" i="17"/>
  <c r="X354" i="17"/>
  <c r="Y392" i="17"/>
  <c r="X393" i="17"/>
  <c r="X361" i="17"/>
  <c r="X329" i="17"/>
  <c r="Y313" i="17"/>
  <c r="Y297" i="17"/>
  <c r="Y281" i="17"/>
  <c r="Y265" i="17"/>
  <c r="Y249" i="17"/>
  <c r="Y233" i="17"/>
  <c r="Y217" i="17"/>
  <c r="Y201" i="17"/>
  <c r="Y185" i="17"/>
  <c r="Y169" i="17"/>
  <c r="Y153" i="17"/>
  <c r="Y137" i="17"/>
  <c r="Y310" i="17"/>
  <c r="Y278" i="17"/>
  <c r="Y246" i="17"/>
  <c r="Y214" i="17"/>
  <c r="Y182" i="17"/>
  <c r="X141" i="17"/>
  <c r="X40" i="17"/>
  <c r="X72" i="17"/>
  <c r="X88" i="17"/>
  <c r="X104" i="17"/>
  <c r="N625" i="17"/>
  <c r="X604" i="17"/>
  <c r="Y587" i="17"/>
  <c r="X556" i="17"/>
  <c r="Y488" i="17"/>
  <c r="Y424" i="17"/>
  <c r="X462" i="17"/>
  <c r="Y601" i="17"/>
  <c r="X569" i="17"/>
  <c r="Y575" i="17"/>
  <c r="Y527" i="17"/>
  <c r="Y514" i="17"/>
  <c r="Y482" i="17"/>
  <c r="Y450" i="17"/>
  <c r="Y418" i="17"/>
  <c r="Y366" i="17"/>
  <c r="Y334" i="17"/>
  <c r="X302" i="17"/>
  <c r="X270" i="17"/>
  <c r="X238" i="17"/>
  <c r="X206" i="17"/>
  <c r="X174" i="17"/>
  <c r="X142" i="17"/>
  <c r="X110" i="17"/>
  <c r="X283" i="17"/>
  <c r="X597" i="17"/>
  <c r="Y560" i="17"/>
  <c r="Y547" i="17"/>
  <c r="X580" i="17"/>
  <c r="Y508" i="17"/>
  <c r="Y468" i="17"/>
  <c r="Y436" i="17"/>
  <c r="X482" i="17"/>
  <c r="X442" i="17"/>
  <c r="Y416" i="17"/>
  <c r="X239" i="17"/>
  <c r="Y607" i="17"/>
  <c r="X534" i="17"/>
  <c r="X558" i="17"/>
  <c r="X519" i="17"/>
  <c r="Y479" i="17"/>
  <c r="Y138" i="17"/>
  <c r="Y611" i="17"/>
  <c r="X521" i="17"/>
  <c r="Y497" i="17"/>
  <c r="Y369" i="17"/>
  <c r="X343" i="17"/>
  <c r="Y215" i="17"/>
  <c r="Y292" i="17"/>
  <c r="Y164" i="17"/>
  <c r="X601" i="17"/>
  <c r="Y588" i="17"/>
  <c r="Y556" i="17"/>
  <c r="Y555" i="17"/>
  <c r="X588" i="17"/>
  <c r="Y534" i="17"/>
  <c r="Y504" i="17"/>
  <c r="Y472" i="17"/>
  <c r="Y440" i="17"/>
  <c r="X510" i="17"/>
  <c r="X478" i="17"/>
  <c r="X446" i="17"/>
  <c r="Y576" i="17"/>
  <c r="Y537" i="17"/>
  <c r="Y522" i="17"/>
  <c r="Y460" i="17"/>
  <c r="X498" i="17"/>
  <c r="X434" i="17"/>
  <c r="Y408" i="17"/>
  <c r="Y610" i="17"/>
  <c r="Y597" i="17"/>
  <c r="X565" i="17"/>
  <c r="Y567" i="17"/>
  <c r="Y523" i="17"/>
  <c r="Y510" i="17"/>
  <c r="Y478" i="17"/>
  <c r="Y446" i="17"/>
  <c r="Y362" i="17"/>
  <c r="Y330" i="17"/>
  <c r="X298" i="17"/>
  <c r="X266" i="17"/>
  <c r="X234" i="17"/>
  <c r="X202" i="17"/>
  <c r="X170" i="17"/>
  <c r="X138" i="17"/>
  <c r="X311" i="17"/>
  <c r="X279" i="17"/>
  <c r="X231" i="17"/>
  <c r="Y599" i="17"/>
  <c r="Y581" i="17"/>
  <c r="X530" i="17"/>
  <c r="X550" i="17"/>
  <c r="Y495" i="17"/>
  <c r="Y463" i="17"/>
  <c r="X243" i="17"/>
  <c r="X547" i="17"/>
  <c r="X562" i="17"/>
  <c r="X491" i="17"/>
  <c r="X427" i="17"/>
  <c r="Y465" i="17"/>
  <c r="Y401" i="17"/>
  <c r="Y337" i="17"/>
  <c r="X375" i="17"/>
  <c r="Y311" i="17"/>
  <c r="Y247" i="17"/>
  <c r="Y183" i="17"/>
  <c r="Y119" i="17"/>
  <c r="Y260" i="17"/>
  <c r="Y196" i="17"/>
  <c r="Y132" i="17"/>
  <c r="X55" i="17"/>
  <c r="Y24" i="17"/>
  <c r="X135" i="17"/>
  <c r="Y62" i="17"/>
  <c r="Y88" i="17"/>
  <c r="X623" i="17"/>
  <c r="X29" i="17"/>
  <c r="X147" i="17"/>
  <c r="Y56" i="17"/>
  <c r="X23" i="17"/>
  <c r="X87" i="17"/>
  <c r="Y30" i="17"/>
  <c r="Y94" i="17"/>
  <c r="X61" i="17"/>
  <c r="Y154" i="17"/>
  <c r="Y122" i="17"/>
  <c r="X187" i="17"/>
  <c r="X211" i="17"/>
  <c r="X579" i="17"/>
  <c r="X594" i="17"/>
  <c r="X537" i="17"/>
  <c r="X507" i="17"/>
  <c r="X475" i="17"/>
  <c r="X443" i="17"/>
  <c r="Y513" i="17"/>
  <c r="Y481" i="17"/>
  <c r="Y449" i="17"/>
  <c r="Y417" i="17"/>
  <c r="Y385" i="17"/>
  <c r="Y353" i="17"/>
  <c r="Y321" i="17"/>
  <c r="X391" i="17"/>
  <c r="X359" i="17"/>
  <c r="X327" i="17"/>
  <c r="Y295" i="17"/>
  <c r="Y263" i="17"/>
  <c r="Y231" i="17"/>
  <c r="Y199" i="17"/>
  <c r="Y167" i="17"/>
  <c r="Y135" i="17"/>
  <c r="Y308" i="17"/>
  <c r="Y276" i="17"/>
  <c r="Y244" i="17"/>
  <c r="Y212" i="17"/>
  <c r="Y180" i="17"/>
  <c r="Y148" i="17"/>
  <c r="Y116" i="17"/>
  <c r="Y491" i="17"/>
  <c r="Y459" i="17"/>
  <c r="Y118" i="17"/>
  <c r="X179" i="17"/>
  <c r="X571" i="17"/>
  <c r="X586" i="17"/>
  <c r="X503" i="17"/>
  <c r="X439" i="17"/>
  <c r="Y477" i="17"/>
  <c r="Y413" i="17"/>
  <c r="Y349" i="17"/>
  <c r="X387" i="17"/>
  <c r="X323" i="17"/>
  <c r="Y259" i="17"/>
  <c r="Y195" i="17"/>
  <c r="Y131" i="17"/>
  <c r="Y272" i="17"/>
  <c r="Y208" i="17"/>
  <c r="Y144" i="17"/>
  <c r="Y28" i="17"/>
  <c r="Y92" i="17"/>
  <c r="X59" i="17"/>
  <c r="X183" i="17"/>
  <c r="X115" i="17"/>
  <c r="Y40" i="17"/>
  <c r="Y72" i="17"/>
  <c r="Y104" i="17"/>
  <c r="X39" i="17"/>
  <c r="X71" i="17"/>
  <c r="X103" i="17"/>
  <c r="X93" i="17"/>
  <c r="X167" i="17"/>
  <c r="Y14" i="17"/>
  <c r="Y46" i="17"/>
  <c r="Y78" i="17"/>
  <c r="X13" i="17"/>
  <c r="X45" i="17"/>
  <c r="X89" i="17"/>
  <c r="X117" i="17"/>
  <c r="Y34" i="17"/>
  <c r="Y98" i="17"/>
  <c r="X65" i="17"/>
  <c r="Y623" i="17"/>
  <c r="AB627" i="17" l="1"/>
  <c r="R627" i="17"/>
  <c r="S627" i="17" s="1"/>
  <c r="AA627" i="17"/>
  <c r="AD468" i="17"/>
  <c r="AE468" i="17" s="1"/>
  <c r="U469" i="17"/>
  <c r="AD390" i="17"/>
  <c r="AE390" i="17" s="1"/>
  <c r="U391" i="17"/>
  <c r="AD85" i="17"/>
  <c r="AE85" i="17" s="1"/>
  <c r="U86" i="17"/>
  <c r="AD21" i="17"/>
  <c r="AE21" i="17" s="1"/>
  <c r="U22" i="17"/>
  <c r="AD292" i="17"/>
  <c r="AE292" i="17" s="1"/>
  <c r="U293" i="17"/>
  <c r="AD613" i="17"/>
  <c r="AE613" i="17" s="1"/>
  <c r="U613" i="17"/>
  <c r="AD299" i="17"/>
  <c r="AE299" i="17" s="1"/>
  <c r="U300" i="17"/>
  <c r="AD329" i="17"/>
  <c r="AE329" i="17" s="1"/>
  <c r="U330" i="17"/>
  <c r="AD17" i="17"/>
  <c r="AE17" i="17" s="1"/>
  <c r="U18" i="17"/>
  <c r="AD109" i="17"/>
  <c r="AE109" i="17" s="1"/>
  <c r="U110" i="17"/>
  <c r="AD237" i="17"/>
  <c r="AE237" i="17" s="1"/>
  <c r="U238" i="17"/>
  <c r="AD129" i="17"/>
  <c r="AE129" i="17" s="1"/>
  <c r="U130" i="17"/>
  <c r="AD584" i="17"/>
  <c r="AE584" i="17" s="1"/>
  <c r="U584" i="17"/>
  <c r="AD487" i="17"/>
  <c r="AE487" i="17" s="1"/>
  <c r="U487" i="17"/>
  <c r="AD429" i="17"/>
  <c r="AE429" i="17" s="1"/>
  <c r="U430" i="17"/>
  <c r="AD116" i="17"/>
  <c r="AE116" i="17" s="1"/>
  <c r="U117" i="17"/>
  <c r="AD257" i="17"/>
  <c r="AE257" i="17" s="1"/>
  <c r="AD223" i="17"/>
  <c r="AE223" i="17" s="1"/>
  <c r="X625" i="17"/>
  <c r="AD216" i="17"/>
  <c r="AE216" i="17" s="1"/>
  <c r="AD123" i="17"/>
  <c r="AE123" i="17" s="1"/>
  <c r="AD226" i="17"/>
  <c r="AE226" i="17" s="1"/>
  <c r="AD511" i="17"/>
  <c r="AE511" i="17" s="1"/>
  <c r="AD422" i="17"/>
  <c r="AE422" i="17" s="1"/>
  <c r="AD114" i="17"/>
  <c r="AE114" i="17" s="1"/>
  <c r="AD315" i="17"/>
  <c r="AE315" i="17" s="1"/>
  <c r="AD259" i="17"/>
  <c r="AE259" i="17" s="1"/>
  <c r="AD499" i="17"/>
  <c r="AE499" i="17" s="1"/>
  <c r="AD256" i="17"/>
  <c r="AE256" i="17" s="1"/>
  <c r="AD437" i="17"/>
  <c r="AE437" i="17" s="1"/>
  <c r="AD353" i="17"/>
  <c r="AE353" i="17" s="1"/>
  <c r="AD454" i="17"/>
  <c r="AE454" i="17" s="1"/>
  <c r="AD55" i="17"/>
  <c r="AE55" i="17" s="1"/>
  <c r="AD405" i="17"/>
  <c r="AE405" i="17" s="1"/>
  <c r="AD269" i="17"/>
  <c r="AE269" i="17" s="1"/>
  <c r="AD68" i="17"/>
  <c r="AE68" i="17" s="1"/>
  <c r="AD105" i="17"/>
  <c r="AE105" i="17" s="1"/>
  <c r="AD32" i="17"/>
  <c r="AE32" i="17" s="1"/>
  <c r="AD449" i="17"/>
  <c r="AE449" i="17" s="1"/>
  <c r="AD385" i="17"/>
  <c r="AE385" i="17" s="1"/>
  <c r="AD147" i="17"/>
  <c r="AE147" i="17" s="1"/>
  <c r="AD488" i="17"/>
  <c r="AE488" i="17" s="1"/>
  <c r="AD341" i="17"/>
  <c r="AE341" i="17" s="1"/>
  <c r="AD540" i="17"/>
  <c r="AE540" i="17" s="1"/>
  <c r="AD263" i="17"/>
  <c r="AE263" i="17" s="1"/>
  <c r="AD507" i="17"/>
  <c r="AE507" i="17" s="1"/>
  <c r="AD97" i="17"/>
  <c r="AE97" i="17" s="1"/>
  <c r="AD64" i="17"/>
  <c r="AE64" i="17" s="1"/>
  <c r="AD527" i="17"/>
  <c r="AE527" i="17" s="1"/>
  <c r="AD555" i="17"/>
  <c r="AE555" i="17" s="1"/>
  <c r="AD445" i="17"/>
  <c r="AE445" i="17" s="1"/>
  <c r="AD400" i="17"/>
  <c r="AE400" i="17" s="1"/>
  <c r="AD514" i="17"/>
  <c r="AE514" i="17" s="1"/>
  <c r="AD333" i="17"/>
  <c r="AE333" i="17" s="1"/>
  <c r="AD342" i="17"/>
  <c r="AE342" i="17" s="1"/>
  <c r="AD525" i="17"/>
  <c r="AE525" i="17" s="1"/>
  <c r="AD234" i="17"/>
  <c r="AE234" i="17" s="1"/>
  <c r="AD253" i="17"/>
  <c r="AE253" i="17" s="1"/>
  <c r="AD143" i="17"/>
  <c r="AE143" i="17" s="1"/>
  <c r="AD490" i="17"/>
  <c r="AE490" i="17" s="1"/>
  <c r="AD369" i="17"/>
  <c r="AE369" i="17" s="1"/>
  <c r="AD419" i="17"/>
  <c r="AE419" i="17" s="1"/>
  <c r="AD307" i="17"/>
  <c r="AE307" i="17" s="1"/>
  <c r="AD81" i="17"/>
  <c r="AE81" i="17" s="1"/>
  <c r="AD471" i="17"/>
  <c r="AE471" i="17" s="1"/>
  <c r="AD537" i="17"/>
  <c r="AE537" i="17" s="1"/>
  <c r="AD241" i="17"/>
  <c r="AE241" i="17" s="1"/>
  <c r="AD551" i="17"/>
  <c r="AE551" i="17" s="1"/>
  <c r="AD383" i="17"/>
  <c r="AE383" i="17" s="1"/>
  <c r="AD331" i="17"/>
  <c r="AE331" i="17" s="1"/>
  <c r="AD274" i="17"/>
  <c r="AE274" i="17" s="1"/>
  <c r="AD47" i="17"/>
  <c r="AE47" i="17" s="1"/>
  <c r="AD567" i="17"/>
  <c r="AE567" i="17" s="1"/>
  <c r="AD413" i="17"/>
  <c r="AE413" i="17" s="1"/>
  <c r="AD322" i="17"/>
  <c r="AE322" i="17" s="1"/>
  <c r="AD151" i="17"/>
  <c r="AE151" i="17" s="1"/>
  <c r="AD539" i="17"/>
  <c r="AE539" i="17" s="1"/>
  <c r="AD170" i="17"/>
  <c r="AE170" i="17" s="1"/>
  <c r="AD27" i="17"/>
  <c r="AE27" i="17" s="1"/>
  <c r="AD231" i="17"/>
  <c r="AE231" i="17" s="1"/>
  <c r="AD16" i="17"/>
  <c r="AE16" i="17" s="1"/>
  <c r="AD175" i="17"/>
  <c r="AE175" i="17" s="1"/>
  <c r="AD466" i="17"/>
  <c r="AE466" i="17" s="1"/>
  <c r="AD60" i="17"/>
  <c r="AE60" i="17" s="1"/>
  <c r="AD28" i="17"/>
  <c r="AE28" i="17" s="1"/>
  <c r="AD304" i="17"/>
  <c r="AE304" i="17" s="1"/>
  <c r="AD195" i="17"/>
  <c r="AE195" i="17" s="1"/>
  <c r="R624" i="17"/>
  <c r="S624" i="17" s="1"/>
  <c r="AA624" i="17"/>
  <c r="E634" i="17" s="1"/>
  <c r="R625" i="17"/>
  <c r="S625" i="17" s="1"/>
  <c r="AA625" i="17"/>
  <c r="E635" i="17" s="1"/>
  <c r="AD372" i="17"/>
  <c r="AE372" i="17" s="1"/>
  <c r="AD280" i="17"/>
  <c r="AE280" i="17" s="1"/>
  <c r="AD590" i="17"/>
  <c r="AE590" i="17" s="1"/>
  <c r="AD71" i="17"/>
  <c r="AE71" i="17" s="1"/>
  <c r="AD493" i="17"/>
  <c r="AE493" i="17" s="1"/>
  <c r="AD319" i="17"/>
  <c r="AE319" i="17" s="1"/>
  <c r="AD73" i="17"/>
  <c r="AE73" i="17" s="1"/>
  <c r="AD111" i="17"/>
  <c r="AE111" i="17" s="1"/>
  <c r="AD131" i="17"/>
  <c r="AE131" i="17" s="1"/>
  <c r="AD427" i="17"/>
  <c r="AE427" i="17" s="1"/>
  <c r="AD298" i="17"/>
  <c r="AE298" i="17" s="1"/>
  <c r="Q627" i="17"/>
  <c r="AB624" i="17"/>
  <c r="Q624" i="17"/>
  <c r="D634" i="17" s="1"/>
  <c r="Q625" i="17"/>
  <c r="D635" i="17" s="1"/>
  <c r="AD394" i="17"/>
  <c r="AE394" i="17" s="1"/>
  <c r="AD72" i="17"/>
  <c r="AE72" i="17" s="1"/>
  <c r="AD378" i="17"/>
  <c r="AE378" i="17" s="1"/>
  <c r="AD246" i="17"/>
  <c r="AE246" i="17" s="1"/>
  <c r="AD80" i="17"/>
  <c r="AE80" i="17" s="1"/>
  <c r="AD305" i="17"/>
  <c r="AE305" i="17" s="1"/>
  <c r="AD348" i="17"/>
  <c r="AE348" i="17" s="1"/>
  <c r="AD411" i="17"/>
  <c r="AE411" i="17" s="1"/>
  <c r="AD276" i="17"/>
  <c r="AE276" i="17" s="1"/>
  <c r="AD472" i="17"/>
  <c r="AE472" i="17" s="1"/>
  <c r="AD63" i="17"/>
  <c r="AE63" i="17" s="1"/>
  <c r="AD477" i="17"/>
  <c r="AE477" i="17" s="1"/>
  <c r="AD475" i="17"/>
  <c r="AE475" i="17" s="1"/>
  <c r="AD347" i="17"/>
  <c r="AE347" i="17" s="1"/>
  <c r="AD447" i="17"/>
  <c r="AE447" i="17" s="1"/>
  <c r="AD513" i="17"/>
  <c r="AE513" i="17" s="1"/>
  <c r="AD586" i="17"/>
  <c r="AE586" i="17" s="1"/>
  <c r="AD476" i="17"/>
  <c r="AE476" i="17" s="1"/>
  <c r="AD371" i="17"/>
  <c r="AE371" i="17" s="1"/>
  <c r="AD431" i="17"/>
  <c r="AE431" i="17" s="1"/>
  <c r="AD140" i="17"/>
  <c r="AE140" i="17" s="1"/>
  <c r="AD349" i="17"/>
  <c r="AE349" i="17" s="1"/>
  <c r="AD316" i="17"/>
  <c r="AE316" i="17" s="1"/>
  <c r="AD232" i="17"/>
  <c r="AE232" i="17" s="1"/>
  <c r="AD296" i="17"/>
  <c r="AE296" i="17" s="1"/>
  <c r="AD535" i="17"/>
  <c r="AE535" i="17" s="1"/>
  <c r="AD139" i="17"/>
  <c r="AE139" i="17" s="1"/>
  <c r="AD439" i="17"/>
  <c r="AE439" i="17" s="1"/>
  <c r="AD503" i="17"/>
  <c r="AE503" i="17" s="1"/>
  <c r="AD303" i="17"/>
  <c r="AE303" i="17" s="1"/>
  <c r="AD290" i="17"/>
  <c r="AE290" i="17" s="1"/>
  <c r="AD301" i="17"/>
  <c r="AE301" i="17" s="1"/>
  <c r="AD239" i="17"/>
  <c r="AE239" i="17" s="1"/>
  <c r="AD375" i="17"/>
  <c r="AE375" i="17" s="1"/>
  <c r="AD407" i="17"/>
  <c r="AE407" i="17" s="1"/>
  <c r="AD587" i="17"/>
  <c r="AE587" i="17" s="1"/>
  <c r="AD158" i="17"/>
  <c r="AE158" i="17" s="1"/>
  <c r="AD57" i="17"/>
  <c r="AE57" i="17" s="1"/>
  <c r="AD67" i="17"/>
  <c r="AE67" i="17" s="1"/>
  <c r="AD344" i="17"/>
  <c r="AE344" i="17" s="1"/>
  <c r="AD258" i="17"/>
  <c r="AE258" i="17" s="1"/>
  <c r="AD251" i="17"/>
  <c r="AE251" i="17" s="1"/>
  <c r="AD504" i="17"/>
  <c r="AE504" i="17" s="1"/>
  <c r="AD566" i="17"/>
  <c r="AE566" i="17" s="1"/>
  <c r="AD399" i="17"/>
  <c r="AE399" i="17" s="1"/>
  <c r="AD112" i="17"/>
  <c r="AE112" i="17" s="1"/>
  <c r="AD203" i="17"/>
  <c r="AE203" i="17" s="1"/>
  <c r="AD465" i="17"/>
  <c r="AE465" i="17" s="1"/>
  <c r="AD286" i="17"/>
  <c r="AE286" i="17" s="1"/>
  <c r="AD208" i="17"/>
  <c r="AE208" i="17" s="1"/>
  <c r="AD512" i="17"/>
  <c r="AE512" i="17" s="1"/>
  <c r="AD412" i="17"/>
  <c r="AE412" i="17" s="1"/>
  <c r="AD121" i="17"/>
  <c r="AE121" i="17" s="1"/>
  <c r="AD571" i="17"/>
  <c r="AE571" i="17" s="1"/>
  <c r="AD600" i="17"/>
  <c r="AE600" i="17" s="1"/>
  <c r="AD15" i="17"/>
  <c r="AE15" i="17" s="1"/>
  <c r="AD168" i="17"/>
  <c r="AE168" i="17" s="1"/>
  <c r="AD393" i="17"/>
  <c r="AE393" i="17" s="1"/>
  <c r="AD554" i="17"/>
  <c r="AE554" i="17" s="1"/>
  <c r="AD458" i="17"/>
  <c r="AE458" i="17" s="1"/>
  <c r="AD314" i="17"/>
  <c r="AE314" i="17" s="1"/>
  <c r="AD36" i="17"/>
  <c r="AE36" i="17" s="1"/>
  <c r="AD346" i="17"/>
  <c r="AE346" i="17" s="1"/>
  <c r="AD592" i="17"/>
  <c r="AE592" i="17" s="1"/>
  <c r="AD376" i="17"/>
  <c r="AE376" i="17" s="1"/>
  <c r="AD377" i="17"/>
  <c r="AE377" i="17" s="1"/>
  <c r="AD240" i="17"/>
  <c r="AE240" i="17" s="1"/>
  <c r="AD330" i="17"/>
  <c r="AE330" i="17" s="1"/>
  <c r="AD354" i="17"/>
  <c r="AE354" i="17" s="1"/>
  <c r="AD209" i="17"/>
  <c r="AE209" i="17" s="1"/>
  <c r="AD379" i="17"/>
  <c r="AE379" i="17" s="1"/>
  <c r="AD167" i="17"/>
  <c r="AE167" i="17" s="1"/>
  <c r="AD495" i="17"/>
  <c r="AE495" i="17" s="1"/>
  <c r="AD275" i="17"/>
  <c r="AE275" i="17" s="1"/>
  <c r="AD508" i="17"/>
  <c r="AE508" i="17" s="1"/>
  <c r="AD560" i="17"/>
  <c r="AE560" i="17" s="1"/>
  <c r="AD497" i="17"/>
  <c r="AE497" i="17" s="1"/>
  <c r="AD599" i="17"/>
  <c r="AE599" i="17" s="1"/>
  <c r="AD277" i="17"/>
  <c r="AE277" i="17" s="1"/>
  <c r="AD443" i="17"/>
  <c r="AE443" i="17" s="1"/>
  <c r="AD127" i="17"/>
  <c r="AE127" i="17" s="1"/>
  <c r="AD355" i="17"/>
  <c r="AE355" i="17" s="1"/>
  <c r="AD583" i="17"/>
  <c r="AE583" i="17" s="1"/>
  <c r="AD594" i="17"/>
  <c r="AE594" i="17" s="1"/>
  <c r="AD595" i="17"/>
  <c r="AE595" i="17" s="1"/>
  <c r="AD547" i="17"/>
  <c r="AE547" i="17" s="1"/>
  <c r="AD563" i="17"/>
  <c r="AE563" i="17" s="1"/>
  <c r="AD320" i="17"/>
  <c r="AE320" i="17" s="1"/>
  <c r="AD591" i="17"/>
  <c r="AE591" i="17" s="1"/>
  <c r="AD559" i="17"/>
  <c r="AE559" i="17" s="1"/>
  <c r="AD183" i="17"/>
  <c r="AE183" i="17" s="1"/>
  <c r="AD593" i="17"/>
  <c r="AE593" i="17" s="1"/>
  <c r="AD205" i="17"/>
  <c r="AE205" i="17" s="1"/>
  <c r="AD89" i="17"/>
  <c r="AE89" i="17" s="1"/>
  <c r="AD154" i="17"/>
  <c r="AE154" i="17" s="1"/>
  <c r="AD338" i="17"/>
  <c r="AE338" i="17" s="1"/>
  <c r="AD402" i="17"/>
  <c r="AE402" i="17" s="1"/>
  <c r="AD577" i="17"/>
  <c r="AE577" i="17" s="1"/>
  <c r="AD284" i="17"/>
  <c r="AE284" i="17" s="1"/>
  <c r="AD602" i="17"/>
  <c r="AE602" i="17" s="1"/>
  <c r="AD428" i="17"/>
  <c r="AE428" i="17" s="1"/>
  <c r="AD396" i="17"/>
  <c r="AE396" i="17" s="1"/>
  <c r="AD35" i="17"/>
  <c r="AE35" i="17" s="1"/>
  <c r="AD573" i="17"/>
  <c r="AE573" i="17" s="1"/>
  <c r="AD182" i="17"/>
  <c r="AE182" i="17" s="1"/>
  <c r="AD532" i="17"/>
  <c r="AE532" i="17" s="1"/>
  <c r="AD557" i="17"/>
  <c r="AE557" i="17" s="1"/>
  <c r="AD550" i="17"/>
  <c r="AE550" i="17" s="1"/>
  <c r="AD217" i="17"/>
  <c r="AE217" i="17" s="1"/>
  <c r="AD321" i="17"/>
  <c r="AE321" i="17" s="1"/>
  <c r="AD481" i="17"/>
  <c r="AE481" i="17" s="1"/>
  <c r="AD332" i="17"/>
  <c r="AE332" i="17" s="1"/>
  <c r="AD496" i="17"/>
  <c r="AE496" i="17" s="1"/>
  <c r="AD339" i="17"/>
  <c r="AE339" i="17" s="1"/>
  <c r="AD300" i="17"/>
  <c r="AE300" i="17" s="1"/>
  <c r="AD77" i="17"/>
  <c r="AE77" i="17" s="1"/>
  <c r="AD45" i="17"/>
  <c r="AE45" i="17" s="1"/>
  <c r="AD13" i="17"/>
  <c r="AE13" i="17" s="1"/>
  <c r="AD102" i="17"/>
  <c r="AE102" i="17" s="1"/>
  <c r="AD91" i="17"/>
  <c r="AE91" i="17" s="1"/>
  <c r="AD178" i="17"/>
  <c r="AE178" i="17" s="1"/>
  <c r="AD442" i="17"/>
  <c r="AE442" i="17" s="1"/>
  <c r="AD552" i="17"/>
  <c r="AE552" i="17" s="1"/>
  <c r="AD173" i="17"/>
  <c r="AE173" i="17" s="1"/>
  <c r="AD574" i="17"/>
  <c r="AE574" i="17" s="1"/>
  <c r="AD520" i="17"/>
  <c r="AE520" i="17" s="1"/>
  <c r="AD242" i="17"/>
  <c r="AE242" i="17" s="1"/>
  <c r="AD31" i="17"/>
  <c r="AE31" i="17" s="1"/>
  <c r="AD367" i="17"/>
  <c r="AE367" i="17" s="1"/>
  <c r="AD43" i="17"/>
  <c r="AE43" i="17" s="1"/>
  <c r="AD51" i="17"/>
  <c r="AE51" i="17" s="1"/>
  <c r="AD523" i="17"/>
  <c r="AE523" i="17" s="1"/>
  <c r="AD79" i="17"/>
  <c r="AE79" i="17" s="1"/>
  <c r="AD313" i="17"/>
  <c r="AE313" i="17" s="1"/>
  <c r="AD220" i="17"/>
  <c r="AE220" i="17" s="1"/>
  <c r="AD150" i="17"/>
  <c r="AE150" i="17" s="1"/>
  <c r="AD408" i="17"/>
  <c r="AE408" i="17" s="1"/>
  <c r="AD41" i="17"/>
  <c r="AE41" i="17" s="1"/>
  <c r="AD384" i="17"/>
  <c r="AE384" i="17" s="1"/>
  <c r="AD92" i="17"/>
  <c r="AE92" i="17" s="1"/>
  <c r="AD106" i="17"/>
  <c r="AE106" i="17" s="1"/>
  <c r="AD98" i="17"/>
  <c r="AE98" i="17" s="1"/>
  <c r="AD66" i="17"/>
  <c r="AE66" i="17" s="1"/>
  <c r="AD194" i="17"/>
  <c r="AE194" i="17" s="1"/>
  <c r="AD366" i="17"/>
  <c r="AE366" i="17" s="1"/>
  <c r="AD450" i="17"/>
  <c r="AE450" i="17" s="1"/>
  <c r="AD526" i="17"/>
  <c r="AE526" i="17" s="1"/>
  <c r="AD589" i="17"/>
  <c r="AE589" i="17" s="1"/>
  <c r="AD565" i="17"/>
  <c r="AE565" i="17" s="1"/>
  <c r="AD581" i="17"/>
  <c r="AE581" i="17" s="1"/>
  <c r="AD169" i="17"/>
  <c r="AE169" i="17" s="1"/>
  <c r="AD273" i="17"/>
  <c r="AE273" i="17" s="1"/>
  <c r="AD548" i="17"/>
  <c r="AE548" i="17" s="1"/>
  <c r="AD588" i="17"/>
  <c r="AE588" i="17" s="1"/>
  <c r="AD306" i="17"/>
  <c r="AE306" i="17" s="1"/>
  <c r="AD157" i="17"/>
  <c r="AE157" i="17" s="1"/>
  <c r="AD189" i="17"/>
  <c r="AE189" i="17" s="1"/>
  <c r="AD221" i="17"/>
  <c r="AE221" i="17" s="1"/>
  <c r="AD99" i="17"/>
  <c r="AE99" i="17" s="1"/>
  <c r="AD444" i="17"/>
  <c r="AE444" i="17" s="1"/>
  <c r="AD128" i="17"/>
  <c r="AE128" i="17" s="1"/>
  <c r="AD144" i="17"/>
  <c r="AE144" i="17" s="1"/>
  <c r="AD464" i="17"/>
  <c r="AE464" i="17" s="1"/>
  <c r="AD395" i="17"/>
  <c r="AE395" i="17" s="1"/>
  <c r="AD491" i="17"/>
  <c r="AE491" i="17" s="1"/>
  <c r="AD191" i="17"/>
  <c r="AE191" i="17" s="1"/>
  <c r="AD247" i="17"/>
  <c r="AE247" i="17" s="1"/>
  <c r="AD361" i="17"/>
  <c r="AE361" i="17" s="1"/>
  <c r="AD417" i="17"/>
  <c r="AE417" i="17" s="1"/>
  <c r="AD343" i="17"/>
  <c r="AE343" i="17" s="1"/>
  <c r="AD415" i="17"/>
  <c r="AE415" i="17" s="1"/>
  <c r="AD479" i="17"/>
  <c r="AE479" i="17" s="1"/>
  <c r="AD248" i="17"/>
  <c r="AE248" i="17" s="1"/>
  <c r="AD264" i="17"/>
  <c r="AE264" i="17" s="1"/>
  <c r="AD278" i="17"/>
  <c r="AE278" i="17" s="1"/>
  <c r="AD198" i="17"/>
  <c r="AE198" i="17" s="1"/>
  <c r="AD219" i="17"/>
  <c r="AE219" i="17" s="1"/>
  <c r="AD531" i="17"/>
  <c r="AE531" i="17" s="1"/>
  <c r="AD459" i="17"/>
  <c r="AE459" i="17" s="1"/>
  <c r="AD460" i="17"/>
  <c r="AE460" i="17" s="1"/>
  <c r="AD272" i="17"/>
  <c r="AE272" i="17" s="1"/>
  <c r="AD236" i="17"/>
  <c r="AE236" i="17" s="1"/>
  <c r="AD463" i="17"/>
  <c r="AE463" i="17" s="1"/>
  <c r="AD605" i="17"/>
  <c r="AE605" i="17" s="1"/>
  <c r="AD104" i="17"/>
  <c r="AE104" i="17" s="1"/>
  <c r="AD118" i="17"/>
  <c r="AE118" i="17" s="1"/>
  <c r="AD435" i="17"/>
  <c r="AE435" i="17" s="1"/>
  <c r="AD309" i="17"/>
  <c r="AE309" i="17" s="1"/>
  <c r="AD312" i="17"/>
  <c r="AE312" i="17" s="1"/>
  <c r="AD166" i="17"/>
  <c r="AE166" i="17" s="1"/>
  <c r="AD432" i="17"/>
  <c r="AE432" i="17" s="1"/>
  <c r="AD40" i="17"/>
  <c r="AE40" i="17" s="1"/>
  <c r="AD126" i="17"/>
  <c r="AE126" i="17" s="1"/>
  <c r="AD190" i="17"/>
  <c r="AE190" i="17" s="1"/>
  <c r="AD108" i="17"/>
  <c r="AE108" i="17" s="1"/>
  <c r="AD76" i="17"/>
  <c r="AE76" i="17" s="1"/>
  <c r="AD162" i="17"/>
  <c r="AE162" i="17" s="1"/>
  <c r="AD250" i="17"/>
  <c r="AE250" i="17" s="1"/>
  <c r="AD334" i="17"/>
  <c r="AE334" i="17" s="1"/>
  <c r="AD418" i="17"/>
  <c r="AE418" i="17" s="1"/>
  <c r="AD536" i="17"/>
  <c r="AE536" i="17" s="1"/>
  <c r="AD222" i="17"/>
  <c r="AE222" i="17" s="1"/>
  <c r="AD254" i="17"/>
  <c r="AE254" i="17" s="1"/>
  <c r="AD530" i="17"/>
  <c r="AE530" i="17" s="1"/>
  <c r="AD230" i="17"/>
  <c r="AE230" i="17" s="1"/>
  <c r="AD262" i="17"/>
  <c r="AE262" i="17" s="1"/>
  <c r="AD302" i="17"/>
  <c r="AE302" i="17" s="1"/>
  <c r="AD249" i="17"/>
  <c r="AE249" i="17" s="1"/>
  <c r="AD281" i="17"/>
  <c r="AE281" i="17" s="1"/>
  <c r="AD433" i="17"/>
  <c r="AE433" i="17" s="1"/>
  <c r="AD245" i="17"/>
  <c r="AE245" i="17" s="1"/>
  <c r="AD285" i="17"/>
  <c r="AE285" i="17" s="1"/>
  <c r="AD576" i="17"/>
  <c r="AE576" i="17" s="1"/>
  <c r="AD184" i="17"/>
  <c r="AE184" i="17" s="1"/>
  <c r="AD492" i="17"/>
  <c r="AE492" i="17" s="1"/>
  <c r="AD192" i="17"/>
  <c r="AE192" i="17" s="1"/>
  <c r="AD364" i="17"/>
  <c r="AE364" i="17" s="1"/>
  <c r="AD380" i="17"/>
  <c r="AE380" i="17" s="1"/>
  <c r="AD416" i="17"/>
  <c r="AE416" i="17" s="1"/>
  <c r="AD448" i="17"/>
  <c r="AE448" i="17" s="1"/>
  <c r="AD311" i="17"/>
  <c r="AE311" i="17" s="1"/>
  <c r="AD575" i="17"/>
  <c r="AE575" i="17" s="1"/>
  <c r="AD224" i="17"/>
  <c r="AE224" i="17" s="1"/>
  <c r="AD171" i="17"/>
  <c r="AE171" i="17" s="1"/>
  <c r="AD336" i="17"/>
  <c r="AE336" i="17" s="1"/>
  <c r="AD606" i="17"/>
  <c r="AE606" i="17" s="1"/>
  <c r="AD271" i="17"/>
  <c r="AE271" i="17" s="1"/>
  <c r="AD461" i="17"/>
  <c r="AE461" i="17" s="1"/>
  <c r="AD601" i="17"/>
  <c r="AE601" i="17" s="1"/>
  <c r="AD363" i="17"/>
  <c r="AE363" i="17" s="1"/>
  <c r="AD351" i="17"/>
  <c r="AE351" i="17" s="1"/>
  <c r="AD480" i="17"/>
  <c r="AE480" i="17" s="1"/>
  <c r="AD100" i="17"/>
  <c r="AE100" i="17" s="1"/>
  <c r="AD335" i="17"/>
  <c r="AE335" i="17" s="1"/>
  <c r="AD294" i="17"/>
  <c r="AE294" i="17" s="1"/>
  <c r="AD267" i="17"/>
  <c r="AE267" i="17" s="1"/>
  <c r="AD365" i="17"/>
  <c r="AE365" i="17" s="1"/>
  <c r="AD543" i="17"/>
  <c r="AE543" i="17" s="1"/>
  <c r="AD52" i="17"/>
  <c r="AE52" i="17" s="1"/>
  <c r="AD14" i="17"/>
  <c r="AE14" i="17" s="1"/>
  <c r="AD436" i="17"/>
  <c r="AE436" i="17" s="1"/>
  <c r="AD500" i="17"/>
  <c r="AE500" i="17" s="1"/>
  <c r="AD310" i="17"/>
  <c r="AE310" i="17" s="1"/>
  <c r="AD564" i="17"/>
  <c r="AE564" i="17" s="1"/>
  <c r="AD604" i="17"/>
  <c r="AE604" i="17" s="1"/>
  <c r="AD107" i="17"/>
  <c r="AE107" i="17" s="1"/>
  <c r="AD34" i="17"/>
  <c r="AE34" i="17" s="1"/>
  <c r="AD96" i="17"/>
  <c r="AE96" i="17" s="1"/>
  <c r="AD110" i="17"/>
  <c r="AE110" i="17" s="1"/>
  <c r="AD84" i="17"/>
  <c r="AE84" i="17" s="1"/>
  <c r="AD44" i="17"/>
  <c r="AE44" i="17" s="1"/>
  <c r="AD146" i="17"/>
  <c r="AE146" i="17" s="1"/>
  <c r="AD122" i="17"/>
  <c r="AE122" i="17" s="1"/>
  <c r="AD138" i="17"/>
  <c r="AE138" i="17" s="1"/>
  <c r="AD370" i="17"/>
  <c r="AE370" i="17" s="1"/>
  <c r="AD386" i="17"/>
  <c r="AE386" i="17" s="1"/>
  <c r="AD519" i="17"/>
  <c r="AE519" i="17" s="1"/>
  <c r="AD524" i="17"/>
  <c r="AE524" i="17" s="1"/>
  <c r="AD426" i="17"/>
  <c r="AE426" i="17" s="1"/>
  <c r="AD434" i="17"/>
  <c r="AE434" i="17" s="1"/>
  <c r="AD561" i="17"/>
  <c r="AE561" i="17" s="1"/>
  <c r="AD518" i="17"/>
  <c r="AE518" i="17" s="1"/>
  <c r="AD522" i="17"/>
  <c r="AE522" i="17" s="1"/>
  <c r="AD538" i="17"/>
  <c r="AE538" i="17" s="1"/>
  <c r="AD214" i="17"/>
  <c r="AE214" i="17" s="1"/>
  <c r="AD113" i="17"/>
  <c r="AE113" i="17" s="1"/>
  <c r="AD153" i="17"/>
  <c r="AE153" i="17" s="1"/>
  <c r="AD225" i="17"/>
  <c r="AE225" i="17" s="1"/>
  <c r="AD289" i="17"/>
  <c r="AE289" i="17" s="1"/>
  <c r="AD572" i="17"/>
  <c r="AE572" i="17" s="1"/>
  <c r="AD505" i="17"/>
  <c r="AE505" i="17" s="1"/>
  <c r="AD282" i="17"/>
  <c r="AE282" i="17" s="1"/>
  <c r="AD197" i="17"/>
  <c r="AE197" i="17" s="1"/>
  <c r="AD603" i="17"/>
  <c r="AE603" i="17" s="1"/>
  <c r="AD75" i="17"/>
  <c r="AE75" i="17" s="1"/>
  <c r="AD609" i="17"/>
  <c r="AE609" i="17" s="1"/>
  <c r="AD252" i="17"/>
  <c r="AE252" i="17" s="1"/>
  <c r="AD345" i="17"/>
  <c r="AE345" i="17" s="1"/>
  <c r="AD357" i="17"/>
  <c r="AE357" i="17" s="1"/>
  <c r="AD61" i="17"/>
  <c r="AE61" i="17" s="1"/>
  <c r="AD53" i="17"/>
  <c r="AE53" i="17" s="1"/>
  <c r="AD163" i="17"/>
  <c r="AE163" i="17" s="1"/>
  <c r="AD288" i="17"/>
  <c r="AE288" i="17" s="1"/>
  <c r="AD59" i="17"/>
  <c r="AE59" i="17" s="1"/>
  <c r="AD283" i="17"/>
  <c r="AE283" i="17" s="1"/>
  <c r="AD207" i="17"/>
  <c r="AE207" i="17" s="1"/>
  <c r="AD39" i="17"/>
  <c r="AE39" i="17" s="1"/>
  <c r="AD210" i="17"/>
  <c r="AE210" i="17" s="1"/>
  <c r="AD186" i="17"/>
  <c r="AE186" i="17" s="1"/>
  <c r="AD528" i="17"/>
  <c r="AE528" i="17" s="1"/>
  <c r="AD78" i="17"/>
  <c r="AE78" i="17" s="1"/>
  <c r="AD489" i="17"/>
  <c r="AE489" i="17" s="1"/>
  <c r="AD33" i="17"/>
  <c r="AE33" i="17" s="1"/>
  <c r="AD196" i="17"/>
  <c r="AE196" i="17" s="1"/>
  <c r="AD360" i="17"/>
  <c r="AE360" i="17" s="1"/>
  <c r="AD409" i="17"/>
  <c r="AE409" i="17" s="1"/>
  <c r="AD509" i="17"/>
  <c r="AE509" i="17" s="1"/>
  <c r="AD86" i="17"/>
  <c r="AE86" i="17" s="1"/>
  <c r="AD22" i="17"/>
  <c r="AE22" i="17" s="1"/>
  <c r="AD297" i="17"/>
  <c r="AE297" i="17" s="1"/>
  <c r="AD179" i="17"/>
  <c r="AE179" i="17" s="1"/>
  <c r="AD373" i="17"/>
  <c r="AE373" i="17" s="1"/>
  <c r="AD546" i="17"/>
  <c r="AE546" i="17" s="1"/>
  <c r="AD238" i="17"/>
  <c r="AE238" i="17" s="1"/>
  <c r="AD562" i="17"/>
  <c r="AE562" i="17" s="1"/>
  <c r="AD541" i="17"/>
  <c r="AE541" i="17" s="1"/>
  <c r="AD187" i="17"/>
  <c r="AE187" i="17" s="1"/>
  <c r="AD608" i="17"/>
  <c r="AE608" i="17" s="1"/>
  <c r="AD325" i="17"/>
  <c r="AE325" i="17" s="1"/>
  <c r="AD469" i="17"/>
  <c r="AE469" i="17" s="1"/>
  <c r="AD467" i="17"/>
  <c r="AE467" i="17" s="1"/>
  <c r="AD56" i="17"/>
  <c r="AE56" i="17" s="1"/>
  <c r="AD174" i="17"/>
  <c r="AE174" i="17" s="1"/>
  <c r="AD46" i="17"/>
  <c r="AE46" i="17" s="1"/>
  <c r="AD410" i="17"/>
  <c r="AE410" i="17" s="1"/>
  <c r="AD438" i="17"/>
  <c r="AE438" i="17" s="1"/>
  <c r="AD446" i="17"/>
  <c r="AE446" i="17" s="1"/>
  <c r="AD478" i="17"/>
  <c r="AE478" i="17" s="1"/>
  <c r="AD486" i="17"/>
  <c r="AE486" i="17" s="1"/>
  <c r="AD510" i="17"/>
  <c r="AE510" i="17" s="1"/>
  <c r="AD553" i="17"/>
  <c r="AE553" i="17" s="1"/>
  <c r="AD585" i="17"/>
  <c r="AE585" i="17" s="1"/>
  <c r="AD120" i="17"/>
  <c r="AE120" i="17" s="1"/>
  <c r="AD358" i="17"/>
  <c r="AE358" i="17" s="1"/>
  <c r="AD406" i="17"/>
  <c r="AE406" i="17" s="1"/>
  <c r="AD506" i="17"/>
  <c r="AE506" i="17" s="1"/>
  <c r="AD542" i="17"/>
  <c r="AE542" i="17" s="1"/>
  <c r="AD266" i="17"/>
  <c r="AE266" i="17" s="1"/>
  <c r="AD233" i="17"/>
  <c r="AE233" i="17" s="1"/>
  <c r="AD457" i="17"/>
  <c r="AE457" i="17" s="1"/>
  <c r="AD165" i="17"/>
  <c r="AE165" i="17" s="1"/>
  <c r="AD261" i="17"/>
  <c r="AE261" i="17" s="1"/>
  <c r="AD172" i="17"/>
  <c r="AE172" i="17" s="1"/>
  <c r="AD188" i="17"/>
  <c r="AE188" i="17" s="1"/>
  <c r="AD204" i="17"/>
  <c r="AE204" i="17" s="1"/>
  <c r="AD308" i="17"/>
  <c r="AE308" i="17" s="1"/>
  <c r="AD87" i="17"/>
  <c r="AE87" i="17" s="1"/>
  <c r="AD227" i="17"/>
  <c r="AE227" i="17" s="1"/>
  <c r="AD159" i="17"/>
  <c r="AE159" i="17" s="1"/>
  <c r="AD243" i="17"/>
  <c r="AE243" i="17" s="1"/>
  <c r="AD65" i="17"/>
  <c r="AE65" i="17" s="1"/>
  <c r="AD521" i="17"/>
  <c r="AE521" i="17" s="1"/>
  <c r="AD135" i="17"/>
  <c r="AE135" i="17" s="1"/>
  <c r="AD25" i="17"/>
  <c r="AE25" i="17" s="1"/>
  <c r="AD83" i="17"/>
  <c r="AE83" i="17" s="1"/>
  <c r="AD136" i="17"/>
  <c r="AE136" i="17" s="1"/>
  <c r="AD48" i="17"/>
  <c r="AE48" i="17" s="1"/>
  <c r="AD20" i="17"/>
  <c r="AE20" i="17" s="1"/>
  <c r="AD134" i="17"/>
  <c r="AE134" i="17" s="1"/>
  <c r="AD569" i="17"/>
  <c r="AE569" i="17" s="1"/>
  <c r="AD570" i="17"/>
  <c r="AE570" i="17" s="1"/>
  <c r="AD326" i="17"/>
  <c r="AE326" i="17" s="1"/>
  <c r="AD350" i="17"/>
  <c r="AE350" i="17" s="1"/>
  <c r="AD374" i="17"/>
  <c r="AE374" i="17" s="1"/>
  <c r="AD545" i="17"/>
  <c r="AE545" i="17" s="1"/>
  <c r="AD578" i="17"/>
  <c r="AE578" i="17" s="1"/>
  <c r="AD534" i="17"/>
  <c r="AE534" i="17" s="1"/>
  <c r="AD558" i="17"/>
  <c r="AE558" i="17" s="1"/>
  <c r="AD549" i="17"/>
  <c r="AE549" i="17" s="1"/>
  <c r="AD582" i="17"/>
  <c r="AE582" i="17" s="1"/>
  <c r="AD177" i="17"/>
  <c r="AE177" i="17" s="1"/>
  <c r="AD185" i="17"/>
  <c r="AE185" i="17" s="1"/>
  <c r="AD473" i="17"/>
  <c r="AE473" i="17" s="1"/>
  <c r="AD579" i="17"/>
  <c r="AE579" i="17" s="1"/>
  <c r="AD117" i="17"/>
  <c r="AE117" i="17" s="1"/>
  <c r="AD125" i="17"/>
  <c r="AE125" i="17" s="1"/>
  <c r="AD213" i="17"/>
  <c r="AE213" i="17" s="1"/>
  <c r="AD568" i="17"/>
  <c r="AE568" i="17" s="1"/>
  <c r="AD501" i="17"/>
  <c r="AE501" i="17" s="1"/>
  <c r="AD103" i="17"/>
  <c r="AE103" i="17" s="1"/>
  <c r="AD95" i="17"/>
  <c r="AE95" i="17" s="1"/>
  <c r="AD19" i="17"/>
  <c r="AE19" i="17" s="1"/>
  <c r="AD49" i="17"/>
  <c r="AE49" i="17" s="1"/>
  <c r="AD37" i="17"/>
  <c r="AE37" i="17" s="1"/>
  <c r="AD176" i="17"/>
  <c r="AE176" i="17" s="1"/>
  <c r="AD212" i="17"/>
  <c r="AE212" i="17" s="1"/>
  <c r="AD199" i="17"/>
  <c r="AE199" i="17" s="1"/>
  <c r="AD295" i="17"/>
  <c r="AE295" i="17" s="1"/>
  <c r="AD423" i="17"/>
  <c r="AE423" i="17" s="1"/>
  <c r="AD115" i="17"/>
  <c r="AE115" i="17" s="1"/>
  <c r="AD155" i="17"/>
  <c r="AE155" i="17" s="1"/>
  <c r="AD381" i="17"/>
  <c r="AE381" i="17" s="1"/>
  <c r="AD206" i="17"/>
  <c r="AE206" i="17" s="1"/>
  <c r="AD533" i="17"/>
  <c r="AE533" i="17" s="1"/>
  <c r="AD359" i="17"/>
  <c r="AE359" i="17" s="1"/>
  <c r="AD529" i="17"/>
  <c r="AE529" i="17" s="1"/>
  <c r="AD403" i="17"/>
  <c r="AE403" i="17" s="1"/>
  <c r="AD235" i="17"/>
  <c r="AE235" i="17" s="1"/>
  <c r="AD142" i="17"/>
  <c r="AE142" i="17" s="1"/>
  <c r="AD70" i="17"/>
  <c r="AE70" i="17" s="1"/>
  <c r="AD130" i="17"/>
  <c r="AE130" i="17" s="1"/>
  <c r="AD90" i="17"/>
  <c r="AE90" i="17" s="1"/>
  <c r="AD82" i="17"/>
  <c r="AE82" i="17" s="1"/>
  <c r="AD74" i="17"/>
  <c r="AE74" i="17" s="1"/>
  <c r="AD58" i="17"/>
  <c r="AE58" i="17" s="1"/>
  <c r="AD50" i="17"/>
  <c r="AE50" i="17" s="1"/>
  <c r="AD42" i="17"/>
  <c r="AE42" i="17" s="1"/>
  <c r="AD26" i="17"/>
  <c r="AE26" i="17" s="1"/>
  <c r="AD18" i="17"/>
  <c r="AE18" i="17" s="1"/>
  <c r="AD362" i="17"/>
  <c r="AE362" i="17" s="1"/>
  <c r="AD430" i="17"/>
  <c r="AE430" i="17" s="1"/>
  <c r="AD462" i="17"/>
  <c r="AE462" i="17" s="1"/>
  <c r="AD470" i="17"/>
  <c r="AE470" i="17" s="1"/>
  <c r="AD494" i="17"/>
  <c r="AE494" i="17" s="1"/>
  <c r="AD502" i="17"/>
  <c r="AE502" i="17" s="1"/>
  <c r="AD202" i="17"/>
  <c r="AE202" i="17" s="1"/>
  <c r="AD218" i="17"/>
  <c r="AE218" i="17" s="1"/>
  <c r="AD474" i="17"/>
  <c r="AE474" i="17" s="1"/>
  <c r="AD482" i="17"/>
  <c r="AE482" i="17" s="1"/>
  <c r="AD498" i="17"/>
  <c r="AE498" i="17" s="1"/>
  <c r="AD270" i="17"/>
  <c r="AE270" i="17" s="1"/>
  <c r="AD137" i="17"/>
  <c r="AE137" i="17" s="1"/>
  <c r="AD145" i="17"/>
  <c r="AE145" i="17" s="1"/>
  <c r="AD556" i="17"/>
  <c r="AE556" i="17" s="1"/>
  <c r="AD580" i="17"/>
  <c r="AE580" i="17" s="1"/>
  <c r="AD596" i="17"/>
  <c r="AE596" i="17" s="1"/>
  <c r="AD612" i="17"/>
  <c r="AE612" i="17" s="1"/>
  <c r="AD23" i="17"/>
  <c r="AE23" i="17" s="1"/>
  <c r="AD156" i="17"/>
  <c r="AE156" i="17" s="1"/>
  <c r="AD352" i="17"/>
  <c r="AE352" i="17" s="1"/>
  <c r="AD516" i="17"/>
  <c r="AE516" i="17" s="1"/>
  <c r="AD598" i="17"/>
  <c r="AE598" i="17" s="1"/>
  <c r="AD268" i="17"/>
  <c r="AE268" i="17" s="1"/>
  <c r="AD287" i="17"/>
  <c r="AE287" i="17" s="1"/>
  <c r="AD101" i="17"/>
  <c r="AE101" i="17" s="1"/>
  <c r="AD611" i="17"/>
  <c r="AE611" i="17" s="1"/>
  <c r="AD211" i="17"/>
  <c r="AE211" i="17" s="1"/>
  <c r="AD404" i="17"/>
  <c r="AE404" i="17" s="1"/>
  <c r="AD323" i="17"/>
  <c r="AE323" i="17" s="1"/>
  <c r="AD451" i="17"/>
  <c r="AE451" i="17" s="1"/>
  <c r="AD255" i="17"/>
  <c r="AE255" i="17" s="1"/>
  <c r="AD260" i="17"/>
  <c r="AE260" i="17" s="1"/>
  <c r="AD215" i="17"/>
  <c r="AE215" i="17" s="1"/>
  <c r="AD610" i="17"/>
  <c r="AE610" i="17" s="1"/>
  <c r="Y624" i="17"/>
  <c r="X624" i="17"/>
  <c r="Y625" i="17"/>
  <c r="AD132" i="17"/>
  <c r="AE132" i="17" s="1"/>
  <c r="AD164" i="17"/>
  <c r="AE164" i="17" s="1"/>
  <c r="AD180" i="17"/>
  <c r="AE180" i="17" s="1"/>
  <c r="AD424" i="17"/>
  <c r="AE424" i="17" s="1"/>
  <c r="AD244" i="17"/>
  <c r="AE244" i="17" s="1"/>
  <c r="AD391" i="17"/>
  <c r="AE391" i="17" s="1"/>
  <c r="AD200" i="17"/>
  <c r="AE200" i="17" s="1"/>
  <c r="AD291" i="17"/>
  <c r="AE291" i="17" s="1"/>
  <c r="AD388" i="17"/>
  <c r="AE388" i="17" s="1"/>
  <c r="AD24" i="17"/>
  <c r="AE24" i="17" s="1"/>
  <c r="AD88" i="17"/>
  <c r="AE88" i="17" s="1"/>
  <c r="AD94" i="17"/>
  <c r="AE94" i="17" s="1"/>
  <c r="AD62" i="17"/>
  <c r="AE62" i="17" s="1"/>
  <c r="AD54" i="17"/>
  <c r="AE54" i="17" s="1"/>
  <c r="AD38" i="17"/>
  <c r="AE38" i="17" s="1"/>
  <c r="AD30" i="17"/>
  <c r="AE30" i="17" s="1"/>
  <c r="AD318" i="17"/>
  <c r="AE318" i="17" s="1"/>
  <c r="AD382" i="17"/>
  <c r="AE382" i="17" s="1"/>
  <c r="AD398" i="17"/>
  <c r="AE398" i="17" s="1"/>
  <c r="AD133" i="17"/>
  <c r="AE133" i="17" s="1"/>
  <c r="AD544" i="17"/>
  <c r="AE544" i="17" s="1"/>
  <c r="AD453" i="17"/>
  <c r="AE453" i="17" s="1"/>
  <c r="AD93" i="17"/>
  <c r="AE93" i="17" s="1"/>
  <c r="AD29" i="17"/>
  <c r="AE29" i="17" s="1"/>
  <c r="AD124" i="17"/>
  <c r="AE124" i="17" s="1"/>
  <c r="AD148" i="17"/>
  <c r="AE148" i="17" s="1"/>
  <c r="AD160" i="17"/>
  <c r="AE160" i="17" s="1"/>
  <c r="AD440" i="17"/>
  <c r="AE440" i="17" s="1"/>
  <c r="AD483" i="17"/>
  <c r="AE483" i="17" s="1"/>
  <c r="AD228" i="17"/>
  <c r="AE228" i="17" s="1"/>
  <c r="AD279" i="17"/>
  <c r="AE279" i="17" s="1"/>
  <c r="AD337" i="17"/>
  <c r="AE337" i="17" s="1"/>
  <c r="AD401" i="17"/>
  <c r="AE401" i="17" s="1"/>
  <c r="AD327" i="17"/>
  <c r="AE327" i="17" s="1"/>
  <c r="AD455" i="17"/>
  <c r="AE455" i="17" s="1"/>
  <c r="AD597" i="17"/>
  <c r="AE597" i="17" s="1"/>
  <c r="AD317" i="17"/>
  <c r="AE317" i="17" s="1"/>
  <c r="AD389" i="17"/>
  <c r="AE389" i="17" s="1"/>
  <c r="AD397" i="17"/>
  <c r="AE397" i="17" s="1"/>
  <c r="AD161" i="17"/>
  <c r="AE161" i="17" s="1"/>
  <c r="AD193" i="17"/>
  <c r="AE193" i="17" s="1"/>
  <c r="AD201" i="17"/>
  <c r="AE201" i="17" s="1"/>
  <c r="AD265" i="17"/>
  <c r="AE265" i="17" s="1"/>
  <c r="AD517" i="17"/>
  <c r="AE517" i="17" s="1"/>
  <c r="AD425" i="17"/>
  <c r="AE425" i="17" s="1"/>
  <c r="AD441" i="17"/>
  <c r="AE441" i="17" s="1"/>
  <c r="AD607" i="17"/>
  <c r="AE607" i="17" s="1"/>
  <c r="AD149" i="17"/>
  <c r="AE149" i="17" s="1"/>
  <c r="AD181" i="17"/>
  <c r="AE181" i="17" s="1"/>
  <c r="AD229" i="17"/>
  <c r="AE229" i="17" s="1"/>
  <c r="AD293" i="17"/>
  <c r="AE293" i="17" s="1"/>
  <c r="AD152" i="17"/>
  <c r="AE152" i="17" s="1"/>
  <c r="AD328" i="17"/>
  <c r="AE328" i="17" s="1"/>
  <c r="AD392" i="17"/>
  <c r="AE392" i="17" s="1"/>
  <c r="AD356" i="17"/>
  <c r="AE356" i="17" s="1"/>
  <c r="AD420" i="17"/>
  <c r="AE420" i="17" s="1"/>
  <c r="AD484" i="17"/>
  <c r="AE484" i="17" s="1"/>
  <c r="AD69" i="17"/>
  <c r="AE69" i="17" s="1"/>
  <c r="AD324" i="17"/>
  <c r="AE324" i="17" s="1"/>
  <c r="AD340" i="17"/>
  <c r="AE340" i="17" s="1"/>
  <c r="AD456" i="17"/>
  <c r="AE456" i="17" s="1"/>
  <c r="AD387" i="17"/>
  <c r="AE387" i="17" s="1"/>
  <c r="AD515" i="17"/>
  <c r="AE515" i="17" s="1"/>
  <c r="AD119" i="17"/>
  <c r="AE119" i="17" s="1"/>
  <c r="AD414" i="17"/>
  <c r="AE414" i="17" s="1"/>
  <c r="AD452" i="17"/>
  <c r="AE452" i="17" s="1"/>
  <c r="AD141" i="17"/>
  <c r="AE141" i="17" s="1"/>
  <c r="AD421" i="17"/>
  <c r="AE421" i="17" s="1"/>
  <c r="AD485" i="17"/>
  <c r="AE485" i="17" s="1"/>
  <c r="AD368" i="17"/>
  <c r="AE368" i="17" s="1"/>
  <c r="AB625" i="17" l="1"/>
  <c r="AE7" i="17"/>
  <c r="Q4" i="17" s="1"/>
  <c r="AE9" i="17"/>
  <c r="Q5" i="17" s="1"/>
  <c r="B453" i="2" l="1"/>
  <c r="A453" i="2"/>
  <c r="A639" i="17"/>
  <c r="A640" i="17"/>
  <c r="D453" i="2"/>
  <c r="A617" i="17"/>
  <c r="F617" i="17" l="1"/>
  <c r="H617" i="17"/>
  <c r="G617" i="17"/>
  <c r="K617" i="17"/>
  <c r="I617" i="17"/>
  <c r="M617" i="17"/>
  <c r="C617" i="17"/>
  <c r="O617" i="17"/>
  <c r="J617" i="17"/>
  <c r="P617" i="17"/>
  <c r="A618" i="17"/>
  <c r="A619" i="17" s="1"/>
  <c r="L617" i="17"/>
  <c r="E617" i="17"/>
  <c r="N617" i="17"/>
  <c r="D617" i="17"/>
  <c r="R617" i="17" l="1"/>
  <c r="Q617" i="17"/>
  <c r="AB617" i="17"/>
  <c r="AA617" i="17"/>
  <c r="X617" i="17"/>
  <c r="Y617" i="17"/>
  <c r="R619" i="17" l="1"/>
  <c r="R620" i="17"/>
  <c r="S617" i="17"/>
  <c r="A454" i="2" s="1"/>
  <c r="B454" i="2" l="1"/>
</calcChain>
</file>

<file path=xl/comments1.xml><?xml version="1.0" encoding="utf-8"?>
<comments xmlns="http://schemas.openxmlformats.org/spreadsheetml/2006/main">
  <authors>
    <author>Timothy Hegarty</author>
    <author>BDATSC</author>
  </authors>
  <commentList>
    <comment ref="A3" authorId="0" shapeId="0">
      <text>
        <r>
          <rPr>
            <b/>
            <sz val="12"/>
            <color indexed="10"/>
            <rFont val="Tahoma"/>
            <family val="2"/>
          </rPr>
          <t>Welcome to the LM5176 Quickstart Design Tool</t>
        </r>
        <r>
          <rPr>
            <sz val="9"/>
            <color indexed="81"/>
            <rFont val="Tahoma"/>
            <family val="2"/>
          </rPr>
          <t xml:space="preserve">
This stand-alone tool facilitates and assists the power supply engineer with design of a DC/DC buck-boost converter based on the </t>
        </r>
        <r>
          <rPr>
            <b/>
            <sz val="9"/>
            <color indexed="81"/>
            <rFont val="Tahoma"/>
            <family val="2"/>
          </rPr>
          <t>LM5176 current-mode buck-boost controller</t>
        </r>
        <r>
          <rPr>
            <sz val="9"/>
            <color indexed="81"/>
            <rFont val="Tahoma"/>
            <family val="2"/>
          </rPr>
          <t xml:space="preserve">. As such, the user can expeditiously arrive at an optimized design by virtue of the following:
- Determine filter inductance and input and output filter capacitances
- Select components for soft-start, input UVLO and dither
- Optimize compensation values, slope compensation, and pole/zero placement in terms of control loop stability using crossover frequency as a performance metric
- Inspect converter efficiency and component power dissipations vs. line and load
- Analyze efficiency based on selected MOSFET parameters
- Review auto-generated schematic and BOM list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You must enable macros if Microsoft EXCEL asks as the file is being opened.
U.S. English notation is used throughout.
</t>
        </r>
        <r>
          <rPr>
            <u/>
            <sz val="9"/>
            <color indexed="12"/>
            <rFont val="Tahoma"/>
            <family val="2"/>
          </rPr>
          <t>http://www.ti.com/widevin/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Rev 1.0, Vijay Choudhary, Texas Instruments, Inc.</t>
        </r>
      </text>
    </comment>
    <comment ref="F6" authorId="0" shapeId="0">
      <text>
        <r>
          <rPr>
            <b/>
            <u/>
            <sz val="9"/>
            <color indexed="81"/>
            <rFont val="Tahoma"/>
            <family val="2"/>
          </rPr>
          <t>Minimum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minimum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7" authorId="0" shapeId="0">
      <text>
        <r>
          <rPr>
            <b/>
            <u/>
            <sz val="9"/>
            <color indexed="81"/>
            <rFont val="Tahoma"/>
            <family val="2"/>
          </rPr>
          <t>Nominal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nominal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V</t>
        </r>
        <r>
          <rPr>
            <b/>
            <vertAlign val="subscript"/>
            <sz val="9"/>
            <color indexed="10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V</t>
        </r>
        <r>
          <rPr>
            <b/>
            <vertAlign val="subscript"/>
            <sz val="9"/>
            <color indexed="10"/>
            <rFont val="Tahoma"/>
            <family val="2"/>
          </rPr>
          <t>IN(min)</t>
        </r>
      </text>
    </comment>
    <comment ref="F8" authorId="0" shapeId="0">
      <text>
        <r>
          <rPr>
            <b/>
            <u/>
            <sz val="9"/>
            <color indexed="81"/>
            <rFont val="Tahoma"/>
            <family val="2"/>
          </rPr>
          <t>Maximum Input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maximum operating input voltage.
The LM5176 input voltage operating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9" authorId="0" shapeId="0">
      <text>
        <r>
          <rPr>
            <b/>
            <u/>
            <sz val="9"/>
            <color indexed="81"/>
            <rFont val="Tahoma"/>
            <family val="2"/>
          </rPr>
          <t>Output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desired output voltage.</t>
        </r>
        <r>
          <rPr>
            <b/>
            <sz val="9"/>
            <color indexed="81"/>
            <rFont val="Tahoma"/>
            <family val="2"/>
          </rPr>
          <t xml:space="preserve">
The text in the cell is flagged red if:
</t>
        </r>
        <r>
          <rPr>
            <b/>
            <sz val="9"/>
            <color indexed="10"/>
            <rFont val="Tahoma"/>
            <family val="2"/>
          </rPr>
          <t>-The output voltage is above 55V 
-The output voltage is below 0.8V</t>
        </r>
      </text>
    </comment>
    <comment ref="F11" authorId="0" shapeId="0">
      <text>
        <r>
          <rPr>
            <b/>
            <u/>
            <sz val="9"/>
            <color indexed="81"/>
            <rFont val="Tahoma"/>
            <family val="2"/>
          </rPr>
          <t>Operating Frequency</t>
        </r>
        <r>
          <rPr>
            <b/>
            <sz val="9"/>
            <color indexed="81"/>
            <rFont val="Tahoma"/>
            <family val="2"/>
          </rPr>
          <t xml:space="preserve"> (set by R</t>
        </r>
        <r>
          <rPr>
            <b/>
            <vertAlign val="subscript"/>
            <sz val="9"/>
            <color indexed="81"/>
            <rFont val="Tahoma"/>
            <family val="2"/>
          </rPr>
          <t>T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This cell defines the free-running switching frequency set by the R</t>
        </r>
        <r>
          <rPr>
            <vertAlign val="subscript"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resistor. 
</t>
        </r>
        <r>
          <rPr>
            <b/>
            <sz val="9"/>
            <color indexed="81"/>
            <rFont val="Tahoma"/>
            <family val="2"/>
          </rPr>
          <t xml:space="preserve">The text in the cell is flagged red if:
</t>
        </r>
        <r>
          <rPr>
            <b/>
            <sz val="9"/>
            <color indexed="10"/>
            <rFont val="Tahoma"/>
            <family val="2"/>
          </rPr>
          <t>-The frequency is below 100 kHz
-The frequency is above 600 kHz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F16" authorId="0" shapeId="0">
      <text>
        <r>
          <rPr>
            <b/>
            <u/>
            <sz val="9"/>
            <color indexed="81"/>
            <rFont val="Tahoma"/>
            <family val="2"/>
          </rPr>
          <t>Filter Inductance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filter inductance here.
Target inductor (peak-to-peak) ripple currrent is 80% of the DC full load </t>
        </r>
        <r>
          <rPr>
            <u/>
            <sz val="9"/>
            <color indexed="81"/>
            <rFont val="Tahoma"/>
            <family val="2"/>
          </rPr>
          <t>output</t>
        </r>
        <r>
          <rPr>
            <sz val="9"/>
            <color indexed="81"/>
            <rFont val="Tahoma"/>
            <family val="2"/>
          </rPr>
          <t xml:space="preserve"> current in BUCK mode at highest input voltage.
Target inductor (peak-to-peak) ripple currrent is 30% of the DC full load </t>
        </r>
        <r>
          <rPr>
            <u/>
            <sz val="9"/>
            <color indexed="81"/>
            <rFont val="Tahoma"/>
            <family val="2"/>
          </rPr>
          <t>input</t>
        </r>
        <r>
          <rPr>
            <sz val="9"/>
            <color indexed="81"/>
            <rFont val="Tahoma"/>
            <family val="2"/>
          </rPr>
          <t xml:space="preserve"> current in BOOST mode at lowest input voltage.</t>
        </r>
      </text>
    </comment>
    <comment ref="F17" authorId="0" shapeId="0">
      <text>
        <r>
          <rPr>
            <b/>
            <u/>
            <sz val="9"/>
            <color indexed="81"/>
            <rFont val="Tahoma"/>
            <family val="2"/>
          </rPr>
          <t>Inductor DCR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inductor DC resistance here. This is typically specified in the inductor datasheet at 25°C copper temperature.</t>
        </r>
      </text>
    </comment>
    <comment ref="F26" authorId="0" shapeId="0">
      <text>
        <r>
          <rPr>
            <b/>
            <u/>
            <sz val="9"/>
            <color indexed="81"/>
            <rFont val="Tahoma"/>
            <family val="2"/>
          </rPr>
          <t>OCP Setpoint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required overcurrent protection (OCP) setpoint for output current. A typical level is 125% of full load current.</t>
        </r>
      </text>
    </comment>
    <comment ref="F27" authorId="0" shapeId="0">
      <text>
        <r>
          <rPr>
            <b/>
            <u/>
            <sz val="9"/>
            <color indexed="81"/>
            <rFont val="Tahoma"/>
            <family val="2"/>
          </rPr>
          <t>Sense Resistance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Use this resistor to sense current and set the cycle-by-cycle overcurrent protection. As such, the calculation takes the required current limit setpoint and the inductor ripple current amplitude to calculate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SENSE</t>
        </r>
        <r>
          <rPr>
            <sz val="9"/>
            <color indexed="81"/>
            <rFont val="Tahoma"/>
            <family val="2"/>
          </rPr>
          <t xml:space="preserve">.
The thresholds in BUCK and BOOST modes are 80mV and 120mV, respectively.
The resistances of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CS1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CS2</t>
        </r>
        <r>
          <rPr>
            <sz val="9"/>
            <color indexed="81"/>
            <rFont val="Tahoma"/>
            <family val="2"/>
          </rPr>
          <t xml:space="preserve"> are equal for balanced common-mode filtering to the CS and CSG pins.</t>
        </r>
      </text>
    </comment>
    <comment ref="F29" authorId="0" shapeId="0">
      <text>
        <r>
          <rPr>
            <b/>
            <u/>
            <sz val="9"/>
            <color indexed="81"/>
            <rFont val="Tahoma"/>
            <family val="2"/>
          </rPr>
          <t>Peak Inductor Current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Maximum current in the inductor usually occurs at V</t>
        </r>
        <r>
          <rPr>
            <vertAlign val="subscript"/>
            <sz val="9"/>
            <color indexed="81"/>
            <rFont val="Tahoma"/>
            <family val="2"/>
          </rPr>
          <t>IN(min)</t>
        </r>
        <r>
          <rPr>
            <sz val="9"/>
            <color indexed="81"/>
            <rFont val="Tahoma"/>
            <family val="2"/>
          </rPr>
          <t xml:space="preserve"> or V</t>
        </r>
        <r>
          <rPr>
            <vertAlign val="subscript"/>
            <sz val="9"/>
            <color indexed="81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>. The result is corresponds to onset of current limit and is intended as a guide to inductor selection as it relates to saturation current.</t>
        </r>
      </text>
    </comment>
    <comment ref="F30" authorId="0" shapeId="0">
      <text>
        <r>
          <rPr>
            <b/>
            <u/>
            <sz val="9"/>
            <color indexed="81"/>
            <rFont val="Tahoma"/>
            <family val="2"/>
          </rPr>
          <t>Max Shunt Dissipation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Maximum power loss in the shunt resistor occurs at V</t>
        </r>
        <r>
          <rPr>
            <vertAlign val="subscript"/>
            <sz val="9"/>
            <color indexed="81"/>
            <rFont val="Tahoma"/>
            <family val="2"/>
          </rPr>
          <t>IN(min)</t>
        </r>
        <r>
          <rPr>
            <sz val="9"/>
            <color indexed="81"/>
            <rFont val="Tahoma"/>
            <family val="2"/>
          </rPr>
          <t xml:space="preserve"> or V</t>
        </r>
        <r>
          <rPr>
            <vertAlign val="subscript"/>
            <sz val="9"/>
            <color indexed="81"/>
            <rFont val="Tahoma"/>
            <family val="2"/>
          </rPr>
          <t>IN(max)</t>
        </r>
        <r>
          <rPr>
            <sz val="9"/>
            <color indexed="81"/>
            <rFont val="Tahoma"/>
            <family val="2"/>
          </rPr>
          <t>. The result is provided at full load current.
Of course, the dissipation is higher in an overcurrent condition, and the shunt should be rated for this condition.</t>
        </r>
      </text>
    </comment>
    <comment ref="F36" authorId="0" shapeId="0">
      <text>
        <r>
          <rPr>
            <b/>
            <u/>
            <sz val="9"/>
            <color indexed="81"/>
            <rFont val="Tahoma"/>
            <family val="2"/>
          </rPr>
          <t>Constant Current Loop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"N/A" if not required.
Enter current in "A" if this optional feature is being used.
</t>
        </r>
      </text>
    </comment>
    <comment ref="F37" authorId="0" shapeId="0">
      <text>
        <r>
          <rPr>
            <b/>
            <u/>
            <sz val="9"/>
            <color indexed="81"/>
            <rFont val="Tahoma"/>
            <family val="2"/>
          </rPr>
          <t>Output Shunt Resistance</t>
        </r>
        <r>
          <rPr>
            <b/>
            <sz val="9"/>
            <color indexed="81"/>
            <rFont val="Tahoma"/>
            <family val="2"/>
          </rPr>
          <t>:
R</t>
        </r>
        <r>
          <rPr>
            <b/>
            <vertAlign val="subscript"/>
            <sz val="9"/>
            <color indexed="81"/>
            <rFont val="Tahoma"/>
            <family val="2"/>
          </rPr>
          <t>SHUNT</t>
        </r>
        <r>
          <rPr>
            <sz val="9"/>
            <color indexed="81"/>
            <rFont val="Tahoma"/>
            <family val="2"/>
          </rPr>
          <t xml:space="preserve"> is calculated based on the desired constant current loop setpoint.
Specifically, the LM5176 design tool sets the constant current loop based on the transconductance amplifier with g</t>
        </r>
        <r>
          <rPr>
            <vertAlign val="subscript"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 = 1mA/V and current limit threshold of 50mV.</t>
        </r>
      </text>
    </comment>
    <comment ref="F40" authorId="0" shapeId="0">
      <text>
        <r>
          <rPr>
            <b/>
            <u/>
            <sz val="9"/>
            <color indexed="81"/>
            <rFont val="Tahoma"/>
            <family val="2"/>
          </rPr>
          <t>Output Voltage Ripple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desired maximum peak-to-peak output voltage ripple here. This will set the ideal output capacitance value.
</t>
        </r>
        <r>
          <rPr>
            <sz val="9"/>
            <color indexed="39"/>
            <rFont val="Tahoma"/>
            <family val="2"/>
          </rPr>
          <t xml:space="preserve">
Max output ripple will likely occur at VIN(min) in BOOST mode or perhaps at VIN(max) in BUCK mode.</t>
        </r>
        <r>
          <rPr>
            <b/>
            <sz val="9"/>
            <color indexed="81"/>
            <rFont val="Tahoma"/>
            <family val="2"/>
          </rPr>
          <t xml:space="preserve">
The text in the cell is flagged red if:
</t>
        </r>
        <r>
          <rPr>
            <b/>
            <sz val="9"/>
            <color indexed="10"/>
            <rFont val="Tahoma"/>
            <family val="2"/>
          </rPr>
          <t>-The output voltage ripple is zero.</t>
        </r>
      </text>
    </comment>
    <comment ref="F42" authorId="0" shapeId="0">
      <text>
        <r>
          <rPr>
            <b/>
            <u/>
            <sz val="9"/>
            <color indexed="81"/>
            <rFont val="Tahoma"/>
            <family val="2"/>
          </rPr>
          <t>Output Capacitance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output capacitance here based on the minimum calculated result. Make sure that the nominal capacitance is appropriately derated for applied voltage, particularly with </t>
        </r>
        <r>
          <rPr>
            <sz val="9"/>
            <color indexed="39"/>
            <rFont val="Tahoma"/>
            <family val="2"/>
          </rPr>
          <t>ceramics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-The chosen output capacitor is smaller than the minimum ideal capacitance.</t>
        </r>
      </text>
    </comment>
    <comment ref="F44" authorId="0" shapeId="0">
      <text>
        <r>
          <rPr>
            <b/>
            <u/>
            <sz val="9"/>
            <color indexed="81"/>
            <rFont val="Tahoma"/>
            <family val="2"/>
          </rPr>
          <t>Output Capacitor ESR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output capacitor ESR here based on the maximum allowed output capacitor ESR to meet the voltage ripple specification.</t>
        </r>
        <r>
          <rPr>
            <b/>
            <sz val="9"/>
            <color indexed="81"/>
            <rFont val="Tahoma"/>
            <family val="2"/>
          </rPr>
          <t xml:space="preserve">
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-ESR is zero, or
-ESR exceeds maximum allowable ESR to meet the voltage ripple specification.</t>
        </r>
      </text>
    </comment>
    <comment ref="F49" authorId="0" shapeId="0">
      <text>
        <r>
          <rPr>
            <b/>
            <u/>
            <sz val="9"/>
            <color indexed="81"/>
            <rFont val="Tahoma"/>
            <family val="2"/>
          </rPr>
          <t>Input Voltage Ripple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desired maximum peak-to-peak input voltage ripple here. This will set the ideal input capacitance requirement.</t>
        </r>
        <r>
          <rPr>
            <b/>
            <sz val="9"/>
            <color indexed="81"/>
            <rFont val="Tahoma"/>
            <family val="2"/>
          </rPr>
          <t xml:space="preserve">
The text in thiecell is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-The input voltage ripple is zero.</t>
        </r>
      </text>
    </comment>
    <comment ref="F51" authorId="0" shapeId="0">
      <text>
        <r>
          <rPr>
            <b/>
            <u/>
            <sz val="9"/>
            <color indexed="81"/>
            <rFont val="Tahoma"/>
            <family val="2"/>
          </rPr>
          <t>Input Capacitance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input capacitance here based on the minimum calculated result. Make sure that the nominal capacitance is appropriately derated for applied voltage.
</t>
        </r>
        <r>
          <rPr>
            <b/>
            <sz val="9"/>
            <color indexed="81"/>
            <rFont val="Tahoma"/>
            <family val="2"/>
          </rPr>
          <t xml:space="preserve">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-The chosen input capacitor is smaller than the minimum ideal capacitance.</t>
        </r>
      </text>
    </comment>
    <comment ref="F53" authorId="0" shapeId="0">
      <text>
        <r>
          <rPr>
            <b/>
            <u/>
            <sz val="9"/>
            <color indexed="81"/>
            <rFont val="Tahoma"/>
            <family val="2"/>
          </rPr>
          <t>Input Capacitor ESR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Enter the input capacitor ESR here based on the maximum allowed input capacitor ESR to meet the ripple voltage specification.</t>
        </r>
        <r>
          <rPr>
            <b/>
            <sz val="9"/>
            <color indexed="81"/>
            <rFont val="Tahoma"/>
            <family val="2"/>
          </rPr>
          <t xml:space="preserve">
The text in the cell is flagged </t>
        </r>
        <r>
          <rPr>
            <b/>
            <sz val="9"/>
            <color indexed="10"/>
            <rFont val="Tahoma"/>
            <family val="2"/>
          </rPr>
          <t>red</t>
        </r>
        <r>
          <rPr>
            <b/>
            <sz val="9"/>
            <color indexed="81"/>
            <rFont val="Tahoma"/>
            <family val="2"/>
          </rPr>
          <t xml:space="preserve"> if:
</t>
        </r>
        <r>
          <rPr>
            <b/>
            <sz val="9"/>
            <color indexed="10"/>
            <rFont val="Tahoma"/>
            <family val="2"/>
          </rPr>
          <t>-ESR is zero, or
-ESR exceeds maximum allowable ESR to meet the voltage ripple specification.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F58" authorId="0" shapeId="0">
      <text>
        <r>
          <rPr>
            <b/>
            <u/>
            <sz val="8"/>
            <color indexed="81"/>
            <rFont val="Tahoma"/>
            <family val="2"/>
          </rPr>
          <t>Soft-Start Time</t>
        </r>
        <r>
          <rPr>
            <b/>
            <sz val="8"/>
            <color indexed="81"/>
            <rFont val="Tahoma"/>
            <family val="2"/>
          </rPr>
          <t xml:space="preserve">:
</t>
        </r>
        <r>
          <rPr>
            <sz val="8"/>
            <color indexed="81"/>
            <rFont val="Tahoma"/>
            <family val="2"/>
          </rPr>
          <t xml:space="preserve">Enter the desired soft-start time here. The soft-start time cannot be shorter than the internal 1.28 ms soft-start timer.
</t>
        </r>
        <r>
          <rPr>
            <b/>
            <sz val="8"/>
            <color indexed="81"/>
            <rFont val="Tahoma"/>
            <family val="2"/>
          </rPr>
          <t xml:space="preserve">
The text in this cell is flagged red if: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-The specified soft-start time is less than 1.28 ms.</t>
        </r>
      </text>
    </comment>
    <comment ref="F60" authorId="0" shapeId="0">
      <text>
        <r>
          <rPr>
            <b/>
            <u/>
            <sz val="9"/>
            <color indexed="81"/>
            <rFont val="Tahoma"/>
            <family val="2"/>
          </rPr>
          <t>Dither Low Frequency Modulation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desired dither low-frequency modulation rate. The dither capacitor charges and discharges in triangular fashion between ~98% and 108% of the 1.22V bandgap, i.e. 122mV amplitude, and sets up a 10% modulation of the nominal oscillator frequency.
Note that the LM5176 does not perform dither if the SYNC function is used.
</t>
        </r>
        <r>
          <rPr>
            <b/>
            <sz val="9"/>
            <color indexed="39"/>
            <rFont val="Tahoma"/>
            <family val="2"/>
          </rPr>
          <t xml:space="preserve">
If the dither feature is not required, the DITH pin should be tied to GND.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2" authorId="0" shapeId="0">
      <text>
        <r>
          <rPr>
            <b/>
            <u/>
            <sz val="9"/>
            <color indexed="81"/>
            <rFont val="Tahoma"/>
            <family val="2"/>
          </rPr>
          <t>Nominal UVLO Turn-On Input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 xml:space="preserve">Enter the nominal input voltage at turn on.
The LM5176 input operating voltage range is 4V to 55V.
</t>
        </r>
        <r>
          <rPr>
            <b/>
            <sz val="9"/>
            <color indexed="81"/>
            <rFont val="Tahoma"/>
            <family val="2"/>
          </rPr>
          <t>The text in the cell is flagged red if:</t>
        </r>
        <r>
          <rPr>
            <sz val="9"/>
            <color indexed="81"/>
            <rFont val="Tahoma"/>
            <family val="2"/>
          </rPr>
          <t xml:space="preserve">
-The input voltage is above </t>
        </r>
        <r>
          <rPr>
            <b/>
            <sz val="9"/>
            <color indexed="10"/>
            <rFont val="Tahoma"/>
            <family val="2"/>
          </rPr>
          <t>55V</t>
        </r>
        <r>
          <rPr>
            <sz val="9"/>
            <color indexed="81"/>
            <rFont val="Tahoma"/>
            <family val="2"/>
          </rPr>
          <t xml:space="preserve">
-The input voltage is below </t>
        </r>
        <r>
          <rPr>
            <b/>
            <sz val="9"/>
            <color indexed="10"/>
            <rFont val="Tahoma"/>
            <family val="2"/>
          </rPr>
          <t>4V</t>
        </r>
      </text>
    </comment>
    <comment ref="F64" authorId="0" shapeId="0">
      <text>
        <r>
          <rPr>
            <b/>
            <u/>
            <sz val="9"/>
            <color indexed="81"/>
            <rFont val="Tahoma"/>
            <family val="2"/>
          </rPr>
          <t>Nominal UVLO Upper Resistor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upper UVLO resistor that sets the input voltage turn on. A recommended starting value of R</t>
        </r>
        <r>
          <rPr>
            <vertAlign val="subscript"/>
            <sz val="9"/>
            <color indexed="81"/>
            <rFont val="Tahoma"/>
            <family val="2"/>
          </rPr>
          <t>UV1</t>
        </r>
        <r>
          <rPr>
            <sz val="9"/>
            <color indexed="81"/>
            <rFont val="Tahoma"/>
            <family val="2"/>
          </rPr>
          <t xml:space="preserve"> is 200kΩ.</t>
        </r>
      </text>
    </comment>
    <comment ref="F71" authorId="0" shapeId="0">
      <text>
        <r>
          <rPr>
            <b/>
            <u/>
            <sz val="9"/>
            <color indexed="81"/>
            <rFont val="Tahoma"/>
            <family val="2"/>
          </rPr>
          <t>Crossover Frequency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Enter the desired crossover frequency (usually between 5% and 20% of switching frequency). This feedback compensation components are determined based on this target performance metric.
</t>
        </r>
        <r>
          <rPr>
            <b/>
            <sz val="9"/>
            <color indexed="39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Compensaton components are calculated based on the nominal input voltage entered in Step 1.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 xml:space="preserve">
** After fixing the compensation components, sweep VIN(nom) across the input range to ensure adequate stability performance, especially at low VIN **</t>
        </r>
      </text>
    </comment>
    <comment ref="F73" authorId="0" shapeId="0">
      <text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FB1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upper feedback resistor that sets the output voltage. A recommended starting value of </t>
        </r>
        <r>
          <rPr>
            <b/>
            <sz val="9"/>
            <color indexed="81"/>
            <rFont val="Tahoma"/>
            <family val="2"/>
          </rPr>
          <t>R</t>
        </r>
        <r>
          <rPr>
            <b/>
            <vertAlign val="subscript"/>
            <sz val="9"/>
            <color indexed="81"/>
            <rFont val="Tahoma"/>
            <family val="2"/>
          </rPr>
          <t>FB1</t>
        </r>
        <r>
          <rPr>
            <sz val="9"/>
            <color indexed="81"/>
            <rFont val="Tahoma"/>
            <family val="2"/>
          </rPr>
          <t xml:space="preserve"> is 100kΩ.</t>
        </r>
      </text>
    </comment>
    <comment ref="E77" authorId="0" shapeId="0">
      <text>
        <r>
          <rPr>
            <b/>
            <u/>
            <sz val="9"/>
            <color indexed="81"/>
            <rFont val="Tahoma"/>
            <family val="2"/>
          </rPr>
          <t>Selected Compensation Components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4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Compensation components are calculated based on the nominal input voltage from Step 1 and the desired crossover frequency from Step 7.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4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39"/>
            <rFont val="Tahoma"/>
            <family val="2"/>
          </rPr>
          <t>1. Fix the compensation values by clicking the FIX VALUES button.</t>
        </r>
        <r>
          <rPr>
            <b/>
            <sz val="9"/>
            <color indexed="10"/>
            <rFont val="Tahoma"/>
            <family val="2"/>
          </rPr>
          <t xml:space="preserve">
</t>
        </r>
        <r>
          <rPr>
            <b/>
            <sz val="9"/>
            <color indexed="39"/>
            <rFont val="Tahoma"/>
            <family val="2"/>
          </rPr>
          <t>2. Sweep VIN(nom) across the required input range to ensure adequate stability performance, especially at low VIN.</t>
        </r>
      </text>
    </comment>
    <comment ref="J78" authorId="0" shapeId="0">
      <text>
        <r>
          <rPr>
            <b/>
            <u/>
            <sz val="9"/>
            <color indexed="81"/>
            <rFont val="Tahoma"/>
            <family val="2"/>
          </rPr>
          <t>COMP Min Voltage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This is the minimum steady state COMP voltage -- usually occurring at VIN(max) and no load -- and should be greater than 0.3V.</t>
        </r>
      </text>
    </comment>
    <comment ref="J79" authorId="0" shapeId="0">
      <text>
        <r>
          <rPr>
            <b/>
            <u/>
            <sz val="9"/>
            <color indexed="81"/>
            <rFont val="Tahoma"/>
            <family val="2"/>
          </rPr>
          <t>COMP Max Voltage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Tahoma"/>
            <family val="2"/>
          </rPr>
          <t>This is the maximum steady state COMP voltage -- usually occurring at VIN(min) and full load -- and should be less than 3.0V.</t>
        </r>
      </text>
    </comment>
    <comment ref="E87" authorId="1" shapeId="0">
      <text>
        <r>
          <rPr>
            <b/>
            <sz val="10"/>
            <color indexed="81"/>
            <rFont val="Tahoma"/>
            <family val="2"/>
          </rPr>
          <t>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high-side MOSFET here (at the appropriate gate drive level, typically 7.5V). High current designs (&gt;5A) can incur large conduction losses and, as such, demand MOSFETs with low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.
MOSFET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F87" authorId="1" shapeId="0">
      <text>
        <r>
          <rPr>
            <b/>
            <sz val="10"/>
            <color indexed="81"/>
            <rFont val="Tahoma"/>
            <family val="2"/>
          </rPr>
          <t>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low-side MOSFET here  (at the appropriate gate drive level, typically 7.5V). High current designs (&gt;5A) can incur large conduction losses and, as such, demand MOSFETs with low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.
MOSFET </t>
        </r>
        <r>
          <rPr>
            <b/>
            <sz val="10"/>
            <color indexed="81"/>
            <rFont val="Tahoma"/>
            <family val="2"/>
          </rPr>
          <t>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has a positive temperature coefficient (resistance increases with increasing temperature). This temperature coefficient is accounted for in the efficiency and power dissipation calculations.</t>
        </r>
      </text>
    </comment>
    <comment ref="E88" authorId="1" shapeId="0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total gate charge of the high-side MOSFET here (at the appropriate gate drive voltage level, typically 7.5V).</t>
        </r>
      </text>
    </comment>
    <comment ref="F88" authorId="1" shapeId="0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total gate charge of the low-side MOSFET here (at the appropriate gate drive level, typically 7.5V)</t>
        </r>
      </text>
    </comment>
    <comment ref="E89" authorId="1" shapeId="0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high-side MOSFET here.
MOSFET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affects the turn-on and-off transition times. Slow transition times result in a decrease in efficiency, especially at higher input voltages.</t>
        </r>
      </text>
    </comment>
    <comment ref="F89" authorId="1" shapeId="0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buck low-side MOSFET here.</t>
        </r>
      </text>
    </comment>
    <comment ref="E90" authorId="1" shapeId="0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F90" authorId="1" shapeId="0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E91" authorId="1" shapeId="0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high-side MOSFET gate resistance here. </t>
        </r>
      </text>
    </comment>
    <comment ref="F91" authorId="1" shapeId="0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low-side MOSFET gate resistance here. </t>
        </r>
      </text>
    </comment>
    <comment ref="E92" authorId="1" shapeId="0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high-side MOSFET here.</t>
        </r>
      </text>
    </comment>
    <comment ref="F92" authorId="1" shapeId="0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low-side MOSFET here.</t>
        </r>
      </text>
    </comment>
    <comment ref="E93" authorId="1" shapeId="0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F93" authorId="1" shapeId="0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E94" authorId="1" shapeId="0">
      <text>
        <r>
          <rPr>
            <b/>
            <sz val="10"/>
            <color indexed="81"/>
            <rFont val="Tahoma"/>
            <family val="2"/>
          </rPr>
          <t>Body Diode Forward Voltage (V</t>
        </r>
        <r>
          <rPr>
            <b/>
            <vertAlign val="subscript"/>
            <sz val="10"/>
            <color indexed="81"/>
            <rFont val="Tahoma"/>
            <family val="2"/>
          </rPr>
          <t>bd1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A MOSFET has an inherent reverse body diode, and the voltage drop usually is specified at a rated current. The high-side MOSFET body diode contributes power loss during negative current events.</t>
        </r>
      </text>
    </comment>
    <comment ref="F94" authorId="1" shapeId="0">
      <text>
        <r>
          <rPr>
            <b/>
            <sz val="10"/>
            <color indexed="81"/>
            <rFont val="Tahoma"/>
            <family val="2"/>
          </rPr>
          <t>Body Diode Forward Voltage (V</t>
        </r>
        <r>
          <rPr>
            <b/>
            <vertAlign val="subscript"/>
            <sz val="10"/>
            <color indexed="81"/>
            <rFont val="Tahoma"/>
            <family val="2"/>
          </rPr>
          <t>bd1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A MOSFET has an inherent reverse body diode, and the voltage drop usually is specified at a rated current. The low-side MOSFET body diode contributes power loss related to both conduction and reverse recovery losses.</t>
        </r>
      </text>
    </comment>
    <comment ref="F95" authorId="1" shapeId="0">
      <text>
        <r>
          <rPr>
            <b/>
            <sz val="10"/>
            <color indexed="81"/>
            <rFont val="Tahoma"/>
            <family val="2"/>
          </rPr>
          <t>Body Diode Recovery Charge (Q</t>
        </r>
        <r>
          <rPr>
            <b/>
            <vertAlign val="subscript"/>
            <sz val="10"/>
            <color indexed="81"/>
            <rFont val="Tahoma"/>
            <family val="2"/>
          </rPr>
          <t>RR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reverse recovery charge of the low-side MOSFET body diode here. </t>
        </r>
      </text>
    </comment>
    <comment ref="E96" authorId="1" shapeId="0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96" authorId="1" shapeId="0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00" authorId="1" shapeId="0">
      <text>
        <r>
          <rPr>
            <b/>
            <sz val="10"/>
            <color indexed="81"/>
            <rFont val="Tahoma"/>
            <family val="2"/>
          </rPr>
          <t>MOSFET 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high-side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Calibri"/>
            <family val="2"/>
          </rPr>
          <t xml:space="preserve">– </t>
        </r>
        <r>
          <rPr>
            <sz val="10"/>
            <color indexed="81"/>
            <rFont val="Tahoma"/>
            <family val="2"/>
          </rPr>
          <t>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>. MOSFET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temperature coefficient is accounted for in the efficiency and power dissipation calculations.  </t>
        </r>
      </text>
    </comment>
    <comment ref="F100" authorId="1" shapeId="0">
      <text>
        <r>
          <rPr>
            <b/>
            <sz val="10"/>
            <color indexed="81"/>
            <rFont val="Tahoma"/>
            <family val="2"/>
          </rPr>
          <t>MOSFET On-State Resistance (R</t>
        </r>
        <r>
          <rPr>
            <b/>
            <vertAlign val="subscript"/>
            <sz val="10"/>
            <color indexed="81"/>
            <rFont val="Tahoma"/>
            <family val="2"/>
          </rPr>
          <t>DS(on)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of the low-side MOSFET here at the appropriate gate drive level. High current designs (&gt;5A) can incur large conduction losses and, as such, demand MOSFETs with low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Calibri"/>
            <family val="2"/>
          </rPr>
          <t xml:space="preserve">– </t>
        </r>
        <r>
          <rPr>
            <sz val="10"/>
            <color indexed="81"/>
            <rFont val="Tahoma"/>
            <family val="2"/>
          </rPr>
          <t>usually at the expense of larger 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>. MOSFET R</t>
        </r>
        <r>
          <rPr>
            <vertAlign val="subscript"/>
            <sz val="10"/>
            <color indexed="81"/>
            <rFont val="Tahoma"/>
            <family val="2"/>
          </rPr>
          <t>DS(on)</t>
        </r>
        <r>
          <rPr>
            <sz val="10"/>
            <color indexed="81"/>
            <rFont val="Tahoma"/>
            <family val="2"/>
          </rPr>
          <t xml:space="preserve"> temperature coefficient is accounted for in the efficiency and power dissipation calculations.  </t>
        </r>
      </text>
    </comment>
    <comment ref="E101" authorId="1" shapeId="0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total gate charge of the MOSFET here, based on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 xml:space="preserve"> = 7.5V.</t>
        </r>
      </text>
    </comment>
    <comment ref="F101" authorId="1" shapeId="0">
      <text>
        <r>
          <rPr>
            <b/>
            <sz val="10"/>
            <color indexed="81"/>
            <rFont val="Tahoma"/>
            <family val="2"/>
          </rPr>
          <t>Total Gate Charge (Q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total gate charge of the MOSFET here, based on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 xml:space="preserve"> = 7.5V.</t>
        </r>
      </text>
    </comment>
    <comment ref="E102" authorId="1" shapeId="0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boost high-side MOSFET here.</t>
        </r>
      </text>
    </comment>
    <comment ref="F102" authorId="1" shapeId="0">
      <text>
        <r>
          <rPr>
            <b/>
            <sz val="10"/>
            <color indexed="81"/>
            <rFont val="Tahoma"/>
            <family val="2"/>
          </rPr>
          <t>Gate-Drain Charge (Q</t>
        </r>
        <r>
          <rPr>
            <b/>
            <vertAlign val="subscript"/>
            <sz val="10"/>
            <color indexed="81"/>
            <rFont val="Tahoma"/>
            <family val="2"/>
          </rPr>
          <t>GD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of the boost low-side MOSFET here.
MOSFET Q</t>
        </r>
        <r>
          <rPr>
            <vertAlign val="subscript"/>
            <sz val="10"/>
            <color indexed="81"/>
            <rFont val="Tahoma"/>
            <family val="2"/>
          </rPr>
          <t>GD</t>
        </r>
        <r>
          <rPr>
            <sz val="10"/>
            <color indexed="81"/>
            <rFont val="Tahoma"/>
            <family val="2"/>
          </rPr>
          <t xml:space="preserve"> will affect the turn-on and-off transition times. Slow transition times will result in a decrease in efficiency, especially at higher input voltages.</t>
        </r>
      </text>
    </comment>
    <comment ref="E103" authorId="1" shapeId="0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F103" authorId="1" shapeId="0">
      <text>
        <r>
          <rPr>
            <b/>
            <sz val="10"/>
            <color indexed="81"/>
            <rFont val="Tahoma"/>
            <family val="2"/>
          </rPr>
          <t>Gate-Source Charge (Q</t>
        </r>
        <r>
          <rPr>
            <b/>
            <vertAlign val="subscript"/>
            <sz val="10"/>
            <color indexed="81"/>
            <rFont val="Tahoma"/>
            <family val="2"/>
          </rPr>
          <t>GS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gate-source charge here. </t>
        </r>
      </text>
    </comment>
    <comment ref="E104" authorId="1" shapeId="0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boost high-side MOSFET gate resistance here. </t>
        </r>
      </text>
    </comment>
    <comment ref="F104" authorId="1" shapeId="0">
      <text>
        <r>
          <rPr>
            <b/>
            <sz val="10"/>
            <color indexed="81"/>
            <rFont val="Tahoma"/>
            <family val="2"/>
          </rPr>
          <t>Gate Resistance (R</t>
        </r>
        <r>
          <rPr>
            <b/>
            <vertAlign val="subscript"/>
            <sz val="10"/>
            <color indexed="81"/>
            <rFont val="Tahoma"/>
            <family val="2"/>
          </rPr>
          <t>G</t>
        </r>
        <r>
          <rPr>
            <b/>
            <sz val="10"/>
            <color indexed="81"/>
            <rFont val="Tahoma"/>
            <family val="2"/>
          </rPr>
          <t>):</t>
        </r>
        <r>
          <rPr>
            <sz val="10"/>
            <color indexed="81"/>
            <rFont val="Tahoma"/>
            <family val="2"/>
          </rPr>
          <t xml:space="preserve">
Enter the low-side MOSFET gate resistance here. </t>
        </r>
      </text>
    </comment>
    <comment ref="E105" authorId="1" shapeId="0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high-side MOSFET here.</t>
        </r>
      </text>
    </comment>
    <comment ref="F105" authorId="1" shapeId="0">
      <text>
        <r>
          <rPr>
            <b/>
            <sz val="10"/>
            <color indexed="81"/>
            <rFont val="Tahoma"/>
            <family val="2"/>
          </rPr>
          <t>Forward Transconductance (g</t>
        </r>
        <r>
          <rPr>
            <b/>
            <vertAlign val="subscript"/>
            <sz val="10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forward transconductance rating of the low-side MOSFET here.</t>
        </r>
      </text>
    </comment>
    <comment ref="E106" authorId="1" shapeId="0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high-side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F106" authorId="1" shapeId="0">
      <text>
        <r>
          <rPr>
            <b/>
            <sz val="10"/>
            <color indexed="81"/>
            <rFont val="Tahoma"/>
            <family val="2"/>
          </rPr>
          <t>Gate to Source Threshold Voltage (V</t>
        </r>
        <r>
          <rPr>
            <b/>
            <vertAlign val="subscript"/>
            <sz val="10"/>
            <color indexed="81"/>
            <rFont val="Tahoma"/>
            <family val="2"/>
          </rPr>
          <t>GS(TH)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>Enter the low-side MOSFET gate-source threshold voltage at rated current here. This can be taken as the plateau voltage in the V</t>
        </r>
        <r>
          <rPr>
            <vertAlign val="subscript"/>
            <sz val="10"/>
            <color indexed="81"/>
            <rFont val="Tahoma"/>
            <family val="2"/>
          </rPr>
          <t>GS</t>
        </r>
        <r>
          <rPr>
            <sz val="10"/>
            <color indexed="81"/>
            <rFont val="Tahoma"/>
            <family val="2"/>
          </rPr>
          <t>-Q</t>
        </r>
        <r>
          <rPr>
            <vertAlign val="subscript"/>
            <sz val="10"/>
            <color indexed="81"/>
            <rFont val="Tahoma"/>
            <family val="2"/>
          </rPr>
          <t>G</t>
        </r>
        <r>
          <rPr>
            <sz val="10"/>
            <color indexed="81"/>
            <rFont val="Tahoma"/>
            <family val="2"/>
          </rPr>
          <t xml:space="preserve"> curve in the MOSFET datasheet.
</t>
        </r>
      </text>
    </comment>
    <comment ref="E107" authorId="1" shapeId="0">
      <text>
        <r>
          <rPr>
            <b/>
            <sz val="9"/>
            <color indexed="81"/>
            <rFont val="Tahoma"/>
            <family val="2"/>
          </rPr>
          <t>Body Diode Voltage (V</t>
        </r>
        <r>
          <rPr>
            <b/>
            <vertAlign val="subscript"/>
            <sz val="9"/>
            <color indexed="81"/>
            <rFont val="Tahoma"/>
            <family val="2"/>
          </rPr>
          <t>sd</t>
        </r>
        <r>
          <rPr>
            <b/>
            <sz val="9"/>
            <color indexed="81"/>
            <rFont val="Tahoma"/>
            <family val="2"/>
          </rPr>
          <t xml:space="preserve">):
</t>
        </r>
        <r>
          <rPr>
            <sz val="9"/>
            <color indexed="81"/>
            <rFont val="Tahoma"/>
            <family val="2"/>
          </rPr>
          <t>The high-side MOSFET body diode can contribute power loss in boost operation - related to (1) body diode conduction drop during the deadtime, and (2) diode reverse recovery current.</t>
        </r>
      </text>
    </comment>
    <comment ref="F107" authorId="1" shapeId="0">
      <text>
        <r>
          <rPr>
            <b/>
            <sz val="9"/>
            <color indexed="81"/>
            <rFont val="Tahoma"/>
            <family val="2"/>
          </rPr>
          <t>Body Diode Voltage (V</t>
        </r>
        <r>
          <rPr>
            <b/>
            <vertAlign val="subscript"/>
            <sz val="9"/>
            <color indexed="81"/>
            <rFont val="Tahoma"/>
            <family val="2"/>
          </rPr>
          <t>sd</t>
        </r>
        <r>
          <rPr>
            <b/>
            <sz val="9"/>
            <color indexed="81"/>
            <rFont val="Tahoma"/>
            <family val="2"/>
          </rPr>
          <t xml:space="preserve">):
</t>
        </r>
        <r>
          <rPr>
            <sz val="9"/>
            <color indexed="81"/>
            <rFont val="Tahoma"/>
            <family val="2"/>
          </rPr>
          <t>The low-side MOSFET body diode can contribute power loss related to body diode conduction drop during the deadtime at light loads.</t>
        </r>
      </text>
    </comment>
    <comment ref="E108" authorId="1" shapeId="0">
      <text>
        <r>
          <rPr>
            <b/>
            <sz val="10"/>
            <color indexed="81"/>
            <rFont val="Tahoma"/>
            <family val="2"/>
          </rPr>
          <t>Body Diode Recovery Charge (Q</t>
        </r>
        <r>
          <rPr>
            <b/>
            <vertAlign val="subscript"/>
            <sz val="10"/>
            <color indexed="81"/>
            <rFont val="Tahoma"/>
            <family val="2"/>
          </rPr>
          <t>RR</t>
        </r>
        <r>
          <rPr>
            <b/>
            <sz val="10"/>
            <color indexed="81"/>
            <rFont val="Tahoma"/>
            <family val="2"/>
          </rPr>
          <t xml:space="preserve">):
</t>
        </r>
        <r>
          <rPr>
            <sz val="10"/>
            <color indexed="81"/>
            <rFont val="Tahoma"/>
            <family val="2"/>
          </rPr>
          <t xml:space="preserve">Enter the reverse recovery charge of the boost high-side MOSFET body diode here. </t>
        </r>
      </text>
    </comment>
    <comment ref="E109" authorId="1" shapeId="0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F109" authorId="1" shapeId="0">
      <text>
        <r>
          <rPr>
            <b/>
            <sz val="10"/>
            <color indexed="81"/>
            <rFont val="Tahoma"/>
            <family val="2"/>
          </rPr>
          <t>θ</t>
        </r>
        <r>
          <rPr>
            <b/>
            <vertAlign val="subscript"/>
            <sz val="10"/>
            <color indexed="81"/>
            <rFont val="Tahoma"/>
            <family val="2"/>
          </rPr>
          <t>JA</t>
        </r>
        <r>
          <rPr>
            <b/>
            <sz val="10"/>
            <color indexed="81"/>
            <rFont val="Tahoma"/>
            <family val="2"/>
          </rPr>
          <t xml:space="preserve">:
</t>
        </r>
        <r>
          <rPr>
            <sz val="10"/>
            <color indexed="81"/>
            <rFont val="Tahoma"/>
            <family val="2"/>
          </rPr>
          <t>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is the junction-to-ambient thermal resistance of the MOSFET. Higher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will lead to higher power loss and reduced efficiency. High current designs demand low θ</t>
        </r>
        <r>
          <rPr>
            <vertAlign val="subscript"/>
            <sz val="10"/>
            <color indexed="81"/>
            <rFont val="Tahoma"/>
            <family val="2"/>
          </rPr>
          <t>JA</t>
        </r>
        <r>
          <rPr>
            <sz val="10"/>
            <color indexed="81"/>
            <rFont val="Tahoma"/>
            <family val="2"/>
          </rPr>
          <t xml:space="preserve"> rating to help maintain low MOSFET operating junction temperature. What's imperative here is consciencious PCB design and layout to maximize heat removal from the MOSFET.</t>
        </r>
      </text>
    </comment>
    <comment ref="E112" authorId="1" shapeId="0">
      <text>
        <r>
          <rPr>
            <b/>
            <sz val="10"/>
            <color indexed="81"/>
            <rFont val="Tahoma"/>
            <family val="2"/>
          </rPr>
          <t xml:space="preserve">Schottky Forward Voltage:
</t>
        </r>
        <r>
          <rPr>
            <sz val="10"/>
            <color indexed="81"/>
            <rFont val="Tahoma"/>
            <family val="2"/>
          </rPr>
          <t>If a Schottky diode is used, enter the forward voltage at the rated current here. If a Schottky diode is not used, enter "0" into this cell.</t>
        </r>
      </text>
    </comment>
    <comment ref="F112" authorId="1" shapeId="0">
      <text>
        <r>
          <rPr>
            <b/>
            <sz val="10"/>
            <color indexed="81"/>
            <rFont val="Tahoma"/>
            <family val="2"/>
          </rPr>
          <t xml:space="preserve">Schottky Forward Voltage:
</t>
        </r>
        <r>
          <rPr>
            <sz val="10"/>
            <color indexed="81"/>
            <rFont val="Tahoma"/>
            <family val="2"/>
          </rPr>
          <t>If a Schottky diode is used, enter the forward voltage at the rated current here. If a Schottky diode is not used, enter "0" into this cell.</t>
        </r>
      </text>
    </comment>
    <comment ref="E113" authorId="1" shapeId="0">
      <text>
        <r>
          <rPr>
            <b/>
            <sz val="10"/>
            <color indexed="81"/>
            <rFont val="Tahoma"/>
            <family val="2"/>
          </rPr>
          <t xml:space="preserve">Schottky Diode Reverse Recovery Charge:
</t>
        </r>
        <r>
          <rPr>
            <sz val="10"/>
            <color indexed="81"/>
            <rFont val="Tahoma"/>
            <family val="2"/>
          </rPr>
          <t>Enter the diode reverse recovery charge here.
If a Schottky diode is not used, enter "0" into this cell.</t>
        </r>
      </text>
    </comment>
    <comment ref="F113" authorId="1" shapeId="0">
      <text>
        <r>
          <rPr>
            <b/>
            <sz val="10"/>
            <color indexed="81"/>
            <rFont val="Tahoma"/>
            <family val="2"/>
          </rPr>
          <t xml:space="preserve">Schottky Diode Reverse Recovery Charge:
</t>
        </r>
        <r>
          <rPr>
            <sz val="10"/>
            <color indexed="81"/>
            <rFont val="Tahoma"/>
            <family val="2"/>
          </rPr>
          <t>Enter the diode reverse recovery charge here.
If a Schottky diode is not used, enter "0" into this cell.</t>
        </r>
      </text>
    </comment>
  </commentList>
</comments>
</file>

<file path=xl/sharedStrings.xml><?xml version="1.0" encoding="utf-8"?>
<sst xmlns="http://schemas.openxmlformats.org/spreadsheetml/2006/main" count="1982" uniqueCount="984">
  <si>
    <t>V</t>
  </si>
  <si>
    <t>Output Voltage</t>
  </si>
  <si>
    <t>A</t>
  </si>
  <si>
    <t>kHz</t>
  </si>
  <si>
    <t>Vin</t>
  </si>
  <si>
    <t>Vout</t>
  </si>
  <si>
    <t>Iout</t>
  </si>
  <si>
    <t>Fsw</t>
  </si>
  <si>
    <t>Value</t>
  </si>
  <si>
    <t>STD Units</t>
  </si>
  <si>
    <t>Hz</t>
  </si>
  <si>
    <t>uH</t>
  </si>
  <si>
    <t>Rdcr</t>
  </si>
  <si>
    <t>Notes</t>
  </si>
  <si>
    <t>Nominal input voltage</t>
  </si>
  <si>
    <t>Don1</t>
  </si>
  <si>
    <t>Doff1</t>
  </si>
  <si>
    <t>Don2</t>
  </si>
  <si>
    <t>Doff2</t>
  </si>
  <si>
    <t>index</t>
  </si>
  <si>
    <t>H</t>
  </si>
  <si>
    <t>Ohms</t>
  </si>
  <si>
    <t>Vripple1</t>
  </si>
  <si>
    <t>Minimum Output Capacitnace</t>
  </si>
  <si>
    <t>Coutmin</t>
  </si>
  <si>
    <t>uF</t>
  </si>
  <si>
    <t>F</t>
  </si>
  <si>
    <t>Cout</t>
  </si>
  <si>
    <t>Fesr</t>
  </si>
  <si>
    <t>Q</t>
  </si>
  <si>
    <t>V/V</t>
  </si>
  <si>
    <t>Rfb1</t>
  </si>
  <si>
    <t>pF</t>
  </si>
  <si>
    <t>Cc1ea</t>
  </si>
  <si>
    <t>Cc2ea</t>
  </si>
  <si>
    <t>Rcea1</t>
  </si>
  <si>
    <t>Rcea1_u</t>
  </si>
  <si>
    <t>Cc1ea_u</t>
  </si>
  <si>
    <t>Cc2ea_u</t>
  </si>
  <si>
    <t>Fz1</t>
  </si>
  <si>
    <t>Fp1</t>
  </si>
  <si>
    <t>Pi</t>
  </si>
  <si>
    <t>Vp-p</t>
  </si>
  <si>
    <t>Rfb2</t>
  </si>
  <si>
    <t>Vref</t>
  </si>
  <si>
    <t>Reference Voltage</t>
  </si>
  <si>
    <t>Ro</t>
  </si>
  <si>
    <t>xover</t>
  </si>
  <si>
    <t>phase margin</t>
  </si>
  <si>
    <t>Total</t>
  </si>
  <si>
    <t>XOVER SEARCH</t>
  </si>
  <si>
    <t>Variable Name</t>
  </si>
  <si>
    <t>Resrmax</t>
  </si>
  <si>
    <t>mΩ</t>
  </si>
  <si>
    <t>kΩ</t>
  </si>
  <si>
    <t>TERMS OF USE</t>
  </si>
  <si>
    <t>IQ</t>
  </si>
  <si>
    <t>Step</t>
  </si>
  <si>
    <t>Total Loss</t>
  </si>
  <si>
    <t>Design</t>
  </si>
  <si>
    <t>L</t>
  </si>
  <si>
    <t>Cin</t>
  </si>
  <si>
    <t>Components</t>
  </si>
  <si>
    <t>Top FET</t>
  </si>
  <si>
    <t>RdsonDRB</t>
  </si>
  <si>
    <t>RdsonDRT</t>
  </si>
  <si>
    <t>Deadtime</t>
  </si>
  <si>
    <t>mOhms</t>
  </si>
  <si>
    <t>mA</t>
  </si>
  <si>
    <t>nC</t>
  </si>
  <si>
    <t>S</t>
  </si>
  <si>
    <t>QgBot</t>
  </si>
  <si>
    <t>RdsonBot</t>
  </si>
  <si>
    <t>GfsTop</t>
  </si>
  <si>
    <t>QgTop</t>
  </si>
  <si>
    <t>RdsonTop</t>
  </si>
  <si>
    <t>VsdBot</t>
  </si>
  <si>
    <t>QrrBot</t>
  </si>
  <si>
    <t>TrrBot</t>
  </si>
  <si>
    <t>ns</t>
  </si>
  <si>
    <t>Units</t>
  </si>
  <si>
    <t>Outputs</t>
  </si>
  <si>
    <t>Dprime</t>
  </si>
  <si>
    <t>RdsonTopTc</t>
  </si>
  <si>
    <t>RdsonBotTc</t>
  </si>
  <si>
    <t>ppm</t>
  </si>
  <si>
    <t>LTc</t>
  </si>
  <si>
    <t>Ta</t>
  </si>
  <si>
    <t>Irms</t>
  </si>
  <si>
    <t>RCoutEsr</t>
  </si>
  <si>
    <t>RCinEsr</t>
  </si>
  <si>
    <t>DCR    Loss</t>
  </si>
  <si>
    <t>Tr</t>
  </si>
  <si>
    <t>Tf</t>
  </si>
  <si>
    <t>RGateTop</t>
  </si>
  <si>
    <t>RGateBot</t>
  </si>
  <si>
    <t>VthTop</t>
  </si>
  <si>
    <t>Reverse Recovery Loss</t>
  </si>
  <si>
    <t>Switching Frequency</t>
  </si>
  <si>
    <t>Max Output Current</t>
  </si>
  <si>
    <t>Ambient Temperature</t>
  </si>
  <si>
    <t>Inductor Series Resistance Temp Co</t>
  </si>
  <si>
    <t>Total Deadtime</t>
  </si>
  <si>
    <t>Gate Charge Of Top FET</t>
  </si>
  <si>
    <t>Gate Resistance</t>
  </si>
  <si>
    <t>Transconductance of Top FET</t>
  </si>
  <si>
    <t>Threshold Voltage of Top FET</t>
  </si>
  <si>
    <t>Junction to Ambient Resistance</t>
  </si>
  <si>
    <t>Drain To Source Resitance Temp Co</t>
  </si>
  <si>
    <t>Diode Forward Voltage of Bottom FET Body Diode</t>
  </si>
  <si>
    <t>Reverse Recovery Time of Body Diode</t>
  </si>
  <si>
    <t>Description</t>
  </si>
  <si>
    <t>Input Parameters</t>
  </si>
  <si>
    <t>Drain to Source Resistance Temp Co</t>
  </si>
  <si>
    <t>Reverse Recovery Charge of Body Diode</t>
  </si>
  <si>
    <t>Input Value</t>
  </si>
  <si>
    <t>Top Driver</t>
  </si>
  <si>
    <t>Bottom Driver</t>
  </si>
  <si>
    <t>Part Power</t>
  </si>
  <si>
    <t>Power Dis</t>
  </si>
  <si>
    <t>W</t>
  </si>
  <si>
    <t>Controller</t>
  </si>
  <si>
    <t>Theta Ja</t>
  </si>
  <si>
    <t>Temp rise</t>
  </si>
  <si>
    <t>θJA=80</t>
  </si>
  <si>
    <t>θJA=100</t>
  </si>
  <si>
    <t>θJA=120</t>
  </si>
  <si>
    <t>θJA=140</t>
  </si>
  <si>
    <t>θJA=160</t>
  </si>
  <si>
    <t>θJA=180</t>
  </si>
  <si>
    <t>QgdTop</t>
  </si>
  <si>
    <t>Gate to Drain Charge</t>
  </si>
  <si>
    <t>Qg</t>
  </si>
  <si>
    <t>θJA=20</t>
  </si>
  <si>
    <t>θJA=30</t>
  </si>
  <si>
    <t>θJA=40</t>
  </si>
  <si>
    <t>θJA=50</t>
  </si>
  <si>
    <t>250kHz / 5-1.2V /25A</t>
  </si>
  <si>
    <t>250kHz / 12-5V / 30A</t>
  </si>
  <si>
    <t>500kHz / 5-1.2V / 15A</t>
  </si>
  <si>
    <t>1Mhz / 5-1.2V / 10A</t>
  </si>
  <si>
    <t>1Mhz / 12-1.2V/ 10A</t>
  </si>
  <si>
    <t>500kHz / 12-5V / 15A</t>
  </si>
  <si>
    <t>250kHz / 18-1.2V / 20A</t>
  </si>
  <si>
    <t>500kHz / 18-1.2V / 20A</t>
  </si>
  <si>
    <t>θJA=120°C/W - 160°C/W</t>
  </si>
  <si>
    <t>θJA=30°C/W - 50°C/W</t>
  </si>
  <si>
    <t>VspTop</t>
  </si>
  <si>
    <t>QgsTop</t>
  </si>
  <si>
    <t>RdsonDRB2</t>
  </si>
  <si>
    <t>RdsonDRT2</t>
  </si>
  <si>
    <t>EFF_1 @ 25°C</t>
  </si>
  <si>
    <t>Efficiency</t>
  </si>
  <si>
    <t>Pdis</t>
  </si>
  <si>
    <t>Vin=10V</t>
  </si>
  <si>
    <t>Vout=5.1V</t>
  </si>
  <si>
    <t xml:space="preserve">L=3.3uH/30mOhm </t>
  </si>
  <si>
    <t>4394 Top and Bottom Fets</t>
  </si>
  <si>
    <t xml:space="preserve">IQ </t>
  </si>
  <si>
    <t>ThetaCa</t>
  </si>
  <si>
    <t>Core to Ambient Thermal Resistance</t>
  </si>
  <si>
    <t>Quiescent Current Of Controller (Not Switching!)</t>
  </si>
  <si>
    <t>This pole cancels the zero from the Output Cap ESR</t>
  </si>
  <si>
    <t>s</t>
  </si>
  <si>
    <t>Part Characteristics</t>
  </si>
  <si>
    <t>C</t>
  </si>
  <si>
    <t>Switching Current Loss</t>
  </si>
  <si>
    <t>Rfb2_u</t>
  </si>
  <si>
    <t>CoutEsr</t>
  </si>
  <si>
    <t>Ω</t>
  </si>
  <si>
    <t>Step 4: Output Capacitor</t>
  </si>
  <si>
    <t>Step 5: Input Capacitor</t>
  </si>
  <si>
    <t>nF</t>
  </si>
  <si>
    <t>R1</t>
  </si>
  <si>
    <t>R2</t>
  </si>
  <si>
    <t>VIN</t>
  </si>
  <si>
    <t>A (rms)</t>
  </si>
  <si>
    <t>= Input Box</t>
  </si>
  <si>
    <t>Input capacitance</t>
  </si>
  <si>
    <t>Step 1: Operational Specs</t>
  </si>
  <si>
    <t>ms</t>
  </si>
  <si>
    <t>Tss</t>
  </si>
  <si>
    <t>Iss</t>
  </si>
  <si>
    <t>Css</t>
  </si>
  <si>
    <t>C1</t>
  </si>
  <si>
    <t>C2</t>
  </si>
  <si>
    <t>Ripple I</t>
  </si>
  <si>
    <t>%</t>
  </si>
  <si>
    <t xml:space="preserve">I1 </t>
  </si>
  <si>
    <t xml:space="preserve">I2 </t>
  </si>
  <si>
    <t>Part Number</t>
  </si>
  <si>
    <t>Csb</t>
  </si>
  <si>
    <t>Rh</t>
  </si>
  <si>
    <t>Capacitors</t>
  </si>
  <si>
    <t>(pF)</t>
  </si>
  <si>
    <t>Standard Result</t>
  </si>
  <si>
    <t>Inputs</t>
  </si>
  <si>
    <t>Css_u</t>
  </si>
  <si>
    <t>Resistors</t>
  </si>
  <si>
    <t>inputs</t>
  </si>
  <si>
    <t>Rs</t>
  </si>
  <si>
    <t xml:space="preserve">                </t>
  </si>
  <si>
    <t>Cc1</t>
  </si>
  <si>
    <t>Cc2</t>
  </si>
  <si>
    <t>Csby</t>
  </si>
  <si>
    <t>Rc1</t>
  </si>
  <si>
    <t>Other Input Variables</t>
  </si>
  <si>
    <r>
      <t>R</t>
    </r>
    <r>
      <rPr>
        <vertAlign val="subscript"/>
        <sz val="10"/>
        <rFont val="Arial"/>
        <family val="2"/>
      </rPr>
      <t>PG</t>
    </r>
  </si>
  <si>
    <r>
      <t>R</t>
    </r>
    <r>
      <rPr>
        <vertAlign val="subscript"/>
        <sz val="10"/>
        <rFont val="Arial"/>
        <family val="2"/>
      </rPr>
      <t>SB</t>
    </r>
  </si>
  <si>
    <t>Rfets</t>
  </si>
  <si>
    <t>cap loss eq res</t>
  </si>
  <si>
    <t>Fet loss eq res</t>
  </si>
  <si>
    <t>Diode loss eq res</t>
  </si>
  <si>
    <t>Sw cap</t>
  </si>
  <si>
    <t xml:space="preserve"> </t>
  </si>
  <si>
    <t>Rc1ea</t>
  </si>
  <si>
    <t>Frequency of Ringing</t>
  </si>
  <si>
    <t>MHz</t>
  </si>
  <si>
    <t>STD UNITS</t>
  </si>
  <si>
    <t>UNITS</t>
  </si>
  <si>
    <t>SW capacitance</t>
  </si>
  <si>
    <t>Csnub</t>
  </si>
  <si>
    <t>Lpar</t>
  </si>
  <si>
    <t>nH</t>
  </si>
  <si>
    <t>Rsnub</t>
  </si>
  <si>
    <t>Rset</t>
  </si>
  <si>
    <t>Blank out</t>
  </si>
  <si>
    <t>Input from user =</t>
  </si>
  <si>
    <t>Constant</t>
  </si>
  <si>
    <t>Step 8: Efficiency</t>
  </si>
  <si>
    <t>Vripple</t>
  </si>
  <si>
    <t>VfdSky</t>
  </si>
  <si>
    <t>QrrSky</t>
  </si>
  <si>
    <t>Ireverse</t>
  </si>
  <si>
    <t>Diode Forward Voltage</t>
  </si>
  <si>
    <t>Diode Reverse Recovery Charge</t>
  </si>
  <si>
    <t>Reverse Leakage Current</t>
  </si>
  <si>
    <t>External Diode</t>
  </si>
  <si>
    <t xml:space="preserve">Dead Time Loss </t>
  </si>
  <si>
    <t>VsdTop</t>
  </si>
  <si>
    <t>Switching Current Diss</t>
  </si>
  <si>
    <t>°C/W</t>
  </si>
  <si>
    <t>SCHEMATIC LABELS</t>
  </si>
  <si>
    <t>OUTPUT CURRENT</t>
  </si>
  <si>
    <t>Dmax</t>
  </si>
  <si>
    <t>Ipp</t>
  </si>
  <si>
    <t>Current (switching)</t>
  </si>
  <si>
    <t>Qrr Current</t>
  </si>
  <si>
    <t>Diode Current</t>
  </si>
  <si>
    <t>Std Units</t>
  </si>
  <si>
    <t>Total Application Switching IQ</t>
  </si>
  <si>
    <t xml:space="preserve">VIN </t>
  </si>
  <si>
    <t>CBOOT</t>
  </si>
  <si>
    <t>VDD</t>
  </si>
  <si>
    <t>SYNC</t>
  </si>
  <si>
    <t>EN</t>
  </si>
  <si>
    <t>PGOOD</t>
  </si>
  <si>
    <t>SS/TRACK</t>
  </si>
  <si>
    <t>FADJ</t>
  </si>
  <si>
    <t>GND</t>
  </si>
  <si>
    <t>COMP</t>
  </si>
  <si>
    <t>FB</t>
  </si>
  <si>
    <t>CS-</t>
  </si>
  <si>
    <t>CS+</t>
  </si>
  <si>
    <t>LG</t>
  </si>
  <si>
    <t>SW</t>
  </si>
  <si>
    <t>HG</t>
  </si>
  <si>
    <t>CIN</t>
  </si>
  <si>
    <t>DCR at hot</t>
  </si>
  <si>
    <t>Temp</t>
  </si>
  <si>
    <t>µH</t>
  </si>
  <si>
    <t>µF</t>
  </si>
  <si>
    <t>Cinmin</t>
  </si>
  <si>
    <t>Vinripple1</t>
  </si>
  <si>
    <t>CinEsrMax</t>
  </si>
  <si>
    <t>Vinripple2</t>
  </si>
  <si>
    <t>Output =</t>
  </si>
  <si>
    <t>OTP</t>
  </si>
  <si>
    <t>RS</t>
  </si>
  <si>
    <t>Bottom Schottky</t>
  </si>
  <si>
    <t>Step 2: Filter Inductor</t>
  </si>
  <si>
    <t>Step 1: Operating Specifications</t>
  </si>
  <si>
    <t>°C</t>
  </si>
  <si>
    <t>Std Values</t>
  </si>
  <si>
    <t>Compensation Components</t>
  </si>
  <si>
    <t>Actual P/Z Frequencies</t>
  </si>
  <si>
    <r>
      <t>A</t>
    </r>
    <r>
      <rPr>
        <vertAlign val="subscript"/>
        <sz val="10"/>
        <rFont val="Arial"/>
        <family val="2"/>
      </rPr>
      <t>pk-pk</t>
    </r>
  </si>
  <si>
    <r>
      <t>mV</t>
    </r>
    <r>
      <rPr>
        <b/>
        <vertAlign val="subscript"/>
        <sz val="10"/>
        <rFont val="Arial"/>
        <family val="2"/>
      </rPr>
      <t>pk-pk</t>
    </r>
  </si>
  <si>
    <r>
      <t>C</t>
    </r>
    <r>
      <rPr>
        <b/>
        <vertAlign val="subscript"/>
        <sz val="10"/>
        <rFont val="Arial"/>
        <family val="2"/>
      </rPr>
      <t>C1</t>
    </r>
  </si>
  <si>
    <r>
      <t>C</t>
    </r>
    <r>
      <rPr>
        <b/>
        <vertAlign val="subscript"/>
        <sz val="10"/>
        <rFont val="Arial"/>
        <family val="2"/>
      </rPr>
      <t>C2</t>
    </r>
  </si>
  <si>
    <r>
      <t>mV</t>
    </r>
    <r>
      <rPr>
        <vertAlign val="subscript"/>
        <sz val="10"/>
        <rFont val="Arial"/>
        <family val="2"/>
      </rPr>
      <t>pk-pk</t>
    </r>
  </si>
  <si>
    <t>Efficiency / Power Loss Analyzer</t>
  </si>
  <si>
    <t>Step 7: Compensation Design</t>
  </si>
  <si>
    <t>Calculated /</t>
  </si>
  <si>
    <t xml:space="preserve">Recommended Filter Inductance </t>
  </si>
  <si>
    <t xml:space="preserve">Inductor DCR </t>
  </si>
  <si>
    <t xml:space="preserve">Maximum Permitted ESR </t>
  </si>
  <si>
    <t xml:space="preserve">Output Capacitor ESR </t>
  </si>
  <si>
    <t xml:space="preserve">Input Capacitor ESR </t>
  </si>
  <si>
    <t>About</t>
  </si>
  <si>
    <t>xx</t>
  </si>
  <si>
    <t>Max ESR before ripple exceeds Vripple1</t>
  </si>
  <si>
    <t>Chosen ESR</t>
  </si>
  <si>
    <t>Input capacitance series resistance (ESR)</t>
  </si>
  <si>
    <t xml:space="preserve">Desired Crossover Frequency </t>
  </si>
  <si>
    <r>
      <t>VIN</t>
    </r>
    <r>
      <rPr>
        <vertAlign val="subscript"/>
        <sz val="10"/>
        <rFont val="Arial"/>
        <family val="2"/>
      </rPr>
      <t>UVLO_ON</t>
    </r>
  </si>
  <si>
    <t>Rising UVLO/EN Threshold</t>
  </si>
  <si>
    <t>Falling UVLO/EN Threshold</t>
  </si>
  <si>
    <t>UVLO/EN Current Hysteresis</t>
  </si>
  <si>
    <t>kΩ</t>
  </si>
  <si>
    <r>
      <t>VIN</t>
    </r>
    <r>
      <rPr>
        <vertAlign val="subscript"/>
        <sz val="10"/>
        <rFont val="Arial"/>
        <family val="2"/>
      </rPr>
      <t>UVLO_ON_ACTUAL</t>
    </r>
  </si>
  <si>
    <r>
      <t>VIN</t>
    </r>
    <r>
      <rPr>
        <vertAlign val="subscript"/>
        <sz val="10"/>
        <rFont val="Arial"/>
        <family val="2"/>
      </rPr>
      <t>UVLO_OFF_ACTUAL</t>
    </r>
  </si>
  <si>
    <t>Size</t>
  </si>
  <si>
    <t>MFR</t>
  </si>
  <si>
    <t>Std</t>
  </si>
  <si>
    <t>See description</t>
  </si>
  <si>
    <t>TI</t>
  </si>
  <si>
    <t>0603</t>
  </si>
  <si>
    <r>
      <t>C</t>
    </r>
    <r>
      <rPr>
        <vertAlign val="subscript"/>
        <sz val="10"/>
        <rFont val="Arial"/>
        <family val="2"/>
      </rPr>
      <t>C1</t>
    </r>
  </si>
  <si>
    <r>
      <t>C</t>
    </r>
    <r>
      <rPr>
        <vertAlign val="subscript"/>
        <sz val="10"/>
        <rFont val="Arial"/>
        <family val="2"/>
      </rPr>
      <t>C2</t>
    </r>
  </si>
  <si>
    <r>
      <t>C</t>
    </r>
    <r>
      <rPr>
        <vertAlign val="subscript"/>
        <sz val="10"/>
        <rFont val="Arial"/>
        <family val="2"/>
      </rPr>
      <t>CS</t>
    </r>
  </si>
  <si>
    <r>
      <t>C</t>
    </r>
    <r>
      <rPr>
        <vertAlign val="subscript"/>
        <sz val="10"/>
        <rFont val="Arial"/>
        <family val="2"/>
      </rPr>
      <t>IN</t>
    </r>
  </si>
  <si>
    <r>
      <t>C</t>
    </r>
    <r>
      <rPr>
        <vertAlign val="subscript"/>
        <sz val="10"/>
        <rFont val="Arial"/>
        <family val="2"/>
      </rPr>
      <t>OUT</t>
    </r>
  </si>
  <si>
    <r>
      <t>C</t>
    </r>
    <r>
      <rPr>
        <vertAlign val="subscript"/>
        <sz val="10"/>
        <rFont val="Arial"/>
        <family val="2"/>
      </rPr>
      <t>SS</t>
    </r>
  </si>
  <si>
    <r>
      <t>C</t>
    </r>
    <r>
      <rPr>
        <vertAlign val="subscript"/>
        <sz val="10"/>
        <rFont val="Arial"/>
        <family val="2"/>
      </rPr>
      <t>VIN</t>
    </r>
  </si>
  <si>
    <t>Ref Des</t>
  </si>
  <si>
    <t>Count</t>
  </si>
  <si>
    <t>Various</t>
  </si>
  <si>
    <t>-</t>
  </si>
  <si>
    <r>
      <t>R</t>
    </r>
    <r>
      <rPr>
        <vertAlign val="subscript"/>
        <sz val="10"/>
        <rFont val="Arial"/>
        <family val="2"/>
      </rPr>
      <t>C1</t>
    </r>
  </si>
  <si>
    <r>
      <t>R</t>
    </r>
    <r>
      <rPr>
        <vertAlign val="subscript"/>
        <sz val="10"/>
        <rFont val="Arial"/>
        <family val="2"/>
      </rPr>
      <t>UV1</t>
    </r>
  </si>
  <si>
    <r>
      <t>R</t>
    </r>
    <r>
      <rPr>
        <vertAlign val="subscript"/>
        <sz val="10"/>
        <rFont val="Arial"/>
        <family val="2"/>
      </rPr>
      <t>UV2</t>
    </r>
  </si>
  <si>
    <r>
      <t>R</t>
    </r>
    <r>
      <rPr>
        <vertAlign val="subscript"/>
        <sz val="10"/>
        <rFont val="Arial"/>
        <family val="2"/>
      </rPr>
      <t>VIN</t>
    </r>
  </si>
  <si>
    <r>
      <t>R</t>
    </r>
    <r>
      <rPr>
        <vertAlign val="subscript"/>
        <sz val="10"/>
        <rFont val="Arial"/>
        <family val="2"/>
      </rPr>
      <t>S</t>
    </r>
  </si>
  <si>
    <r>
      <t>R</t>
    </r>
    <r>
      <rPr>
        <vertAlign val="subscript"/>
        <sz val="10"/>
        <rFont val="Arial"/>
        <family val="2"/>
      </rPr>
      <t>PGOOD</t>
    </r>
  </si>
  <si>
    <r>
      <t>R</t>
    </r>
    <r>
      <rPr>
        <vertAlign val="subscript"/>
        <sz val="10"/>
        <rFont val="Arial"/>
        <family val="2"/>
      </rPr>
      <t>FB1</t>
    </r>
  </si>
  <si>
    <r>
      <t>R</t>
    </r>
    <r>
      <rPr>
        <vertAlign val="subscript"/>
        <sz val="10"/>
        <rFont val="Arial"/>
        <family val="2"/>
      </rPr>
      <t>FB2</t>
    </r>
  </si>
  <si>
    <r>
      <t>U</t>
    </r>
    <r>
      <rPr>
        <b/>
        <vertAlign val="subscript"/>
        <sz val="10"/>
        <rFont val="Arial"/>
        <family val="2"/>
      </rPr>
      <t>1</t>
    </r>
  </si>
  <si>
    <t>Rpgood</t>
  </si>
  <si>
    <t>20kΩ</t>
  </si>
  <si>
    <t>Ruv1</t>
  </si>
  <si>
    <t>Ruv2</t>
  </si>
  <si>
    <t># of input caps</t>
  </si>
  <si>
    <t>Capacitance per component (Cin)</t>
  </si>
  <si>
    <t>Capacitance per component (Cout)</t>
  </si>
  <si>
    <t># of output caps</t>
  </si>
  <si>
    <t>Input Voltage UVLO Off</t>
  </si>
  <si>
    <t>Ω</t>
  </si>
  <si>
    <r>
      <rPr>
        <b/>
        <u/>
        <sz val="10"/>
        <rFont val="Arial"/>
        <family val="2"/>
      </rPr>
      <t>NOTES</t>
    </r>
    <r>
      <rPr>
        <b/>
        <sz val="10"/>
        <rFont val="Arial"/>
        <family val="2"/>
      </rPr>
      <t>:</t>
    </r>
  </si>
  <si>
    <t>Series resistance due to FETs</t>
  </si>
  <si>
    <t>Output Resistance</t>
  </si>
  <si>
    <r>
      <t>On-State Resistance, 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</t>
    </r>
  </si>
  <si>
    <r>
      <t>Total Gate Charge, Q</t>
    </r>
    <r>
      <rPr>
        <b/>
        <vertAlign val="subscript"/>
        <sz val="10"/>
        <rFont val="Arial"/>
        <family val="2"/>
      </rPr>
      <t>G</t>
    </r>
    <r>
      <rPr>
        <b/>
        <sz val="10"/>
        <rFont val="Arial"/>
        <family val="2"/>
      </rPr>
      <t xml:space="preserve"> </t>
    </r>
  </si>
  <si>
    <r>
      <t>Gate-Drain Charge, Q</t>
    </r>
    <r>
      <rPr>
        <b/>
        <vertAlign val="subscript"/>
        <sz val="10"/>
        <rFont val="Arial"/>
        <family val="2"/>
      </rPr>
      <t>GD</t>
    </r>
    <r>
      <rPr>
        <b/>
        <sz val="10"/>
        <rFont val="Arial"/>
        <family val="2"/>
      </rPr>
      <t xml:space="preserve"> </t>
    </r>
  </si>
  <si>
    <r>
      <t>Gate-Source Charge, Q</t>
    </r>
    <r>
      <rPr>
        <b/>
        <vertAlign val="subscript"/>
        <sz val="10"/>
        <rFont val="Arial"/>
        <family val="2"/>
      </rPr>
      <t>GS</t>
    </r>
    <r>
      <rPr>
        <b/>
        <sz val="10"/>
        <rFont val="Arial"/>
        <family val="2"/>
      </rPr>
      <t xml:space="preserve"> </t>
    </r>
  </si>
  <si>
    <r>
      <t>Gate Resistance, R</t>
    </r>
    <r>
      <rPr>
        <b/>
        <vertAlign val="subscript"/>
        <sz val="10"/>
        <rFont val="Arial"/>
        <family val="2"/>
      </rPr>
      <t>G</t>
    </r>
    <r>
      <rPr>
        <b/>
        <sz val="10"/>
        <rFont val="Arial"/>
        <family val="2"/>
      </rPr>
      <t xml:space="preserve"> </t>
    </r>
  </si>
  <si>
    <r>
      <t>Transconductance, g</t>
    </r>
    <r>
      <rPr>
        <b/>
        <vertAlign val="subscript"/>
        <sz val="10"/>
        <rFont val="Arial"/>
        <family val="2"/>
      </rPr>
      <t>FS</t>
    </r>
    <r>
      <rPr>
        <b/>
        <sz val="10"/>
        <rFont val="Arial"/>
        <family val="2"/>
      </rPr>
      <t xml:space="preserve"> </t>
    </r>
  </si>
  <si>
    <r>
      <t>Thermal Resistance, θ</t>
    </r>
    <r>
      <rPr>
        <b/>
        <vertAlign val="subscript"/>
        <sz val="10"/>
        <rFont val="Arial"/>
        <family val="2"/>
      </rPr>
      <t>JA</t>
    </r>
    <r>
      <rPr>
        <b/>
        <sz val="10"/>
        <rFont val="Arial"/>
        <family val="2"/>
      </rPr>
      <t xml:space="preserve"> </t>
    </r>
  </si>
  <si>
    <t>%/°C</t>
  </si>
  <si>
    <t>Rt</t>
  </si>
  <si>
    <r>
      <t>Output Voltage, V</t>
    </r>
    <r>
      <rPr>
        <b/>
        <vertAlign val="subscript"/>
        <sz val="10"/>
        <color theme="1"/>
        <rFont val="Arial"/>
        <family val="2"/>
      </rPr>
      <t>OUT</t>
    </r>
    <r>
      <rPr>
        <b/>
        <sz val="10"/>
        <color theme="1"/>
        <rFont val="Arial"/>
        <family val="2"/>
      </rPr>
      <t xml:space="preserve"> </t>
    </r>
  </si>
  <si>
    <r>
      <t>Inductance, L</t>
    </r>
    <r>
      <rPr>
        <b/>
        <vertAlign val="subscript"/>
        <sz val="10"/>
        <color theme="1"/>
        <rFont val="Arial"/>
        <family val="2"/>
      </rPr>
      <t>F</t>
    </r>
    <r>
      <rPr>
        <b/>
        <sz val="10"/>
        <color theme="1"/>
        <rFont val="Arial"/>
        <family val="2"/>
      </rPr>
      <t xml:space="preserve"> </t>
    </r>
  </si>
  <si>
    <r>
      <t>Frequency Set Resistor, R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</si>
  <si>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Output Capacitance, C</t>
    </r>
    <r>
      <rPr>
        <b/>
        <vertAlign val="subscript"/>
        <sz val="10"/>
        <rFont val="Arial"/>
        <family val="2"/>
      </rPr>
      <t>OUT</t>
    </r>
    <r>
      <rPr>
        <b/>
        <sz val="10"/>
        <rFont val="Arial"/>
        <family val="2"/>
      </rPr>
      <t xml:space="preserve"> </t>
    </r>
  </si>
  <si>
    <r>
      <t>Input Capacitance, C</t>
    </r>
    <r>
      <rPr>
        <b/>
        <vertAlign val="subscript"/>
        <sz val="10"/>
        <color theme="1"/>
        <rFont val="Arial"/>
        <family val="2"/>
      </rPr>
      <t>IN</t>
    </r>
    <r>
      <rPr>
        <b/>
        <sz val="10"/>
        <color theme="1"/>
        <rFont val="Arial"/>
        <family val="2"/>
      </rPr>
      <t xml:space="preserve"> </t>
    </r>
  </si>
  <si>
    <r>
      <t>Soft-Start Capacitance, C</t>
    </r>
    <r>
      <rPr>
        <vertAlign val="subscript"/>
        <sz val="10"/>
        <rFont val="Arial"/>
        <family val="2"/>
      </rPr>
      <t>SS</t>
    </r>
    <r>
      <rPr>
        <sz val="10"/>
        <rFont val="Arial"/>
        <family val="2"/>
      </rPr>
      <t xml:space="preserve"> </t>
    </r>
  </si>
  <si>
    <r>
      <t>Soft-Start Time, t</t>
    </r>
    <r>
      <rPr>
        <b/>
        <vertAlign val="subscript"/>
        <sz val="10"/>
        <color theme="1"/>
        <rFont val="Arial"/>
        <family val="2"/>
      </rPr>
      <t>SS</t>
    </r>
    <r>
      <rPr>
        <b/>
        <sz val="10"/>
        <color theme="1"/>
        <rFont val="Arial"/>
        <family val="2"/>
      </rPr>
      <t xml:space="preserve"> </t>
    </r>
  </si>
  <si>
    <r>
      <t>Upper Feedback Resistor, R</t>
    </r>
    <r>
      <rPr>
        <b/>
        <vertAlign val="subscript"/>
        <sz val="10"/>
        <rFont val="Arial"/>
        <family val="2"/>
      </rPr>
      <t xml:space="preserve">FB1 </t>
    </r>
  </si>
  <si>
    <r>
      <t>Lower Feedback Resistor, R</t>
    </r>
    <r>
      <rPr>
        <vertAlign val="subscript"/>
        <sz val="10"/>
        <rFont val="Arial"/>
        <family val="2"/>
      </rPr>
      <t>FB2</t>
    </r>
    <r>
      <rPr>
        <sz val="10"/>
        <rFont val="Arial"/>
        <family val="2"/>
      </rPr>
      <t xml:space="preserve"> </t>
    </r>
  </si>
  <si>
    <r>
      <t>V</t>
    </r>
    <r>
      <rPr>
        <vertAlign val="subscript"/>
        <sz val="10"/>
        <color theme="1"/>
        <rFont val="Arial"/>
        <family val="2"/>
      </rPr>
      <t>IN(min)</t>
    </r>
  </si>
  <si>
    <r>
      <t>V</t>
    </r>
    <r>
      <rPr>
        <vertAlign val="subscript"/>
        <sz val="10"/>
        <color theme="1"/>
        <rFont val="Arial"/>
        <family val="2"/>
      </rPr>
      <t>IN(nom)</t>
    </r>
  </si>
  <si>
    <r>
      <t>V</t>
    </r>
    <r>
      <rPr>
        <vertAlign val="subscript"/>
        <sz val="10"/>
        <color theme="1"/>
        <rFont val="Arial"/>
        <family val="2"/>
      </rPr>
      <t>IN(max)</t>
    </r>
  </si>
  <si>
    <t>VIN_max</t>
  </si>
  <si>
    <t>VIN_min</t>
  </si>
  <si>
    <t>Minimum input voltage</t>
  </si>
  <si>
    <t>Maximum input voltage</t>
  </si>
  <si>
    <t>Maximum Output Current</t>
  </si>
  <si>
    <t>Nominal Switching Frequency</t>
  </si>
  <si>
    <t>Voltage Hysteresis</t>
  </si>
  <si>
    <t>Falling UVLO/EN Current</t>
  </si>
  <si>
    <t>Rising UVLO/EN Current</t>
  </si>
  <si>
    <t>mV</t>
  </si>
  <si>
    <r>
      <t>Lower UVLO Resistor, R</t>
    </r>
    <r>
      <rPr>
        <vertAlign val="subscript"/>
        <sz val="10"/>
        <rFont val="Arial"/>
        <family val="2"/>
      </rPr>
      <t>UV2</t>
    </r>
  </si>
  <si>
    <r>
      <t>Upper UVLO Resistor, R</t>
    </r>
    <r>
      <rPr>
        <b/>
        <vertAlign val="subscript"/>
        <sz val="10"/>
        <rFont val="Arial"/>
        <family val="2"/>
      </rPr>
      <t>UV1</t>
    </r>
  </si>
  <si>
    <t>Required Input Voltage UVLO On</t>
  </si>
  <si>
    <r>
      <t>C</t>
    </r>
    <r>
      <rPr>
        <vertAlign val="subscript"/>
        <sz val="10"/>
        <rFont val="Arial"/>
        <family val="2"/>
      </rPr>
      <t>OUT</t>
    </r>
    <r>
      <rPr>
        <sz val="10"/>
        <rFont val="Arial"/>
        <family val="2"/>
      </rPr>
      <t xml:space="preserve"> ESR Zero Frequency </t>
    </r>
  </si>
  <si>
    <t>Load Pole Frequency</t>
  </si>
  <si>
    <t>Ideal Duty Cycle at VIN(nom)</t>
  </si>
  <si>
    <t>Ideal 1- Duty Cycle at VIN(nom)</t>
  </si>
  <si>
    <t>Don_Vinmin</t>
  </si>
  <si>
    <t>Don_Vinmax</t>
  </si>
  <si>
    <t>Lf_Vinmin</t>
  </si>
  <si>
    <t>Lf_Vinmax</t>
  </si>
  <si>
    <t>Lf</t>
  </si>
  <si>
    <t>Pout</t>
  </si>
  <si>
    <t>Iin_Vinmin</t>
  </si>
  <si>
    <t>Iin_Vinnom</t>
  </si>
  <si>
    <t>Iin_Vinmax</t>
  </si>
  <si>
    <t>Pin</t>
  </si>
  <si>
    <t>Iripple_Vinmin</t>
  </si>
  <si>
    <t>Iripple_Vinnom</t>
  </si>
  <si>
    <t>Iripple_Vinmax</t>
  </si>
  <si>
    <t>L_Vinmin</t>
  </si>
  <si>
    <t>L_Vinnom</t>
  </si>
  <si>
    <t>L_Vinmax</t>
  </si>
  <si>
    <t>Lf_Vinnom</t>
  </si>
  <si>
    <t>Lopt</t>
  </si>
  <si>
    <t>Don_Vinnom</t>
  </si>
  <si>
    <t>Don_Vinmin_2</t>
  </si>
  <si>
    <t>Don_Vinnom_2</t>
  </si>
  <si>
    <t>Don_Vinmax_2</t>
  </si>
  <si>
    <t>% Ripple Current</t>
  </si>
  <si>
    <t>Iin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</si>
  <si>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IN(min)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</si>
  <si>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IN(nom)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</si>
  <si>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as a %</t>
    </r>
    <r>
      <rPr>
        <sz val="10"/>
        <rFont val="Arial"/>
        <family val="2"/>
      </rPr>
      <t xml:space="preserve"> at V</t>
    </r>
    <r>
      <rPr>
        <vertAlign val="subscript"/>
        <sz val="10"/>
        <rFont val="Arial"/>
        <family val="2"/>
      </rPr>
      <t>IN(max)</t>
    </r>
  </si>
  <si>
    <t>Recommended SLOPE Capacitance</t>
  </si>
  <si>
    <r>
      <t>Sense Resistance, R</t>
    </r>
    <r>
      <rPr>
        <b/>
        <vertAlign val="subscript"/>
        <sz val="10"/>
        <color theme="1"/>
        <rFont val="Arial"/>
        <family val="2"/>
      </rPr>
      <t>S</t>
    </r>
  </si>
  <si>
    <t>Step 6: Soft-start, Dither, UVLO</t>
  </si>
  <si>
    <t>Recommended Sense Resistance</t>
  </si>
  <si>
    <r>
      <t>SLOPE Capacitance, C</t>
    </r>
    <r>
      <rPr>
        <b/>
        <vertAlign val="subscript"/>
        <sz val="10"/>
        <color theme="1"/>
        <rFont val="Arial"/>
        <family val="2"/>
      </rPr>
      <t>SLOPE</t>
    </r>
  </si>
  <si>
    <t>Buck CS threshold</t>
  </si>
  <si>
    <t>Boost CS Threshold</t>
  </si>
  <si>
    <t>Ilimit_DC</t>
  </si>
  <si>
    <t>Max inductor ripple current</t>
  </si>
  <si>
    <t>Calculate input power assuming 90% efficiency</t>
  </si>
  <si>
    <t>Output power</t>
  </si>
  <si>
    <t>Input currents at min, nom, max Vin</t>
  </si>
  <si>
    <t>Frequency Set Resistor</t>
  </si>
  <si>
    <t>Rs_ideal</t>
  </si>
  <si>
    <t>or</t>
  </si>
  <si>
    <t>Ilimit_inductor_Vinmin</t>
  </si>
  <si>
    <t>Ilimit_inductor_Vinmax</t>
  </si>
  <si>
    <t>Ilimit_inductor_Vinnom</t>
  </si>
  <si>
    <t>At Iout = Ilimit_DC:</t>
  </si>
  <si>
    <t>Selected (starndard value) current limit sense resistor</t>
  </si>
  <si>
    <t>Cslope_ideal</t>
  </si>
  <si>
    <t>mΩ</t>
  </si>
  <si>
    <t>Cslope</t>
  </si>
  <si>
    <t>Cslope_recommended</t>
  </si>
  <si>
    <t>Cslope_selected</t>
  </si>
  <si>
    <t>V/s</t>
  </si>
  <si>
    <t>at VIN_min</t>
  </si>
  <si>
    <t>at VIN_nom</t>
  </si>
  <si>
    <t>at VIN_max</t>
  </si>
  <si>
    <t>Islope_fixed</t>
  </si>
  <si>
    <t>SLOPE comp dv/dt = I_slope_total/Cslope</t>
  </si>
  <si>
    <t xml:space="preserve">BUCK </t>
  </si>
  <si>
    <t>BOOST</t>
  </si>
  <si>
    <t>I_valley BUCK</t>
  </si>
  <si>
    <t>I_peak BOOST</t>
  </si>
  <si>
    <t>Required Constant Current Loop Setpoint</t>
  </si>
  <si>
    <t>Current Limit Threshold</t>
  </si>
  <si>
    <t>Shunt Resistor in Output Leg</t>
  </si>
  <si>
    <t>Rshunt</t>
  </si>
  <si>
    <t>TBD</t>
  </si>
  <si>
    <t>Output Cap RMS current</t>
  </si>
  <si>
    <t>Icoutrms_VINmin</t>
  </si>
  <si>
    <t>Icoutrms_VINnom</t>
  </si>
  <si>
    <t>Icoutrms_VINmax</t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</si>
  <si>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Vinmin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</si>
  <si>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Vinnom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</si>
  <si>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V_SLOPEcomp at Vinmax</t>
    </r>
  </si>
  <si>
    <t>Chosen Output Capacitance</t>
  </si>
  <si>
    <t>Cdither</t>
  </si>
  <si>
    <t>Cdither_calculated</t>
  </si>
  <si>
    <t>Cdither_stdvalue</t>
  </si>
  <si>
    <r>
      <t>R</t>
    </r>
    <r>
      <rPr>
        <b/>
        <vertAlign val="subscript"/>
        <sz val="10"/>
        <rFont val="Arial"/>
        <family val="2"/>
      </rPr>
      <t>C</t>
    </r>
  </si>
  <si>
    <t>Boost RHP Zero Frequency</t>
  </si>
  <si>
    <t>Frhp</t>
  </si>
  <si>
    <t>Rout</t>
  </si>
  <si>
    <t>Load resistance</t>
  </si>
  <si>
    <r>
      <t xml:space="preserve">Chosen Compensation Components from the </t>
    </r>
    <r>
      <rPr>
        <b/>
        <u/>
        <sz val="10"/>
        <color indexed="10"/>
        <rFont val="Arial"/>
        <family val="2"/>
      </rPr>
      <t>standard value sheet</t>
    </r>
  </si>
  <si>
    <t>Modulator</t>
  </si>
  <si>
    <t>Total System</t>
  </si>
  <si>
    <t>Afb1</t>
  </si>
  <si>
    <t>Acs</t>
  </si>
  <si>
    <t>z1</t>
  </si>
  <si>
    <t>p3</t>
  </si>
  <si>
    <t>Adc</t>
  </si>
  <si>
    <t>z2</t>
  </si>
  <si>
    <t>Am</t>
  </si>
  <si>
    <t>p1</t>
  </si>
  <si>
    <t>pterm1</t>
  </si>
  <si>
    <t>Crossover</t>
  </si>
  <si>
    <t>p2</t>
  </si>
  <si>
    <t>pterm2</t>
  </si>
  <si>
    <t>Phase Margin</t>
  </si>
  <si>
    <t>Aea</t>
  </si>
  <si>
    <t>radconv</t>
  </si>
  <si>
    <t>p4</t>
  </si>
  <si>
    <t>k</t>
  </si>
  <si>
    <t>gm</t>
  </si>
  <si>
    <t>Power Stage</t>
  </si>
  <si>
    <t>Error Amplifier</t>
  </si>
  <si>
    <t>Sampling Double Pole</t>
  </si>
  <si>
    <t>System Response</t>
  </si>
  <si>
    <t>ERROR AMP Response</t>
  </si>
  <si>
    <t>PLANT Response</t>
  </si>
  <si>
    <t>Gain(V/V)</t>
  </si>
  <si>
    <t>Phase(rad)</t>
  </si>
  <si>
    <t>Gain (dB)</t>
  </si>
  <si>
    <t>Phase Margin (°)</t>
  </si>
  <si>
    <t>Phase (°)</t>
  </si>
  <si>
    <t>Fsquare</t>
  </si>
  <si>
    <t>Gain(dB)</t>
  </si>
  <si>
    <t>Phase(Deg)</t>
  </si>
  <si>
    <t>Pole/Zero Locations for Chart</t>
  </si>
  <si>
    <t>crossover</t>
  </si>
  <si>
    <t>System</t>
  </si>
  <si>
    <t>Plant</t>
  </si>
  <si>
    <t>Ri</t>
  </si>
  <si>
    <t>Error Amp Transconductance</t>
  </si>
  <si>
    <t>Se</t>
  </si>
  <si>
    <t>A/s</t>
  </si>
  <si>
    <t>Sn</t>
  </si>
  <si>
    <t>On-time Slope</t>
  </si>
  <si>
    <t>mc</t>
  </si>
  <si>
    <t>GBW</t>
  </si>
  <si>
    <t>Cbw</t>
  </si>
  <si>
    <t>RoEA</t>
  </si>
  <si>
    <t>AEA</t>
  </si>
  <si>
    <t>Afb</t>
  </si>
  <si>
    <t>p</t>
  </si>
  <si>
    <t xml:space="preserve">Error Amp Pole Frequency </t>
  </si>
  <si>
    <t>Cslope_u</t>
  </si>
  <si>
    <t>This component will largely determine the crossover frequency</t>
  </si>
  <si>
    <t>This along with Rcea1 places a pole at the output cap ESR zero</t>
  </si>
  <si>
    <t>1/(Pi*(k-0.5))</t>
  </si>
  <si>
    <t>Acs = 1/Ri</t>
  </si>
  <si>
    <t>Current Sense effective resistance = shunt resistor Rs * CS amp gain</t>
  </si>
  <si>
    <t>Fp_EA</t>
  </si>
  <si>
    <t>Fp_HF</t>
  </si>
  <si>
    <t>mc*D</t>
  </si>
  <si>
    <t>Off-time Slope</t>
  </si>
  <si>
    <t>Sf</t>
  </si>
  <si>
    <t>mc = 1 + Se/Sf for valley current-mode buck</t>
  </si>
  <si>
    <t>gm_slopecomp</t>
  </si>
  <si>
    <t>adaptive slope comp gm amplifier transconductance</t>
  </si>
  <si>
    <t>CS Amp Gain</t>
  </si>
  <si>
    <t>Slope Comp Slope - referred to inductor current</t>
  </si>
  <si>
    <t>Se_int</t>
  </si>
  <si>
    <t>Step 3: Sense Resistors, Slope Comp, Current Limit</t>
  </si>
  <si>
    <t>Q = 2/Pi = 0.636 gives ideal one-cycle damping</t>
  </si>
  <si>
    <t>Error Amp HF pole cancels zero related to Output Cap ESR</t>
  </si>
  <si>
    <t>EXCEL Variables Names/Calculations</t>
  </si>
  <si>
    <t>Resulting Pole/Zero Locations</t>
  </si>
  <si>
    <t>Sn_int</t>
  </si>
  <si>
    <t>Sf_int</t>
  </si>
  <si>
    <t>Slope Comp Slope - referred to IC</t>
  </si>
  <si>
    <t>etc</t>
  </si>
  <si>
    <t>Isc_const</t>
  </si>
  <si>
    <t>°</t>
  </si>
  <si>
    <t>Std Value Lower Feedback Resistance</t>
  </si>
  <si>
    <t>Lower Feedback Resistance</t>
  </si>
  <si>
    <t>Upper Feedback Resistance - chosen by user</t>
  </si>
  <si>
    <t>Drain-Source Resistance of Pullup High-side FET Driver</t>
  </si>
  <si>
    <t>Drain-Source Resistance of Pulldown High-side FET Driver</t>
  </si>
  <si>
    <t>Drain-Source Resistance of Pullup Low-side FET Driver</t>
  </si>
  <si>
    <t>Drain-Source Resistance of Pulldown Low-side FET Driver</t>
  </si>
  <si>
    <t>Drain-Source Resistance Temp Co</t>
  </si>
  <si>
    <t>Diode Forward Voltage of Low-side FET Body Diode</t>
  </si>
  <si>
    <t>slope comp constant current source</t>
  </si>
  <si>
    <t>Duty cycles adjusted for DCR and shunt voltage drops</t>
  </si>
  <si>
    <t>Desired Crossover Frequency</t>
  </si>
  <si>
    <t>Cout ESR zero frequency</t>
  </si>
  <si>
    <t>Boost RHP zero frequency (if applicable)</t>
  </si>
  <si>
    <t>Error Amp LF pole -- related to amplifier ouptut resistance and comp cap</t>
  </si>
  <si>
    <t>Buck dominant pole frequency -- note slope comp influence</t>
  </si>
  <si>
    <t>Boost dominant pole frequency -- need to add slope comp component</t>
  </si>
  <si>
    <t>Fp_load_boost</t>
  </si>
  <si>
    <t>Fp_load_buck</t>
  </si>
  <si>
    <t>IC Power Disipation</t>
  </si>
  <si>
    <t>Iteration</t>
  </si>
  <si>
    <t>Output Ripple Spec (pk-pk)</t>
  </si>
  <si>
    <t>Rmode</t>
  </si>
  <si>
    <t>zero-order sample and hold effects of current-mode control modeled as pole at Fsw/2</t>
  </si>
  <si>
    <t>F_mod</t>
  </si>
  <si>
    <t>Am_buck</t>
  </si>
  <si>
    <t>mc_boost</t>
  </si>
  <si>
    <t>k_boost</t>
  </si>
  <si>
    <t>Am_boost</t>
  </si>
  <si>
    <t>DC Gain is Adc = AEA*Afb*Am</t>
  </si>
  <si>
    <t>A/V</t>
  </si>
  <si>
    <t>Power Stage Poles/Zeros</t>
  </si>
  <si>
    <t>Complex Pole Pair</t>
  </si>
  <si>
    <t>Divider Network &amp; EA Poles/Zeros</t>
  </si>
  <si>
    <t>mc_buck</t>
  </si>
  <si>
    <t>k_buck</t>
  </si>
  <si>
    <t>mV/μs</t>
  </si>
  <si>
    <t>mc*(1-D)</t>
  </si>
  <si>
    <t>Error Amp (EA)</t>
  </si>
  <si>
    <t>Boost modulator gain -- need to adjust for adaptive slope comp</t>
  </si>
  <si>
    <r>
      <t>need to include R</t>
    </r>
    <r>
      <rPr>
        <vertAlign val="subscript"/>
        <sz val="10"/>
        <color rgb="FFFF0000"/>
        <rFont val="Arial"/>
        <family val="2"/>
      </rPr>
      <t>DS(on)</t>
    </r>
    <r>
      <rPr>
        <sz val="10"/>
        <color rgb="FFFF0000"/>
        <rFont val="Arial"/>
        <family val="2"/>
      </rPr>
      <t xml:space="preserve"> later</t>
    </r>
  </si>
  <si>
    <t>Shunt</t>
  </si>
  <si>
    <t>BOOST current limit - peak</t>
  </si>
  <si>
    <t>Iout_OCP_Vinmin</t>
  </si>
  <si>
    <t>Iout_OCP_Vinmax</t>
  </si>
  <si>
    <t>ILpeak_OCP_Vinmin</t>
  </si>
  <si>
    <t>ILpeak_OCP_Vinnom</t>
  </si>
  <si>
    <t>ILpeak_OCP_Vinmax</t>
  </si>
  <si>
    <t>Peak inductor currents in OCP</t>
  </si>
  <si>
    <r>
      <t>Current limit setpoints (i.e. I</t>
    </r>
    <r>
      <rPr>
        <vertAlign val="subscript"/>
        <sz val="10"/>
        <rFont val="Arial"/>
        <family val="2"/>
      </rPr>
      <t>OUT</t>
    </r>
    <r>
      <rPr>
        <sz val="10"/>
        <rFont val="Arial"/>
        <family val="2"/>
      </rPr>
      <t>) after standard components are selected</t>
    </r>
  </si>
  <si>
    <t>Output voltage ripple spec(pk-pk)</t>
  </si>
  <si>
    <t>Vout ripple spec at Vin(nom)</t>
  </si>
  <si>
    <t xml:space="preserve">Minimum Output Capacitance </t>
  </si>
  <si>
    <t>Load cap current during soft start</t>
  </si>
  <si>
    <t>Soft-start time</t>
  </si>
  <si>
    <t>zRHP</t>
  </si>
  <si>
    <t>p-dom</t>
  </si>
  <si>
    <t>p_dom</t>
  </si>
  <si>
    <t>z_ESR</t>
  </si>
  <si>
    <t>z_RHP</t>
  </si>
  <si>
    <t>uses Vin(nom)!!</t>
  </si>
  <si>
    <t>50ns for LM5175</t>
  </si>
  <si>
    <t>Low-side MOSFET/Diode</t>
  </si>
  <si>
    <t>EA pole, p2</t>
  </si>
  <si>
    <t>EA pole, p1</t>
  </si>
  <si>
    <t>EA zero, z1</t>
  </si>
  <si>
    <t>Fp_dominant</t>
  </si>
  <si>
    <t>p_sampling</t>
  </si>
  <si>
    <t>ESR zero</t>
  </si>
  <si>
    <t>EA pole</t>
  </si>
  <si>
    <t>EA zero</t>
  </si>
  <si>
    <t>RHP zero</t>
  </si>
  <si>
    <t>This zero is set at or close to the dominant load pole</t>
  </si>
  <si>
    <t>Freq (Hz)</t>
  </si>
  <si>
    <t>scaling factor to calculate Rcomp - buck</t>
  </si>
  <si>
    <t>scaling factor to calculate Rcomp - boost</t>
  </si>
  <si>
    <r>
      <t>Hz  (F</t>
    </r>
    <r>
      <rPr>
        <vertAlign val="subscript"/>
        <sz val="10"/>
        <rFont val="Arial"/>
        <family val="2"/>
      </rPr>
      <t>PEA</t>
    </r>
    <r>
      <rPr>
        <sz val="10"/>
        <rFont val="Arial"/>
        <family val="2"/>
      </rPr>
      <t>)</t>
    </r>
  </si>
  <si>
    <t>KM</t>
  </si>
  <si>
    <t>KD</t>
  </si>
  <si>
    <t>Se_fixed</t>
  </si>
  <si>
    <t>Se_proportional</t>
  </si>
  <si>
    <t>Se_ext</t>
  </si>
  <si>
    <t>Buck modulator gain</t>
  </si>
  <si>
    <t>Feedback gain from Vout to FB</t>
  </si>
  <si>
    <t>V_sc_fixed</t>
  </si>
  <si>
    <t>V_sc_proportional</t>
  </si>
  <si>
    <t>V_sc_total</t>
  </si>
  <si>
    <t>Slope comp slope - internal</t>
  </si>
  <si>
    <t>EA DC gain = gm*RoEA</t>
  </si>
  <si>
    <t>EA output resistance</t>
  </si>
  <si>
    <t>EA effective bandwidth limiting capacitance = gm/(2*Pi*GBW)</t>
  </si>
  <si>
    <t>EA gain-bandwidth product</t>
  </si>
  <si>
    <t>mc = 1 + Se/Sn for peak current-mode boost</t>
  </si>
  <si>
    <t>K_SL</t>
  </si>
  <si>
    <t>Fixed slope comp amplitude over full period</t>
  </si>
  <si>
    <t>Proportional slope comp amplitude over full period</t>
  </si>
  <si>
    <t>Total slope comp amplitude over full period</t>
  </si>
  <si>
    <t>Proportional slope comp factor, where Vslope= Abs(Vin-Vout)*KSL</t>
  </si>
  <si>
    <t>KSL = gm/(Cslope*Fsw)</t>
  </si>
  <si>
    <t>K_1</t>
  </si>
  <si>
    <t>Take the buck or boost parameter as appropriate</t>
  </si>
  <si>
    <t>2*Pi*Ri/gm -- scaling factor to calculate Rcomp given desired buck crossover frequency</t>
  </si>
  <si>
    <t>2*Pi*Ri/gm -- scaling factor to calculate Rcomp given desired boost crossover frequency</t>
  </si>
  <si>
    <t>Diode/FET</t>
  </si>
  <si>
    <t>High Efficiency Synchronous Buck-Boost Regulator BOM</t>
  </si>
  <si>
    <t>Iout_OCP_Vinnom</t>
  </si>
  <si>
    <t>IL_peak_OCP</t>
  </si>
  <si>
    <t>Peak inductor current over the full input range</t>
  </si>
  <si>
    <r>
      <t>C</t>
    </r>
    <r>
      <rPr>
        <vertAlign val="subscript"/>
        <sz val="10"/>
        <rFont val="Arial"/>
        <family val="2"/>
      </rPr>
      <t>SLOPE</t>
    </r>
  </si>
  <si>
    <r>
      <t>L</t>
    </r>
    <r>
      <rPr>
        <vertAlign val="subscript"/>
        <sz val="10"/>
        <rFont val="Arial"/>
        <family val="2"/>
      </rPr>
      <t>F</t>
    </r>
  </si>
  <si>
    <r>
      <t>R</t>
    </r>
    <r>
      <rPr>
        <vertAlign val="subscript"/>
        <sz val="10"/>
        <rFont val="Arial"/>
        <family val="2"/>
      </rPr>
      <t>CS</t>
    </r>
    <r>
      <rPr>
        <sz val="10"/>
        <rFont val="Arial"/>
        <family val="2"/>
      </rPr>
      <t>, R</t>
    </r>
    <r>
      <rPr>
        <vertAlign val="subscript"/>
        <sz val="10"/>
        <rFont val="Arial"/>
        <family val="2"/>
      </rPr>
      <t>CSG</t>
    </r>
  </si>
  <si>
    <r>
      <t>R</t>
    </r>
    <r>
      <rPr>
        <vertAlign val="subscript"/>
        <sz val="10"/>
        <rFont val="Arial"/>
        <family val="2"/>
      </rPr>
      <t>T</t>
    </r>
  </si>
  <si>
    <t>** Effective input and output capacitances should be appropriately derated for applied voltage and temperature, particularly with ceramics **</t>
  </si>
  <si>
    <t>Schottky Diode, 200mA</t>
  </si>
  <si>
    <r>
      <t>D</t>
    </r>
    <r>
      <rPr>
        <vertAlign val="subscript"/>
        <sz val="10"/>
        <rFont val="Arial"/>
        <family val="2"/>
      </rPr>
      <t>BOOT1</t>
    </r>
    <r>
      <rPr>
        <sz val="10"/>
        <rFont val="Arial"/>
        <family val="2"/>
      </rPr>
      <t>, D</t>
    </r>
    <r>
      <rPr>
        <vertAlign val="subscript"/>
        <sz val="10"/>
        <rFont val="Arial"/>
        <family val="2"/>
      </rPr>
      <t xml:space="preserve">BOOT2, </t>
    </r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 xml:space="preserve">VIN </t>
    </r>
  </si>
  <si>
    <r>
      <t>C</t>
    </r>
    <r>
      <rPr>
        <vertAlign val="subscript"/>
        <sz val="10"/>
        <rFont val="Arial"/>
        <family val="2"/>
      </rPr>
      <t>DITH</t>
    </r>
  </si>
  <si>
    <r>
      <t>C</t>
    </r>
    <r>
      <rPr>
        <vertAlign val="subscript"/>
        <sz val="10"/>
        <rFont val="Arial"/>
        <family val="2"/>
      </rPr>
      <t>BOOT1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BOOT2</t>
    </r>
  </si>
  <si>
    <r>
      <t>C</t>
    </r>
    <r>
      <rPr>
        <vertAlign val="subscript"/>
        <sz val="10"/>
        <rFont val="Arial"/>
        <family val="2"/>
      </rPr>
      <t>VCC</t>
    </r>
  </si>
  <si>
    <t>Step 3: OCP, Sense Resistors, Slope Comp</t>
  </si>
  <si>
    <t>** Inductor saturation current should be higher than the peak inductor current at the OCP setpoint for all input voltages and operating temperatures **</t>
  </si>
  <si>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>C</t>
    </r>
  </si>
  <si>
    <r>
      <t>m</t>
    </r>
    <r>
      <rPr>
        <sz val="10"/>
        <rFont val="Symbol"/>
        <family val="1"/>
        <charset val="2"/>
      </rPr>
      <t>W</t>
    </r>
  </si>
  <si>
    <t>μF</t>
  </si>
  <si>
    <t>Filter Inductance</t>
  </si>
  <si>
    <r>
      <t>Inductor DCR at 25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>C</t>
    </r>
  </si>
  <si>
    <r>
      <rPr>
        <sz val="10"/>
        <rFont val="Calibri"/>
        <family val="2"/>
      </rPr>
      <t>θ</t>
    </r>
    <r>
      <rPr>
        <vertAlign val="subscript"/>
        <sz val="10"/>
        <rFont val="Arial"/>
        <family val="2"/>
      </rPr>
      <t>JA</t>
    </r>
  </si>
  <si>
    <r>
      <t>θ</t>
    </r>
    <r>
      <rPr>
        <vertAlign val="subscript"/>
        <sz val="10"/>
        <rFont val="Arial"/>
        <family val="2"/>
      </rPr>
      <t>JABot</t>
    </r>
  </si>
  <si>
    <r>
      <t>θ</t>
    </r>
    <r>
      <rPr>
        <vertAlign val="subscript"/>
        <sz val="10"/>
        <rFont val="Arial"/>
        <family val="2"/>
      </rPr>
      <t>JATop</t>
    </r>
  </si>
  <si>
    <t>θJACtrl</t>
  </si>
  <si>
    <r>
      <t>Enter the values of your design and MOSFET datasheet specifications below. Note that thermal resistance (</t>
    </r>
    <r>
      <rPr>
        <b/>
        <sz val="10"/>
        <rFont val="Calibri"/>
        <family val="2"/>
      </rPr>
      <t>θ</t>
    </r>
    <r>
      <rPr>
        <b/>
        <vertAlign val="subscript"/>
        <sz val="10"/>
        <rFont val="Arial"/>
        <family val="2"/>
      </rPr>
      <t>JA</t>
    </r>
    <r>
      <rPr>
        <b/>
        <sz val="10"/>
        <rFont val="Arial"/>
        <family val="2"/>
      </rPr>
      <t>) will change when components are placed on the PCB</t>
    </r>
  </si>
  <si>
    <t>Subregulated VCC Voltage</t>
  </si>
  <si>
    <t>Vcc</t>
  </si>
  <si>
    <t>Junction-to-ambient thermal resistance of controller</t>
  </si>
  <si>
    <t>with 85mA current limit</t>
  </si>
  <si>
    <r>
      <rPr>
        <sz val="10"/>
        <rFont val="Calibri"/>
        <family val="2"/>
      </rPr>
      <t>θ</t>
    </r>
    <r>
      <rPr>
        <vertAlign val="subscript"/>
        <sz val="10"/>
        <rFont val="Arial"/>
        <family val="2"/>
      </rPr>
      <t>CA</t>
    </r>
  </si>
  <si>
    <t>Inductor Core to Ambient Thermal Resistance</t>
  </si>
  <si>
    <t>Input Capacitor ESR</t>
  </si>
  <si>
    <t>Inductor DCR Temp Co</t>
  </si>
  <si>
    <t>Output Capacitor ESR</t>
  </si>
  <si>
    <t>Output Capcitance</t>
  </si>
  <si>
    <t>Input Capacitance</t>
  </si>
  <si>
    <t>Filter Inductor</t>
  </si>
  <si>
    <t>Ripple Current pk-pk</t>
  </si>
  <si>
    <t>Cout ESR Loss</t>
  </si>
  <si>
    <t>Irms Cout</t>
  </si>
  <si>
    <t>Irms Cin</t>
  </si>
  <si>
    <t>Cin ESR Loss</t>
  </si>
  <si>
    <r>
      <t>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Loss</t>
    </r>
  </si>
  <si>
    <t>Controller IC Losses</t>
  </si>
  <si>
    <t>Total IC Loss</t>
  </si>
  <si>
    <t>Deadtime Loss</t>
  </si>
  <si>
    <r>
      <t>I</t>
    </r>
    <r>
      <rPr>
        <b/>
        <vertAlign val="subscript"/>
        <sz val="10"/>
        <rFont val="Arial"/>
        <family val="2"/>
      </rPr>
      <t>Q</t>
    </r>
    <r>
      <rPr>
        <b/>
        <sz val="10"/>
        <rFont val="Arial"/>
        <family val="2"/>
      </rPr>
      <t xml:space="preserve"> Loss</t>
    </r>
  </si>
  <si>
    <t>h</t>
  </si>
  <si>
    <r>
      <t xml:space="preserve">EFF, </t>
    </r>
    <r>
      <rPr>
        <b/>
        <sz val="10"/>
        <rFont val="Symbol"/>
        <family val="1"/>
        <charset val="2"/>
      </rPr>
      <t>h</t>
    </r>
  </si>
  <si>
    <t>QrrTop</t>
  </si>
  <si>
    <t>TrrTop</t>
  </si>
  <si>
    <t>RESULTS</t>
  </si>
  <si>
    <t>Consolidated Buck/Boost Efficiency &amp; Losses</t>
  </si>
  <si>
    <t>Output Rs</t>
  </si>
  <si>
    <t>Iout Shunt Loss</t>
  </si>
  <si>
    <t>Isense Shunt Loss</t>
  </si>
  <si>
    <t>Sense Rs</t>
  </si>
  <si>
    <t>Drain to Source Resistance of pulldown Bottom FET Driver</t>
  </si>
  <si>
    <t>Drain to Source Resistance of pullup Bottom FET Driver</t>
  </si>
  <si>
    <t>Drain to Source Resistance of pulldown Top FET Driver</t>
  </si>
  <si>
    <t>Drain to Source Resistance of pullup Top FET Driver</t>
  </si>
  <si>
    <t>Turn on of MOSFET -&gt; Rise time of current</t>
  </si>
  <si>
    <t>Turn off of MOSFET -&gt; Fall time of current</t>
  </si>
  <si>
    <t>External Schottky Diode (if applicable)</t>
  </si>
  <si>
    <r>
      <t>kHz (F</t>
    </r>
    <r>
      <rPr>
        <vertAlign val="subscript"/>
        <sz val="10"/>
        <rFont val="Arial"/>
        <family val="2"/>
      </rPr>
      <t>ZCOMP</t>
    </r>
    <r>
      <rPr>
        <sz val="10"/>
        <rFont val="Arial"/>
        <family val="2"/>
      </rPr>
      <t>)</t>
    </r>
  </si>
  <si>
    <r>
      <t>kHz (F</t>
    </r>
    <r>
      <rPr>
        <vertAlign val="subscript"/>
        <sz val="10"/>
        <rFont val="Arial"/>
        <family val="2"/>
      </rPr>
      <t>PCOMP</t>
    </r>
    <r>
      <rPr>
        <sz val="10"/>
        <rFont val="Arial"/>
        <family val="2"/>
      </rPr>
      <t>)</t>
    </r>
  </si>
  <si>
    <t>Reported Cinmin</t>
  </si>
  <si>
    <t>Reported Cout ESR max</t>
  </si>
  <si>
    <t>Reported Cin ESR max</t>
  </si>
  <si>
    <r>
      <t>Input Voltage - Min, V</t>
    </r>
    <r>
      <rPr>
        <b/>
        <vertAlign val="subscript"/>
        <sz val="10"/>
        <color theme="1"/>
        <rFont val="Arial"/>
        <family val="2"/>
      </rPr>
      <t>IN(min)</t>
    </r>
    <r>
      <rPr>
        <b/>
        <sz val="10"/>
        <color theme="1"/>
        <rFont val="Arial"/>
        <family val="2"/>
      </rPr>
      <t xml:space="preserve"> </t>
    </r>
  </si>
  <si>
    <r>
      <t>Input Voltage - Nom, V</t>
    </r>
    <r>
      <rPr>
        <b/>
        <vertAlign val="subscript"/>
        <sz val="10"/>
        <color theme="1"/>
        <rFont val="Arial"/>
        <family val="2"/>
      </rPr>
      <t>IN(nom)</t>
    </r>
  </si>
  <si>
    <r>
      <t>Input Voltage - Max, V</t>
    </r>
    <r>
      <rPr>
        <b/>
        <vertAlign val="subscript"/>
        <sz val="10"/>
        <color theme="1"/>
        <rFont val="Arial"/>
        <family val="2"/>
      </rPr>
      <t>IN(max)</t>
    </r>
  </si>
  <si>
    <r>
      <t>Pk-to-Pk Ripple Current at V</t>
    </r>
    <r>
      <rPr>
        <vertAlign val="subscript"/>
        <sz val="10"/>
        <rFont val="Arial"/>
        <family val="2"/>
      </rPr>
      <t>IN(min)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L1</t>
    </r>
  </si>
  <si>
    <r>
      <t>Pk-to-Pk Ripple Current at V</t>
    </r>
    <r>
      <rPr>
        <vertAlign val="subscript"/>
        <sz val="10"/>
        <rFont val="Arial"/>
        <family val="2"/>
      </rPr>
      <t>IN(nom)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L2</t>
    </r>
  </si>
  <si>
    <r>
      <t>Pk-to-Pk Ripple Current at V</t>
    </r>
    <r>
      <rPr>
        <vertAlign val="subscript"/>
        <sz val="10"/>
        <rFont val="Arial"/>
        <family val="2"/>
      </rPr>
      <t>IN(max)</t>
    </r>
    <r>
      <rPr>
        <sz val="10"/>
        <rFont val="Arial"/>
        <family val="2"/>
      </rPr>
      <t xml:space="preserve">,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I</t>
    </r>
    <r>
      <rPr>
        <vertAlign val="subscript"/>
        <sz val="10"/>
        <rFont val="Arial"/>
        <family val="2"/>
      </rPr>
      <t>L3</t>
    </r>
  </si>
  <si>
    <t>Buck CS threshold_min</t>
  </si>
  <si>
    <t>Boost CS Threshold_min</t>
  </si>
  <si>
    <t>BUCK current limit - valley</t>
  </si>
  <si>
    <t>Chosen OCP level - based on output current</t>
  </si>
  <si>
    <r>
      <t>I</t>
    </r>
    <r>
      <rPr>
        <vertAlign val="subscript"/>
        <sz val="10"/>
        <rFont val="Arial"/>
        <family val="2"/>
      </rPr>
      <t>OUT(typ)</t>
    </r>
    <r>
      <rPr>
        <sz val="10"/>
        <rFont val="Arial"/>
        <family val="2"/>
      </rPr>
      <t xml:space="preserve"> at OCP Inception:</t>
    </r>
  </si>
  <si>
    <t>Buck CS threshold_max</t>
  </si>
  <si>
    <t>Boost CS Threshold_max</t>
  </si>
  <si>
    <r>
      <t>Required I</t>
    </r>
    <r>
      <rPr>
        <b/>
        <vertAlign val="subscript"/>
        <sz val="10"/>
        <color theme="1"/>
        <rFont val="Arial"/>
        <family val="2"/>
      </rPr>
      <t>OCP(MIN)</t>
    </r>
    <r>
      <rPr>
        <b/>
        <sz val="10"/>
        <color theme="1"/>
        <rFont val="Arial"/>
        <family val="2"/>
      </rPr>
      <t xml:space="preserve"> Setpoint at V</t>
    </r>
    <r>
      <rPr>
        <b/>
        <vertAlign val="subscript"/>
        <sz val="10"/>
        <color theme="1"/>
        <rFont val="Arial"/>
        <family val="2"/>
      </rPr>
      <t>IN(nom)</t>
    </r>
  </si>
  <si>
    <t>RMS current in Rs</t>
  </si>
  <si>
    <t>Power diss in Rs</t>
  </si>
  <si>
    <t>Standard size based on Csideal slope capacitor</t>
  </si>
  <si>
    <t>Total Cin Loss</t>
  </si>
  <si>
    <t>Inductor Cu &amp; Core Loss</t>
  </si>
  <si>
    <t>Total Cout Loss</t>
  </si>
  <si>
    <t>Total Inductor Loss</t>
  </si>
  <si>
    <t>Gate Charge at VCC = 7.5V</t>
  </si>
  <si>
    <t>Boost hi-side</t>
  </si>
  <si>
    <t>Buck lo-side</t>
  </si>
  <si>
    <t>Anti-parallel Schottky Diode (optional)</t>
  </si>
  <si>
    <t>High- &amp; low-side boost MOSFETs</t>
  </si>
  <si>
    <t>High- &amp; low-side buck MOSFETs</t>
  </si>
  <si>
    <t>Drain-Source Resistances of Boost FETs</t>
  </si>
  <si>
    <t>Gate Charge Of Boost FETs</t>
  </si>
  <si>
    <t>Transconductance of Boost FETs</t>
  </si>
  <si>
    <t>Threshold Voltage Boost FETs</t>
  </si>
  <si>
    <t>Switch Point Voltage of Boost FETs</t>
  </si>
  <si>
    <t>Transconductance of Buck FETs</t>
  </si>
  <si>
    <t>Drain-Source Resistances of Buck FETs</t>
  </si>
  <si>
    <t>Threshold Voltage of Buck FETs</t>
  </si>
  <si>
    <t>Switch Point Voltage of Buck FETs</t>
  </si>
  <si>
    <r>
      <t>Q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, Q</t>
    </r>
    <r>
      <rPr>
        <vertAlign val="subscript"/>
        <sz val="10"/>
        <rFont val="Arial"/>
        <family val="2"/>
      </rPr>
      <t>2</t>
    </r>
  </si>
  <si>
    <r>
      <t>Q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, Q</t>
    </r>
    <r>
      <rPr>
        <vertAlign val="subscript"/>
        <sz val="10"/>
        <rFont val="Arial"/>
        <family val="2"/>
      </rPr>
      <t>4</t>
    </r>
  </si>
  <si>
    <t>Hi-side</t>
  </si>
  <si>
    <t>High-side FET</t>
  </si>
  <si>
    <t>Low-side FET</t>
  </si>
  <si>
    <t>Drain-Source Resistance of Low-side FET</t>
  </si>
  <si>
    <t xml:space="preserve">Drain-Source Resistance of Top FET </t>
  </si>
  <si>
    <t>Q3: high-side</t>
  </si>
  <si>
    <t>Q4: low-side</t>
  </si>
  <si>
    <t>Q1: high-side</t>
  </si>
  <si>
    <t>Q2: low-side</t>
  </si>
  <si>
    <t>Rdson</t>
  </si>
  <si>
    <t>Qgd</t>
  </si>
  <si>
    <t>Qgs</t>
  </si>
  <si>
    <t>Rgate</t>
  </si>
  <si>
    <t>Gfs</t>
  </si>
  <si>
    <t>Vth</t>
  </si>
  <si>
    <t>Vsp</t>
  </si>
  <si>
    <t>Diode Forward Voltage of MOSFET Body diode</t>
  </si>
  <si>
    <t>VsdBot - Boost</t>
  </si>
  <si>
    <t>Vsd - Buck</t>
  </si>
  <si>
    <r>
      <rPr>
        <i/>
        <sz val="10"/>
        <rFont val="Arial"/>
        <family val="2"/>
      </rPr>
      <t>Buck</t>
    </r>
    <r>
      <rPr>
        <sz val="10"/>
        <rFont val="Arial"/>
        <family val="2"/>
      </rPr>
      <t xml:space="preserve"> Leg</t>
    </r>
  </si>
  <si>
    <r>
      <t>Body Diode Forward Voltage, V</t>
    </r>
    <r>
      <rPr>
        <b/>
        <vertAlign val="subscript"/>
        <sz val="10"/>
        <rFont val="Arial"/>
        <family val="2"/>
      </rPr>
      <t>BD</t>
    </r>
    <r>
      <rPr>
        <b/>
        <sz val="10"/>
        <rFont val="Arial"/>
        <family val="2"/>
      </rPr>
      <t xml:space="preserve"> </t>
    </r>
  </si>
  <si>
    <r>
      <t>Schottky Rev Recovery Charge, Q</t>
    </r>
    <r>
      <rPr>
        <b/>
        <vertAlign val="subscript"/>
        <sz val="10"/>
        <rFont val="Arial"/>
        <family val="2"/>
      </rPr>
      <t>RRsch</t>
    </r>
    <r>
      <rPr>
        <b/>
        <sz val="10"/>
        <rFont val="Arial"/>
        <family val="2"/>
      </rPr>
      <t xml:space="preserve"> </t>
    </r>
  </si>
  <si>
    <r>
      <t>Body Diode Rev Recovery Charge, Q</t>
    </r>
    <r>
      <rPr>
        <b/>
        <vertAlign val="subscript"/>
        <sz val="10"/>
        <rFont val="Arial"/>
        <family val="2"/>
      </rPr>
      <t>RR</t>
    </r>
    <r>
      <rPr>
        <b/>
        <sz val="10"/>
        <rFont val="Arial"/>
        <family val="2"/>
      </rPr>
      <t xml:space="preserve"> </t>
    </r>
  </si>
  <si>
    <r>
      <t>Gate-Source Threshold Voltage, V</t>
    </r>
    <r>
      <rPr>
        <b/>
        <vertAlign val="subscript"/>
        <sz val="10"/>
        <rFont val="Arial"/>
        <family val="2"/>
      </rPr>
      <t>TH</t>
    </r>
    <r>
      <rPr>
        <b/>
        <sz val="10"/>
        <rFont val="Arial"/>
        <family val="2"/>
      </rPr>
      <t xml:space="preserve"> </t>
    </r>
  </si>
  <si>
    <r>
      <t>Schottky Fwd Voltage, V</t>
    </r>
    <r>
      <rPr>
        <b/>
        <vertAlign val="subscript"/>
        <sz val="10"/>
        <rFont val="Arial"/>
        <family val="2"/>
      </rPr>
      <t>FWDsch</t>
    </r>
    <r>
      <rPr>
        <b/>
        <sz val="10"/>
        <rFont val="Arial"/>
        <family val="2"/>
      </rPr>
      <t xml:space="preserve"> </t>
    </r>
  </si>
  <si>
    <r>
      <t>Output Leg Shunt Resistance, R</t>
    </r>
    <r>
      <rPr>
        <vertAlign val="subscript"/>
        <sz val="10"/>
        <rFont val="Arial"/>
        <family val="2"/>
      </rPr>
      <t>CS(out)</t>
    </r>
  </si>
  <si>
    <r>
      <t>R</t>
    </r>
    <r>
      <rPr>
        <vertAlign val="subscript"/>
        <sz val="10"/>
        <rFont val="Arial"/>
        <family val="2"/>
      </rPr>
      <t>CS(out)</t>
    </r>
  </si>
  <si>
    <r>
      <rPr>
        <b/>
        <i/>
        <u/>
        <sz val="10"/>
        <color rgb="FF0000FF"/>
        <rFont val="Arial"/>
        <family val="2"/>
      </rPr>
      <t>Boost</t>
    </r>
    <r>
      <rPr>
        <b/>
        <sz val="10"/>
        <color rgb="FF0000FF"/>
        <rFont val="Arial"/>
        <family val="2"/>
      </rPr>
      <t>-Leg Power MOSFETs (Q</t>
    </r>
    <r>
      <rPr>
        <b/>
        <vertAlign val="subscript"/>
        <sz val="10"/>
        <color rgb="FF0000FF"/>
        <rFont val="Arial"/>
        <family val="2"/>
      </rPr>
      <t>3</t>
    </r>
    <r>
      <rPr>
        <b/>
        <sz val="10"/>
        <color rgb="FF0000FF"/>
        <rFont val="Arial"/>
        <family val="2"/>
      </rPr>
      <t>, Q</t>
    </r>
    <r>
      <rPr>
        <b/>
        <vertAlign val="subscript"/>
        <sz val="10"/>
        <color rgb="FF0000FF"/>
        <rFont val="Arial"/>
        <family val="2"/>
      </rPr>
      <t>4</t>
    </r>
    <r>
      <rPr>
        <b/>
        <sz val="10"/>
        <color rgb="FF0000FF"/>
        <rFont val="Arial"/>
        <family val="2"/>
      </rPr>
      <t xml:space="preserve">) </t>
    </r>
  </si>
  <si>
    <r>
      <rPr>
        <b/>
        <i/>
        <u/>
        <sz val="10"/>
        <color rgb="FF0000FF"/>
        <rFont val="Arial"/>
        <family val="2"/>
      </rPr>
      <t>Buck</t>
    </r>
    <r>
      <rPr>
        <b/>
        <sz val="10"/>
        <color rgb="FF0000FF"/>
        <rFont val="Arial"/>
        <family val="2"/>
      </rPr>
      <t>-Leg Power MOSFETs (Q</t>
    </r>
    <r>
      <rPr>
        <b/>
        <vertAlign val="subscript"/>
        <sz val="10"/>
        <color rgb="FF0000FF"/>
        <rFont val="Arial"/>
        <family val="2"/>
      </rPr>
      <t>1</t>
    </r>
    <r>
      <rPr>
        <b/>
        <sz val="10"/>
        <color rgb="FF0000FF"/>
        <rFont val="Arial"/>
        <family val="2"/>
      </rPr>
      <t>, Q</t>
    </r>
    <r>
      <rPr>
        <b/>
        <vertAlign val="subscript"/>
        <sz val="10"/>
        <color rgb="FF0000FF"/>
        <rFont val="Arial"/>
        <family val="2"/>
      </rPr>
      <t>2</t>
    </r>
    <r>
      <rPr>
        <b/>
        <sz val="10"/>
        <color rgb="FF0000FF"/>
        <rFont val="Arial"/>
        <family val="2"/>
      </rPr>
      <t xml:space="preserve">) </t>
    </r>
  </si>
  <si>
    <t xml:space="preserve">  Low-side</t>
  </si>
  <si>
    <r>
      <rPr>
        <i/>
        <sz val="10"/>
        <rFont val="Arial"/>
        <family val="2"/>
      </rPr>
      <t xml:space="preserve">   Boost</t>
    </r>
    <r>
      <rPr>
        <sz val="10"/>
        <rFont val="Arial"/>
        <family val="2"/>
      </rPr>
      <t xml:space="preserve"> Leg</t>
    </r>
  </si>
  <si>
    <t>Tie to GND or VCC for DCM/CCM, respectively. Use 93.1k or 200k for hiccup in DCM, CCM, respectively.</t>
  </si>
  <si>
    <t>Dither Modulation Frequency</t>
  </si>
  <si>
    <t>Max COMP Voltage</t>
  </si>
  <si>
    <t>Min COMP Voltage</t>
  </si>
  <si>
    <t>sec</t>
  </si>
  <si>
    <t>Toff_Vinmax</t>
  </si>
  <si>
    <t>COMP max voltage</t>
  </si>
  <si>
    <t>COMP min voltage</t>
  </si>
  <si>
    <t>BUCK</t>
  </si>
  <si>
    <t>Ton_Vinmin</t>
  </si>
  <si>
    <t xml:space="preserve">lower edge of BUCK-BOOST </t>
  </si>
  <si>
    <t>Don_buckboost</t>
  </si>
  <si>
    <t>Ilimit_inductor_buckboost</t>
  </si>
  <si>
    <t>VIN_edgebuckboost</t>
  </si>
  <si>
    <t>Iripple_edgebuckboost</t>
  </si>
  <si>
    <t>Iout_edgebuckboost</t>
  </si>
  <si>
    <t>LM5175EVM-HD PCB Layout</t>
  </si>
  <si>
    <t>LM5175EVM-HP PCB Layout</t>
  </si>
  <si>
    <t>LM5175EVM PCB Layout</t>
  </si>
  <si>
    <t>Selected SLOPE cap</t>
  </si>
  <si>
    <t>Calculated inductance for 30% ripple at VIN(min)</t>
  </si>
  <si>
    <t>Calculated inductance for 40% ripple at VIN(nom)</t>
  </si>
  <si>
    <t>Chosen inductance</t>
  </si>
  <si>
    <t>Chosen inductor DCR</t>
  </si>
  <si>
    <r>
      <rPr>
        <b/>
        <sz val="10"/>
        <rFont val="Arial"/>
        <family val="2"/>
      </rPr>
      <t>Peak</t>
    </r>
    <r>
      <rPr>
        <sz val="10"/>
        <rFont val="Arial"/>
        <family val="2"/>
      </rPr>
      <t xml:space="preserve"> inductor current at current limit inception (if operating in </t>
    </r>
    <r>
      <rPr>
        <b/>
        <sz val="10"/>
        <rFont val="Arial"/>
        <family val="2"/>
      </rPr>
      <t>boost</t>
    </r>
    <r>
      <rPr>
        <sz val="10"/>
        <rFont val="Arial"/>
        <family val="2"/>
      </rPr>
      <t>)</t>
    </r>
  </si>
  <si>
    <t>edge of buck-boost</t>
  </si>
  <si>
    <r>
      <rPr>
        <b/>
        <sz val="10"/>
        <rFont val="Arial"/>
        <family val="2"/>
      </rPr>
      <t>Peak</t>
    </r>
    <r>
      <rPr>
        <sz val="10"/>
        <rFont val="Arial"/>
        <family val="2"/>
      </rPr>
      <t xml:space="preserve"> inductor current limit in </t>
    </r>
    <r>
      <rPr>
        <b/>
        <sz val="10"/>
        <rFont val="Arial"/>
        <family val="2"/>
      </rPr>
      <t>BOOST</t>
    </r>
  </si>
  <si>
    <r>
      <rPr>
        <b/>
        <sz val="10"/>
        <rFont val="Arial"/>
        <family val="2"/>
      </rPr>
      <t>Valley</t>
    </r>
    <r>
      <rPr>
        <sz val="10"/>
        <rFont val="Arial"/>
        <family val="2"/>
      </rPr>
      <t xml:space="preserve"> inductor current limit in </t>
    </r>
    <r>
      <rPr>
        <b/>
        <sz val="10"/>
        <rFont val="Arial"/>
        <family val="2"/>
      </rPr>
      <t>BUCK</t>
    </r>
  </si>
  <si>
    <t>Shunt required to get OCP at VIN(min)</t>
  </si>
  <si>
    <t>Shunt required to get OCP at VIN(nom)</t>
  </si>
  <si>
    <t>Shunt required to get OCP at VIN(max)</t>
  </si>
  <si>
    <t>Ideal Rs for the required OCP -- based on 80mV or 160mV CL threshold</t>
  </si>
  <si>
    <t>Assume we'd like to achieve current limit particularly at VIN(min) and boost side of buck-boost region; accept inevitable variation over line thereafter</t>
  </si>
  <si>
    <t>Shunt required to get OCP at VIN(edge-bb)</t>
  </si>
  <si>
    <t>Edge of B-B</t>
  </si>
  <si>
    <t>lower edge of buck-boost window</t>
  </si>
  <si>
    <t>BUCK-BOOST</t>
  </si>
  <si>
    <r>
      <t xml:space="preserve">80mV </t>
    </r>
    <r>
      <rPr>
        <b/>
        <sz val="10"/>
        <rFont val="Symbol"/>
        <family val="1"/>
        <charset val="2"/>
      </rPr>
      <t>±</t>
    </r>
    <r>
      <rPr>
        <b/>
        <sz val="10"/>
        <rFont val="Arial"/>
        <family val="2"/>
      </rPr>
      <t xml:space="preserve"> 20%</t>
    </r>
  </si>
  <si>
    <r>
      <t xml:space="preserve">160mV </t>
    </r>
    <r>
      <rPr>
        <b/>
        <sz val="10"/>
        <rFont val="Symbol"/>
        <family val="1"/>
        <charset val="2"/>
      </rPr>
      <t>±</t>
    </r>
    <r>
      <rPr>
        <b/>
        <sz val="10"/>
        <rFont val="Arial"/>
        <family val="2"/>
      </rPr>
      <t xml:space="preserve"> 20%</t>
    </r>
  </si>
  <si>
    <t>Icinrms_VINmin</t>
  </si>
  <si>
    <t>Icinrms_VINnom</t>
  </si>
  <si>
    <t>Icinrms_VINmiax</t>
  </si>
  <si>
    <t>Max Cout rms current</t>
  </si>
  <si>
    <t xml:space="preserve">Resulting Input Voltage Ripple (max) </t>
  </si>
  <si>
    <t xml:space="preserve">Resulting Output Voltage Ripple (max) </t>
  </si>
  <si>
    <t xml:space="preserve">Output Capacitor RMS Current (max) </t>
  </si>
  <si>
    <t>Input Capacitor RMS Current (max)</t>
  </si>
  <si>
    <t>Max Cin rms current</t>
  </si>
  <si>
    <t>Input voltage ripple spec (pk-pk)</t>
  </si>
  <si>
    <t>Reported Coutmin</t>
  </si>
  <si>
    <t>Output Voltage Ripple Spec</t>
  </si>
  <si>
    <t>Input Voltage Ripple Spec</t>
  </si>
  <si>
    <t>Minimum Input Capacitance</t>
  </si>
  <si>
    <t>Ton_min_boost</t>
  </si>
  <si>
    <t>Period</t>
  </si>
  <si>
    <t>Ts</t>
  </si>
  <si>
    <t>VIN_boost_to_BB</t>
  </si>
  <si>
    <t>VIN_BB_to_boost</t>
  </si>
  <si>
    <t>Toff_min_buck</t>
  </si>
  <si>
    <t>200ns</t>
  </si>
  <si>
    <t>300ns</t>
  </si>
  <si>
    <t>VIN_BB_to_buck</t>
  </si>
  <si>
    <t>VIN_buck_to_BB</t>
  </si>
  <si>
    <t>D_min_boost</t>
  </si>
  <si>
    <t>buck min timer</t>
  </si>
  <si>
    <t>boost min timer</t>
  </si>
  <si>
    <t>D_max_buck_BB</t>
  </si>
  <si>
    <t>T_max_BB</t>
  </si>
  <si>
    <t>max timer before transition from BB</t>
  </si>
  <si>
    <t>D_max_buck_enterBB</t>
  </si>
  <si>
    <t>Ishunt_rms_Vinmin</t>
  </si>
  <si>
    <t>Ishunt_rms_Vinnom</t>
  </si>
  <si>
    <t>Ishunt_rms_Vinmax</t>
  </si>
  <si>
    <t>Max shunt power loss at full load</t>
  </si>
  <si>
    <t>Shunt Loss</t>
  </si>
  <si>
    <t>Cinmin_Vinmax</t>
  </si>
  <si>
    <t>Buck 50% typically worst case</t>
  </si>
  <si>
    <t>CinEsrMax_Vinmax</t>
  </si>
  <si>
    <t>CinEsrMax_50%D</t>
  </si>
  <si>
    <t>Cinmin_50%D</t>
  </si>
  <si>
    <t>Vinripple2_Vinmax</t>
  </si>
  <si>
    <t>Vinripple2_50%D</t>
  </si>
  <si>
    <t>Calculate ripple at Vinmax and 50% duty cycle (Vin = 2*Vout)</t>
  </si>
  <si>
    <t>Calculate cap at Vinmax and 50% duty cycle (Vin = 2*Vout)</t>
  </si>
  <si>
    <t>Calculate ESR at Vinmax and 50% duty cycle (Vin = 2*Vout)</t>
  </si>
  <si>
    <t>Step 7: Compensation</t>
  </si>
  <si>
    <t>Step 6b: Other Components - UVLO, Dither, MODE</t>
  </si>
  <si>
    <t>Step 6a: Soft Start</t>
  </si>
  <si>
    <t>…report highest of these</t>
  </si>
  <si>
    <t>…report this</t>
  </si>
  <si>
    <t>PLOT_TYPE</t>
  </si>
  <si>
    <r>
      <t>Full Load Output Current, I</t>
    </r>
    <r>
      <rPr>
        <b/>
        <vertAlign val="subscript"/>
        <sz val="10"/>
        <color theme="1"/>
        <rFont val="Arial"/>
        <family val="2"/>
      </rPr>
      <t>OUT(max)</t>
    </r>
  </si>
  <si>
    <t>BUCK-BOOST CONTROLLER POWER TOOL</t>
  </si>
  <si>
    <t>Transition Loss</t>
  </si>
  <si>
    <t>Total Control MOSFET Loss</t>
  </si>
  <si>
    <t>Total Sync MOSFET Loss</t>
  </si>
  <si>
    <r>
      <t>Q1/Q3 R</t>
    </r>
    <r>
      <rPr>
        <b/>
        <vertAlign val="subscript"/>
        <sz val="10"/>
        <rFont val="Arial"/>
        <family val="2"/>
      </rPr>
      <t>DS(on)</t>
    </r>
    <r>
      <rPr>
        <b/>
        <sz val="10"/>
        <rFont val="Arial"/>
        <family val="2"/>
      </rPr>
      <t xml:space="preserve"> Loss @ D = 100%</t>
    </r>
  </si>
  <si>
    <t>Pass FET</t>
  </si>
  <si>
    <t>Control FET Temp Rise</t>
  </si>
  <si>
    <t>Sync FET Temp Rise</t>
  </si>
  <si>
    <t>Core Loss</t>
  </si>
  <si>
    <t>Irms Lf</t>
  </si>
  <si>
    <t xml:space="preserve">High-side BUCK "Control" MOSFET Losses </t>
  </si>
  <si>
    <t xml:space="preserve">Low-side BUCK "Sync" MOSFET Losses </t>
  </si>
  <si>
    <t xml:space="preserve">Low-side BOOST "Control" MOSFET Losses </t>
  </si>
  <si>
    <t xml:space="preserve">High-side BOOST "Sync" MOSFET Losses </t>
  </si>
  <si>
    <t>Mode</t>
  </si>
  <si>
    <t>Operating Point Condtions</t>
  </si>
  <si>
    <t>Mode Digit</t>
  </si>
  <si>
    <t>D_max_exitBB_to_boost</t>
  </si>
  <si>
    <t>D_max_exitBB_to_buck</t>
  </si>
  <si>
    <t>Duty Cycle BOOST Leg</t>
  </si>
  <si>
    <t>Duty Cycle BUCK Leg</t>
  </si>
  <si>
    <t>Actual Duty Cycle BUCK Leg</t>
  </si>
  <si>
    <t>Actual Duty Cycle BOOST Leg</t>
  </si>
  <si>
    <t>D_min_boost_exitBB_to_buck</t>
  </si>
  <si>
    <t>Avg IL</t>
  </si>
  <si>
    <t>Quiescent Current of LM5175 Controller (Not Switching!)</t>
  </si>
  <si>
    <t>Total MOSFET Loss</t>
  </si>
  <si>
    <t>Full-load/high line efficiency</t>
  </si>
  <si>
    <t>Half-load/mid-line efficiency</t>
  </si>
  <si>
    <t>Low line efficiency</t>
  </si>
  <si>
    <t>θJA-MOSFET</t>
  </si>
  <si>
    <t>θJA</t>
  </si>
  <si>
    <t>10% load</t>
  </si>
  <si>
    <t>100% load</t>
  </si>
  <si>
    <t>50% load</t>
  </si>
  <si>
    <t>Low VIN</t>
  </si>
  <si>
    <t>High VIN</t>
  </si>
  <si>
    <t>Nom VIN</t>
  </si>
  <si>
    <r>
      <t xml:space="preserve">Efficiency vs </t>
    </r>
    <r>
      <rPr>
        <b/>
        <sz val="10"/>
        <rFont val="Arial"/>
        <family val="2"/>
      </rPr>
      <t>IOUT</t>
    </r>
    <r>
      <rPr>
        <sz val="10"/>
        <rFont val="Arial"/>
        <family val="2"/>
      </rPr>
      <t xml:space="preserve"> Plot</t>
    </r>
  </si>
  <si>
    <t>Efficiency vs VIN Plot</t>
  </si>
  <si>
    <t xml:space="preserve"> LM5175 Quickstart Design Tool</t>
  </si>
  <si>
    <t>http://www.ti.com/nexfet</t>
  </si>
  <si>
    <t>TSSOP-28</t>
  </si>
  <si>
    <r>
      <t>** For information on TI NexFET</t>
    </r>
    <r>
      <rPr>
        <vertAlign val="superscript"/>
        <sz val="10"/>
        <rFont val="Arial"/>
        <family val="2"/>
      </rPr>
      <t>TM</t>
    </r>
    <r>
      <rPr>
        <sz val="10"/>
        <rFont val="Arial"/>
        <family val="2"/>
      </rPr>
      <t xml:space="preserve"> MOSFETs, see **</t>
    </r>
  </si>
  <si>
    <t xml:space="preserve">   **</t>
  </si>
  <si>
    <t>VIN range</t>
  </si>
  <si>
    <t>DITHER Yes/No</t>
  </si>
  <si>
    <t>1 = Yes, 2 = No</t>
  </si>
  <si>
    <t>DITHER Disabled</t>
  </si>
  <si>
    <t>DITHER Enabled</t>
  </si>
  <si>
    <t>Modulating Frequency</t>
  </si>
  <si>
    <t>Worst case peak inductor current</t>
  </si>
  <si>
    <r>
      <t>Peak Inductor Current, I</t>
    </r>
    <r>
      <rPr>
        <vertAlign val="subscript"/>
        <sz val="10"/>
        <color theme="1"/>
        <rFont val="Arial"/>
        <family val="2"/>
      </rPr>
      <t>LPK</t>
    </r>
  </si>
  <si>
    <t>CSD18563Q5A</t>
  </si>
  <si>
    <t>CSD16321Q5</t>
  </si>
  <si>
    <r>
      <t>V</t>
    </r>
    <r>
      <rPr>
        <b/>
        <vertAlign val="subscript"/>
        <sz val="10"/>
        <color theme="1"/>
        <rFont val="Arial"/>
        <family val="2"/>
      </rPr>
      <t>IN(nom)</t>
    </r>
  </si>
  <si>
    <t>dB</t>
  </si>
  <si>
    <t>EA Gain</t>
  </si>
  <si>
    <t>EA Gain (dB)</t>
  </si>
  <si>
    <t>Vijay edit: removed the derating.</t>
  </si>
  <si>
    <t>edited based on LM5176 curve fit.</t>
  </si>
  <si>
    <t>Vijay's edits 80 mV ± 15%.</t>
  </si>
  <si>
    <t>Restored to 50mV as ICTRL went away and the 25mV centering also went away.</t>
  </si>
  <si>
    <t>Vijay's edits. Used 120 mV ± 15% for min max. Check after char data to see if it is ok.</t>
  </si>
  <si>
    <t>Edited by Vijay from 96% to 90% to match datasheet calculations.</t>
  </si>
  <si>
    <t xml:space="preserve">Note: min/max are not really being used in calculations. So irrelevant if variation small.  </t>
  </si>
  <si>
    <t>Vijay's simplification</t>
  </si>
  <si>
    <t>Vijay's simplication to match datasheet calculation.</t>
  </si>
  <si>
    <t>Cc2 calculation updated to place at 5-10x the crossover. Vijay 10/7/2016</t>
  </si>
  <si>
    <t>Vijay Edit. Changed from Fcross/2 to 1.5x of Fp_dominant</t>
  </si>
  <si>
    <t>LM5176 DC/DC Controller Design Tool</t>
  </si>
  <si>
    <t>Vijay verified that this calculation (Vinmax) are correct for OCP.</t>
  </si>
  <si>
    <t>** Tie MODE to VCC (or voltage &gt; 2.4V) for No Hiccup **</t>
  </si>
  <si>
    <t>http://www.ti.com/product/lm5176</t>
  </si>
  <si>
    <t>LM5176</t>
  </si>
  <si>
    <t>IC, LM5176, Buck-Boost PWM Controller</t>
  </si>
  <si>
    <t>LM5176PWP</t>
  </si>
  <si>
    <t>Set Const Current Loop Setpoint (?)</t>
  </si>
  <si>
    <t>1.9uA kept by Vijay based on lab data (2017/5/05)</t>
  </si>
  <si>
    <t>changed to 4.95uA by Vijay on 5/5/2017</t>
  </si>
  <si>
    <t>4.95uA if UVLO =1.5V</t>
  </si>
  <si>
    <t>3.05uA hysteresis current</t>
  </si>
  <si>
    <t>Version Number</t>
  </si>
  <si>
    <t>1.0.0</t>
  </si>
  <si>
    <t>Version History</t>
  </si>
  <si>
    <t>Version</t>
  </si>
  <si>
    <t>Change List Description</t>
  </si>
  <si>
    <t>Initial Release</t>
  </si>
  <si>
    <t>1.0.1</t>
  </si>
  <si>
    <t>Calculated inductance for 30% ripple at VIN(max)</t>
  </si>
  <si>
    <t>anerage of calculated inductances at VIN(min) and VIN(nom)</t>
  </si>
  <si>
    <t>Fixed display of comments, optimized proposal of inductor</t>
  </si>
  <si>
    <t>1.0.2</t>
  </si>
  <si>
    <t>Fixed calculation of Peak Inductor Current, ILPK</t>
  </si>
  <si>
    <t>February  2026</t>
  </si>
  <si>
    <t>V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</si>
</sst>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0">
    <numFmt numFmtId="176" formatCode="_(* #,##0.00_);_(* \(#,##0.00\);_(* &quot;-&quot;??_);_(@_)"/>
    <numFmt numFmtId="177" formatCode="0.000000"/>
    <numFmt numFmtId="178" formatCode="0.00000"/>
    <numFmt numFmtId="179" formatCode="0.0000"/>
    <numFmt numFmtId="180" formatCode="0.000"/>
    <numFmt numFmtId="181" formatCode="0.0"/>
    <numFmt numFmtId="182" formatCode="0.000E+00"/>
    <numFmt numFmtId="183" formatCode="0.00000000"/>
    <numFmt numFmtId="184" formatCode="#0.0#"/>
    <numFmt numFmtId="185" formatCode="General&quot;nF&quot;"/>
    <numFmt numFmtId="186" formatCode="General&quot;k&quot;"/>
    <numFmt numFmtId="187" formatCode="General&quot;pF&quot;"/>
    <numFmt numFmtId="188" formatCode="General&quot;µF&quot;"/>
    <numFmt numFmtId="189" formatCode="&quot;Capacitor, Ceramic, &quot;General&quot;-µF, 25V, X5R, 20%&quot;"/>
    <numFmt numFmtId="190" formatCode="&quot;Capacitor, Ceramic, &quot;General&quot;-pF, 50V, NP0, 5%&quot;"/>
    <numFmt numFmtId="191" formatCode="&quot;Capacitor, Ceramic, &quot;General&quot;-nF, 16V, X7R, 10%&quot;"/>
    <numFmt numFmtId="192" formatCode="&quot;Capacitor, Ceramic, &quot;General&quot;-pF, 16V, X7R, 10%&quot;"/>
    <numFmt numFmtId="193" formatCode="&quot;Capacitor, Ceramic, &quot;General&quot;-µF, 25V, X7R, 20%&quot;"/>
    <numFmt numFmtId="194" formatCode="General&quot;µH&quot;"/>
    <numFmt numFmtId="195" formatCode="&quot;Inductor, &quot;General&quot;-µH, 10%&quot;"/>
    <numFmt numFmtId="196" formatCode="&quot;Resistor, Chip, &quot;General&quot;-kΩ, 1/16W, 1%&quot;"/>
    <numFmt numFmtId="197" formatCode="&quot;Resistor, Chip, &quot;General&quot;-Ω, 1/16W, 1%&quot;"/>
    <numFmt numFmtId="198" formatCode="0.E+00"/>
    <numFmt numFmtId="199" formatCode="0.0%"/>
    <numFmt numFmtId="200" formatCode="0.0E+00"/>
    <numFmt numFmtId="201" formatCode="&quot;MOSFET, N-CH, 60V, &quot;General&quot;mΩ&quot;"/>
    <numFmt numFmtId="202" formatCode="General&quot;m&quot;"/>
    <numFmt numFmtId="203" formatCode="&quot;Capacitor, Ceramic, &quot;General&quot;-µF, 50V, X7R, 20%&quot;"/>
    <numFmt numFmtId="204" formatCode="&quot;Capacitor, Ceramic, &quot;General&quot;-µF, 100V, X7R, 20%&quot;"/>
    <numFmt numFmtId="205" formatCode="&quot;Resistor, Chip, &quot;General&quot;-mΩ, 2W, 1%&quot;"/>
  </numFmts>
  <fonts count="99" x14ac:knownFonts="1">
    <font>
      <sz val="10"/>
      <name val="Arial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22"/>
      <color indexed="44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u/>
      <sz val="10"/>
      <color indexed="12"/>
      <name val="Arial"/>
      <family val="2"/>
    </font>
    <font>
      <b/>
      <sz val="16"/>
      <name val="Arial"/>
      <family val="2"/>
    </font>
    <font>
      <sz val="10"/>
      <color indexed="44"/>
      <name val="Arial"/>
      <family val="2"/>
    </font>
    <font>
      <b/>
      <sz val="28"/>
      <color indexed="44"/>
      <name val="Arial"/>
      <family val="2"/>
    </font>
    <font>
      <b/>
      <sz val="10"/>
      <color indexed="44"/>
      <name val="Arial"/>
      <family val="2"/>
    </font>
    <font>
      <sz val="10"/>
      <color indexed="8"/>
      <name val="Arial"/>
      <family val="2"/>
    </font>
    <font>
      <b/>
      <sz val="24"/>
      <color indexed="44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indexed="55"/>
      <name val="Calibri"/>
      <family val="2"/>
    </font>
    <font>
      <b/>
      <sz val="10"/>
      <color indexed="9"/>
      <name val="Calibri"/>
      <family val="2"/>
    </font>
    <font>
      <b/>
      <sz val="12"/>
      <color indexed="48"/>
      <name val="Arial"/>
      <family val="2"/>
    </font>
    <font>
      <b/>
      <sz val="12"/>
      <color indexed="12"/>
      <name val="Arial"/>
      <family val="2"/>
    </font>
    <font>
      <sz val="10"/>
      <color indexed="23"/>
      <name val="Calibri"/>
      <family val="2"/>
    </font>
    <font>
      <b/>
      <sz val="12"/>
      <color indexed="9"/>
      <name val="Calibri"/>
      <family val="2"/>
    </font>
    <font>
      <sz val="12"/>
      <name val="Calibri"/>
      <family val="2"/>
    </font>
    <font>
      <b/>
      <sz val="22"/>
      <color indexed="9"/>
      <name val="Calibri"/>
      <family val="2"/>
    </font>
    <font>
      <b/>
      <sz val="10"/>
      <color indexed="13"/>
      <name val="Calibri"/>
      <family val="2"/>
    </font>
    <font>
      <b/>
      <u/>
      <sz val="10"/>
      <color indexed="10"/>
      <name val="Arial"/>
      <family val="2"/>
    </font>
    <font>
      <sz val="10"/>
      <color indexed="56"/>
      <name val="Calibri"/>
      <family val="2"/>
    </font>
    <font>
      <sz val="10"/>
      <color indexed="8"/>
      <name val="Arial"/>
      <family val="2"/>
    </font>
    <font>
      <b/>
      <sz val="14"/>
      <color indexed="9"/>
      <name val="Calibri"/>
      <family val="2"/>
    </font>
    <font>
      <sz val="11"/>
      <color indexed="81"/>
      <name val="Tahoma"/>
      <family val="2"/>
    </font>
    <font>
      <b/>
      <i/>
      <sz val="14"/>
      <color indexed="12"/>
      <name val="Calibri"/>
      <family val="2"/>
    </font>
    <font>
      <b/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u/>
      <sz val="8"/>
      <color indexed="81"/>
      <name val="Tahoma"/>
      <family val="2"/>
    </font>
    <font>
      <b/>
      <u/>
      <sz val="9"/>
      <color indexed="81"/>
      <name val="Tahoma"/>
      <family val="2"/>
    </font>
    <font>
      <b/>
      <sz val="9"/>
      <color indexed="10"/>
      <name val="Tahoma"/>
      <family val="2"/>
    </font>
    <font>
      <sz val="10"/>
      <color indexed="81"/>
      <name val="Tahoma"/>
      <family val="2"/>
    </font>
    <font>
      <sz val="9"/>
      <color indexed="39"/>
      <name val="Tahoma"/>
      <family val="2"/>
    </font>
    <font>
      <b/>
      <sz val="9"/>
      <color indexed="39"/>
      <name val="Tahoma"/>
      <family val="2"/>
    </font>
    <font>
      <b/>
      <vertAlign val="subscript"/>
      <sz val="9"/>
      <color indexed="81"/>
      <name val="Tahoma"/>
      <family val="2"/>
    </font>
    <font>
      <vertAlign val="subscript"/>
      <sz val="9"/>
      <color indexed="81"/>
      <name val="Tahoma"/>
      <family val="2"/>
    </font>
    <font>
      <b/>
      <sz val="8"/>
      <color indexed="10"/>
      <name val="Tahoma"/>
      <family val="2"/>
    </font>
    <font>
      <b/>
      <vertAlign val="subscript"/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0"/>
      <color indexed="81"/>
      <name val="Calibri"/>
      <family val="2"/>
    </font>
    <font>
      <sz val="36"/>
      <color rgb="FFFF0000"/>
      <name val="Arial"/>
      <family val="2"/>
    </font>
    <font>
      <sz val="32"/>
      <color theme="0"/>
      <name val="Arial"/>
      <family val="2"/>
    </font>
    <font>
      <sz val="16"/>
      <color theme="0"/>
      <name val="Arial"/>
      <family val="2"/>
    </font>
    <font>
      <b/>
      <vertAlign val="subscript"/>
      <sz val="10"/>
      <name val="Arial"/>
      <family val="2"/>
    </font>
    <font>
      <sz val="10"/>
      <color indexed="23"/>
      <name val="Arial"/>
      <family val="2"/>
    </font>
    <font>
      <sz val="10"/>
      <color indexed="55"/>
      <name val="Arial"/>
      <family val="2"/>
    </font>
    <font>
      <b/>
      <i/>
      <sz val="10"/>
      <color indexed="55"/>
      <name val="Arial"/>
      <family val="2"/>
    </font>
    <font>
      <b/>
      <i/>
      <sz val="14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9"/>
      <name val="Arial"/>
      <family val="2"/>
    </font>
    <font>
      <b/>
      <sz val="10"/>
      <color rgb="FFFF0000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rgb="FF0000FF"/>
      <name val="Calibri"/>
      <family val="2"/>
    </font>
    <font>
      <b/>
      <vertAlign val="subscript"/>
      <sz val="10"/>
      <color rgb="FF0000FF"/>
      <name val="Arial"/>
      <family val="2"/>
    </font>
    <font>
      <b/>
      <sz val="12"/>
      <color rgb="FF003366"/>
      <name val="Calibri"/>
      <family val="2"/>
    </font>
    <font>
      <sz val="10"/>
      <name val="Symbol"/>
      <family val="1"/>
      <charset val="2"/>
    </font>
    <font>
      <b/>
      <sz val="10"/>
      <color indexed="9"/>
      <name val="Arial"/>
      <family val="2"/>
    </font>
    <font>
      <b/>
      <sz val="12"/>
      <color rgb="FF0000FF"/>
      <name val="Arial"/>
      <family val="2"/>
    </font>
    <font>
      <b/>
      <u/>
      <sz val="10"/>
      <name val="Arial"/>
      <family val="2"/>
    </font>
    <font>
      <u/>
      <sz val="9"/>
      <color indexed="12"/>
      <name val="Tahoma"/>
      <family val="2"/>
    </font>
    <font>
      <vertAlign val="superscript"/>
      <sz val="10"/>
      <name val="Arial"/>
      <family val="2"/>
    </font>
    <font>
      <vertAlign val="subscript"/>
      <sz val="10"/>
      <color theme="1"/>
      <name val="Arial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vertAlign val="subscript"/>
      <sz val="10"/>
      <color rgb="FFFF0000"/>
      <name val="Arial"/>
      <family val="2"/>
    </font>
    <font>
      <b/>
      <sz val="10"/>
      <name val="Symbol"/>
      <family val="1"/>
      <charset val="2"/>
    </font>
    <font>
      <b/>
      <i/>
      <u/>
      <sz val="10"/>
      <color rgb="FF0000FF"/>
      <name val="Arial"/>
      <family val="2"/>
    </font>
    <font>
      <sz val="10"/>
      <color theme="0"/>
      <name val="Arial"/>
      <family val="2"/>
    </font>
    <font>
      <u/>
      <sz val="10"/>
      <color theme="0" tint="-0.499984740745262"/>
      <name val="Arial"/>
      <family val="2"/>
    </font>
    <font>
      <b/>
      <sz val="12"/>
      <color indexed="10"/>
      <name val="Tahoma"/>
      <family val="2"/>
    </font>
    <font>
      <b/>
      <sz val="10"/>
      <color rgb="FFFF00FF"/>
      <name val="Arial"/>
      <family val="2"/>
    </font>
    <font>
      <b/>
      <sz val="10"/>
      <color rgb="FFC00000"/>
      <name val="Arial"/>
      <family val="2"/>
    </font>
    <font>
      <b/>
      <vertAlign val="subscript"/>
      <sz val="9"/>
      <color indexed="10"/>
      <name val="Tahoma"/>
      <family val="2"/>
    </font>
    <font>
      <b/>
      <sz val="9"/>
      <color indexed="14"/>
      <name val="Tahoma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u/>
      <sz val="11"/>
      <color theme="10"/>
      <name val="宋体"/>
      <family val="2"/>
      <scheme val="minor"/>
    </font>
    <font>
      <b/>
      <u/>
      <sz val="10"/>
      <color theme="10"/>
      <name val="Arial"/>
      <family val="2"/>
    </font>
    <font>
      <b/>
      <sz val="10"/>
      <color theme="0"/>
      <name val="Arial"/>
      <family val="2"/>
    </font>
    <font>
      <b/>
      <u/>
      <sz val="11"/>
      <color theme="10"/>
      <name val="Arial"/>
      <family val="2"/>
    </font>
    <font>
      <sz val="9"/>
      <name val="宋体"/>
      <family val="3"/>
      <charset val="134"/>
    </font>
  </fonts>
  <fills count="2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E0000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55"/>
      </top>
      <bottom/>
      <diagonal/>
    </border>
    <border>
      <left/>
      <right/>
      <top/>
      <bottom style="medium">
        <color indexed="55"/>
      </bottom>
      <diagonal/>
    </border>
    <border>
      <left/>
      <right style="medium">
        <color indexed="55"/>
      </right>
      <top style="medium">
        <color indexed="55"/>
      </top>
      <bottom/>
      <diagonal/>
    </border>
    <border>
      <left/>
      <right style="medium">
        <color indexed="55"/>
      </right>
      <top/>
      <bottom/>
      <diagonal/>
    </border>
    <border>
      <left/>
      <right style="medium">
        <color indexed="55"/>
      </right>
      <top/>
      <bottom style="medium">
        <color indexed="55"/>
      </bottom>
      <diagonal/>
    </border>
    <border>
      <left style="medium">
        <color indexed="55"/>
      </left>
      <right/>
      <top style="medium">
        <color indexed="55"/>
      </top>
      <bottom/>
      <diagonal/>
    </border>
    <border>
      <left style="medium">
        <color indexed="55"/>
      </left>
      <right/>
      <top/>
      <bottom/>
      <diagonal/>
    </border>
    <border>
      <left style="medium">
        <color indexed="55"/>
      </left>
      <right/>
      <top/>
      <bottom style="medium">
        <color indexed="55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55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8">
    <xf numFmtId="0" fontId="0" fillId="0" borderId="0"/>
    <xf numFmtId="176" fontId="3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" fillId="0" borderId="0"/>
    <xf numFmtId="176" fontId="2" fillId="0" borderId="0" applyFont="0" applyFill="0" applyBorder="0" applyAlignment="0" applyProtection="0"/>
    <xf numFmtId="0" fontId="1" fillId="0" borderId="0"/>
    <xf numFmtId="0" fontId="94" fillId="0" borderId="0" applyNumberFormat="0" applyFill="0" applyBorder="0" applyAlignment="0" applyProtection="0"/>
  </cellStyleXfs>
  <cellXfs count="747">
    <xf numFmtId="0" fontId="0" fillId="0" borderId="0" xfId="0"/>
    <xf numFmtId="0" fontId="8" fillId="0" borderId="0" xfId="0" applyFont="1"/>
    <xf numFmtId="0" fontId="4" fillId="0" borderId="0" xfId="0" applyFont="1"/>
    <xf numFmtId="0" fontId="9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182" fontId="0" fillId="0" borderId="0" xfId="0" applyNumberFormat="1"/>
    <xf numFmtId="10" fontId="0" fillId="0" borderId="0" xfId="0" applyNumberFormat="1"/>
    <xf numFmtId="0" fontId="15" fillId="3" borderId="0" xfId="0" applyFont="1" applyFill="1" applyAlignment="1">
      <alignment horizontal="right"/>
    </xf>
    <xf numFmtId="0" fontId="15" fillId="3" borderId="0" xfId="0" applyFont="1" applyFill="1"/>
    <xf numFmtId="0" fontId="0" fillId="4" borderId="2" xfId="0" applyFill="1" applyBorder="1"/>
    <xf numFmtId="0" fontId="17" fillId="3" borderId="4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0" fontId="4" fillId="5" borderId="11" xfId="0" applyFont="1" applyFill="1" applyBorder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0" fillId="6" borderId="12" xfId="0" applyFill="1" applyBorder="1"/>
    <xf numFmtId="0" fontId="0" fillId="0" borderId="11" xfId="0" applyBorder="1"/>
    <xf numFmtId="0" fontId="0" fillId="6" borderId="11" xfId="0" applyFill="1" applyBorder="1"/>
    <xf numFmtId="0" fontId="0" fillId="4" borderId="11" xfId="0" applyFill="1" applyBorder="1"/>
    <xf numFmtId="0" fontId="4" fillId="5" borderId="0" xfId="0" applyFont="1" applyFill="1"/>
    <xf numFmtId="0" fontId="0" fillId="6" borderId="0" xfId="0" applyFill="1"/>
    <xf numFmtId="0" fontId="0" fillId="0" borderId="13" xfId="0" applyBorder="1"/>
    <xf numFmtId="0" fontId="9" fillId="2" borderId="0" xfId="0" applyFont="1" applyFill="1"/>
    <xf numFmtId="0" fontId="0" fillId="6" borderId="13" xfId="0" applyFill="1" applyBorder="1"/>
    <xf numFmtId="0" fontId="0" fillId="4" borderId="0" xfId="0" applyFill="1"/>
    <xf numFmtId="11" fontId="0" fillId="0" borderId="0" xfId="0" applyNumberFormat="1"/>
    <xf numFmtId="0" fontId="13" fillId="3" borderId="0" xfId="0" applyFont="1" applyFill="1"/>
    <xf numFmtId="0" fontId="0" fillId="4" borderId="12" xfId="0" applyFill="1" applyBorder="1"/>
    <xf numFmtId="0" fontId="0" fillId="4" borderId="14" xfId="0" applyFill="1" applyBorder="1"/>
    <xf numFmtId="0" fontId="4" fillId="4" borderId="11" xfId="0" applyFont="1" applyFill="1" applyBorder="1"/>
    <xf numFmtId="0" fontId="0" fillId="6" borderId="8" xfId="0" applyFill="1" applyBorder="1"/>
    <xf numFmtId="0" fontId="0" fillId="4" borderId="8" xfId="0" applyFill="1" applyBorder="1"/>
    <xf numFmtId="0" fontId="4" fillId="5" borderId="4" xfId="0" applyFont="1" applyFill="1" applyBorder="1"/>
    <xf numFmtId="0" fontId="0" fillId="2" borderId="14" xfId="0" applyFill="1" applyBorder="1"/>
    <xf numFmtId="0" fontId="0" fillId="2" borderId="13" xfId="0" applyFill="1" applyBorder="1"/>
    <xf numFmtId="0" fontId="0" fillId="2" borderId="12" xfId="0" applyFill="1" applyBorder="1"/>
    <xf numFmtId="0" fontId="0" fillId="8" borderId="0" xfId="0" applyFill="1"/>
    <xf numFmtId="0" fontId="16" fillId="0" borderId="0" xfId="0" applyFont="1"/>
    <xf numFmtId="0" fontId="0" fillId="10" borderId="0" xfId="0" applyFill="1"/>
    <xf numFmtId="0" fontId="0" fillId="0" borderId="0" xfId="0" applyAlignment="1">
      <alignment horizontal="right"/>
    </xf>
    <xf numFmtId="0" fontId="18" fillId="0" borderId="0" xfId="0" applyFont="1"/>
    <xf numFmtId="11" fontId="8" fillId="0" borderId="0" xfId="0" applyNumberFormat="1" applyFont="1"/>
    <xf numFmtId="0" fontId="0" fillId="11" borderId="0" xfId="0" applyFill="1"/>
    <xf numFmtId="181" fontId="0" fillId="0" borderId="0" xfId="0" applyNumberFormat="1"/>
    <xf numFmtId="0" fontId="4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0" fontId="4" fillId="12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178" fontId="0" fillId="0" borderId="0" xfId="0" applyNumberFormat="1"/>
    <xf numFmtId="184" fontId="18" fillId="3" borderId="0" xfId="0" applyNumberFormat="1" applyFont="1" applyFill="1" applyAlignment="1">
      <alignment horizontal="center"/>
    </xf>
    <xf numFmtId="184" fontId="26" fillId="3" borderId="0" xfId="0" applyNumberFormat="1" applyFont="1" applyFill="1" applyAlignment="1">
      <alignment horizontal="center"/>
    </xf>
    <xf numFmtId="0" fontId="0" fillId="0" borderId="28" xfId="0" applyBorder="1"/>
    <xf numFmtId="0" fontId="0" fillId="0" borderId="29" xfId="0" applyBorder="1"/>
    <xf numFmtId="0" fontId="9" fillId="0" borderId="28" xfId="0" applyFont="1" applyBorder="1"/>
    <xf numFmtId="0" fontId="0" fillId="13" borderId="0" xfId="0" applyFill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Border="1"/>
    <xf numFmtId="0" fontId="0" fillId="0" borderId="3" xfId="0" applyBorder="1"/>
    <xf numFmtId="0" fontId="8" fillId="0" borderId="28" xfId="0" applyFont="1" applyBorder="1"/>
    <xf numFmtId="0" fontId="4" fillId="0" borderId="28" xfId="0" applyFont="1" applyBorder="1"/>
    <xf numFmtId="11" fontId="0" fillId="13" borderId="0" xfId="0" applyNumberFormat="1" applyFill="1"/>
    <xf numFmtId="0" fontId="0" fillId="12" borderId="0" xfId="0" applyFill="1"/>
    <xf numFmtId="11" fontId="0" fillId="12" borderId="0" xfId="0" applyNumberFormat="1" applyFill="1"/>
    <xf numFmtId="0" fontId="0" fillId="0" borderId="31" xfId="0" applyBorder="1" applyAlignment="1">
      <alignment horizontal="right"/>
    </xf>
    <xf numFmtId="11" fontId="8" fillId="0" borderId="31" xfId="0" applyNumberFormat="1" applyFont="1" applyBorder="1"/>
    <xf numFmtId="11" fontId="0" fillId="4" borderId="0" xfId="0" applyNumberFormat="1" applyFill="1"/>
    <xf numFmtId="0" fontId="0" fillId="2" borderId="0" xfId="0" applyFill="1" applyProtection="1">
      <protection locked="0"/>
    </xf>
    <xf numFmtId="0" fontId="0" fillId="2" borderId="11" xfId="0" applyFill="1" applyBorder="1" applyProtection="1">
      <protection locked="0"/>
    </xf>
    <xf numFmtId="0" fontId="0" fillId="9" borderId="0" xfId="0" applyFill="1"/>
    <xf numFmtId="0" fontId="0" fillId="0" borderId="8" xfId="0" applyBorder="1"/>
    <xf numFmtId="0" fontId="0" fillId="4" borderId="13" xfId="0" applyFill="1" applyBorder="1"/>
    <xf numFmtId="0" fontId="0" fillId="7" borderId="11" xfId="0" applyFill="1" applyBorder="1"/>
    <xf numFmtId="0" fontId="16" fillId="7" borderId="11" xfId="0" applyFont="1" applyFill="1" applyBorder="1"/>
    <xf numFmtId="0" fontId="9" fillId="7" borderId="11" xfId="0" applyFont="1" applyFill="1" applyBorder="1"/>
    <xf numFmtId="0" fontId="9" fillId="9" borderId="11" xfId="0" applyFont="1" applyFill="1" applyBorder="1"/>
    <xf numFmtId="0" fontId="18" fillId="3" borderId="0" xfId="0" applyFont="1" applyFill="1"/>
    <xf numFmtId="0" fontId="19" fillId="9" borderId="0" xfId="0" applyFont="1" applyFill="1"/>
    <xf numFmtId="0" fontId="18" fillId="9" borderId="0" xfId="0" applyFont="1" applyFill="1" applyAlignment="1">
      <alignment horizontal="right"/>
    </xf>
    <xf numFmtId="0" fontId="19" fillId="9" borderId="0" xfId="0" applyFont="1" applyFill="1" applyAlignment="1">
      <alignment horizontal="right"/>
    </xf>
    <xf numFmtId="0" fontId="18" fillId="9" borderId="0" xfId="0" applyFont="1" applyFill="1"/>
    <xf numFmtId="0" fontId="26" fillId="15" borderId="19" xfId="0" applyFont="1" applyFill="1" applyBorder="1"/>
    <xf numFmtId="0" fontId="26" fillId="15" borderId="20" xfId="0" applyFont="1" applyFill="1" applyBorder="1"/>
    <xf numFmtId="0" fontId="26" fillId="3" borderId="0" xfId="0" applyFont="1" applyFill="1"/>
    <xf numFmtId="0" fontId="18" fillId="9" borderId="0" xfId="0" applyFont="1" applyFill="1" applyAlignment="1">
      <alignment horizontal="center"/>
    </xf>
    <xf numFmtId="0" fontId="18" fillId="9" borderId="0" xfId="0" applyFont="1" applyFill="1" applyAlignment="1">
      <alignment horizontal="left"/>
    </xf>
    <xf numFmtId="0" fontId="22" fillId="0" borderId="0" xfId="0" applyFont="1"/>
    <xf numFmtId="0" fontId="0" fillId="0" borderId="1" xfId="0" applyBorder="1"/>
    <xf numFmtId="0" fontId="4" fillId="0" borderId="1" xfId="0" applyFont="1" applyBorder="1"/>
    <xf numFmtId="0" fontId="0" fillId="0" borderId="2" xfId="0" applyBorder="1" applyAlignment="1">
      <alignment horizontal="right"/>
    </xf>
    <xf numFmtId="0" fontId="23" fillId="0" borderId="0" xfId="0" applyFont="1"/>
    <xf numFmtId="0" fontId="31" fillId="0" borderId="0" xfId="0" applyFont="1"/>
    <xf numFmtId="0" fontId="31" fillId="4" borderId="0" xfId="0" applyFont="1" applyFill="1"/>
    <xf numFmtId="0" fontId="22" fillId="0" borderId="38" xfId="0" applyFont="1" applyBorder="1"/>
    <xf numFmtId="0" fontId="0" fillId="0" borderId="33" xfId="0" applyBorder="1"/>
    <xf numFmtId="0" fontId="0" fillId="0" borderId="35" xfId="0" applyBorder="1"/>
    <xf numFmtId="0" fontId="9" fillId="0" borderId="39" xfId="0" applyFont="1" applyBorder="1"/>
    <xf numFmtId="0" fontId="0" fillId="0" borderId="36" xfId="0" applyBorder="1"/>
    <xf numFmtId="0" fontId="31" fillId="0" borderId="39" xfId="0" applyFont="1" applyBorder="1"/>
    <xf numFmtId="0" fontId="31" fillId="0" borderId="40" xfId="0" applyFont="1" applyBorder="1"/>
    <xf numFmtId="0" fontId="31" fillId="0" borderId="34" xfId="0" applyFont="1" applyBorder="1"/>
    <xf numFmtId="0" fontId="0" fillId="0" borderId="34" xfId="0" applyBorder="1"/>
    <xf numFmtId="0" fontId="0" fillId="0" borderId="37" xfId="0" applyBorder="1"/>
    <xf numFmtId="0" fontId="9" fillId="0" borderId="31" xfId="0" applyFont="1" applyBorder="1"/>
    <xf numFmtId="0" fontId="9" fillId="13" borderId="0" xfId="0" applyFont="1" applyFill="1"/>
    <xf numFmtId="0" fontId="18" fillId="9" borderId="29" xfId="0" applyFont="1" applyFill="1" applyBorder="1"/>
    <xf numFmtId="0" fontId="20" fillId="9" borderId="0" xfId="0" applyFont="1" applyFill="1"/>
    <xf numFmtId="180" fontId="18" fillId="9" borderId="0" xfId="0" applyNumberFormat="1" applyFont="1" applyFill="1"/>
    <xf numFmtId="183" fontId="18" fillId="9" borderId="0" xfId="0" applyNumberFormat="1" applyFont="1" applyFill="1"/>
    <xf numFmtId="179" fontId="18" fillId="9" borderId="0" xfId="0" applyNumberFormat="1" applyFont="1" applyFill="1"/>
    <xf numFmtId="2" fontId="31" fillId="12" borderId="0" xfId="0" applyNumberFormat="1" applyFont="1" applyFill="1"/>
    <xf numFmtId="0" fontId="18" fillId="16" borderId="0" xfId="0" applyFont="1" applyFill="1"/>
    <xf numFmtId="0" fontId="3" fillId="0" borderId="0" xfId="0" applyFont="1"/>
    <xf numFmtId="2" fontId="3" fillId="0" borderId="0" xfId="0" quotePrefix="1" applyNumberFormat="1" applyFont="1"/>
    <xf numFmtId="0" fontId="0" fillId="0" borderId="0" xfId="0" applyAlignment="1">
      <alignment horizontal="left"/>
    </xf>
    <xf numFmtId="0" fontId="3" fillId="0" borderId="2" xfId="0" applyFont="1" applyBorder="1"/>
    <xf numFmtId="0" fontId="3" fillId="0" borderId="31" xfId="0" applyFont="1" applyBorder="1"/>
    <xf numFmtId="0" fontId="34" fillId="9" borderId="0" xfId="0" applyFont="1" applyFill="1"/>
    <xf numFmtId="0" fontId="21" fillId="19" borderId="0" xfId="0" applyFont="1" applyFill="1" applyAlignment="1">
      <alignment vertical="center"/>
    </xf>
    <xf numFmtId="0" fontId="0" fillId="18" borderId="0" xfId="0" applyFill="1"/>
    <xf numFmtId="0" fontId="54" fillId="18" borderId="0" xfId="0" applyFont="1" applyFill="1"/>
    <xf numFmtId="0" fontId="24" fillId="9" borderId="0" xfId="0" applyFont="1" applyFill="1" applyAlignment="1">
      <alignment horizontal="right"/>
    </xf>
    <xf numFmtId="0" fontId="4" fillId="9" borderId="0" xfId="0" applyFont="1" applyFill="1" applyAlignment="1">
      <alignment horizontal="right"/>
    </xf>
    <xf numFmtId="0" fontId="3" fillId="9" borderId="0" xfId="0" applyFont="1" applyFill="1" applyAlignment="1">
      <alignment horizontal="right"/>
    </xf>
    <xf numFmtId="0" fontId="3" fillId="9" borderId="31" xfId="0" applyFont="1" applyFill="1" applyBorder="1" applyAlignment="1">
      <alignment horizontal="right"/>
    </xf>
    <xf numFmtId="0" fontId="3" fillId="9" borderId="28" xfId="0" applyFont="1" applyFill="1" applyBorder="1"/>
    <xf numFmtId="0" fontId="3" fillId="9" borderId="0" xfId="0" applyFont="1" applyFill="1"/>
    <xf numFmtId="0" fontId="4" fillId="19" borderId="0" xfId="0" applyFont="1" applyFill="1" applyProtection="1">
      <protection locked="0"/>
    </xf>
    <xf numFmtId="0" fontId="57" fillId="9" borderId="0" xfId="0" applyFont="1" applyFill="1"/>
    <xf numFmtId="1" fontId="4" fillId="19" borderId="0" xfId="0" applyNumberFormat="1" applyFont="1" applyFill="1" applyProtection="1">
      <protection locked="0"/>
    </xf>
    <xf numFmtId="0" fontId="58" fillId="9" borderId="0" xfId="0" applyFont="1" applyFill="1"/>
    <xf numFmtId="0" fontId="7" fillId="9" borderId="0" xfId="0" applyFont="1" applyFill="1" applyAlignment="1">
      <alignment horizontal="right"/>
    </xf>
    <xf numFmtId="0" fontId="56" fillId="9" borderId="0" xfId="0" applyFont="1" applyFill="1"/>
    <xf numFmtId="0" fontId="59" fillId="9" borderId="0" xfId="0" applyFont="1" applyFill="1"/>
    <xf numFmtId="0" fontId="4" fillId="9" borderId="0" xfId="0" applyFont="1" applyFill="1"/>
    <xf numFmtId="181" fontId="4" fillId="9" borderId="0" xfId="0" applyNumberFormat="1" applyFont="1" applyFill="1"/>
    <xf numFmtId="0" fontId="3" fillId="16" borderId="0" xfId="0" applyFont="1" applyFill="1"/>
    <xf numFmtId="0" fontId="4" fillId="9" borderId="28" xfId="0" applyFont="1" applyFill="1" applyBorder="1"/>
    <xf numFmtId="0" fontId="59" fillId="16" borderId="0" xfId="0" applyFont="1" applyFill="1"/>
    <xf numFmtId="1" fontId="56" fillId="9" borderId="0" xfId="0" applyNumberFormat="1" applyFont="1" applyFill="1" applyAlignment="1">
      <alignment horizontal="right"/>
    </xf>
    <xf numFmtId="0" fontId="61" fillId="15" borderId="19" xfId="0" applyFont="1" applyFill="1" applyBorder="1"/>
    <xf numFmtId="0" fontId="59" fillId="9" borderId="0" xfId="0" applyFont="1" applyFill="1" applyAlignment="1">
      <alignment vertical="center"/>
    </xf>
    <xf numFmtId="0" fontId="8" fillId="9" borderId="0" xfId="0" applyFont="1" applyFill="1" applyAlignment="1">
      <alignment horizontal="right"/>
    </xf>
    <xf numFmtId="181" fontId="8" fillId="9" borderId="0" xfId="0" applyNumberFormat="1" applyFont="1" applyFill="1"/>
    <xf numFmtId="0" fontId="8" fillId="9" borderId="0" xfId="0" applyFont="1" applyFill="1"/>
    <xf numFmtId="0" fontId="3" fillId="16" borderId="0" xfId="0" applyFont="1" applyFill="1" applyAlignment="1">
      <alignment horizontal="left"/>
    </xf>
    <xf numFmtId="1" fontId="3" fillId="16" borderId="0" xfId="0" applyNumberFormat="1" applyFont="1" applyFill="1" applyAlignment="1">
      <alignment horizontal="right"/>
    </xf>
    <xf numFmtId="0" fontId="4" fillId="9" borderId="0" xfId="0" applyFont="1" applyFill="1" applyAlignment="1">
      <alignment horizontal="left"/>
    </xf>
    <xf numFmtId="0" fontId="62" fillId="9" borderId="0" xfId="0" applyFont="1" applyFill="1"/>
    <xf numFmtId="0" fontId="3" fillId="9" borderId="0" xfId="0" applyFont="1" applyFill="1" applyAlignment="1">
      <alignment horizontal="left"/>
    </xf>
    <xf numFmtId="0" fontId="60" fillId="19" borderId="0" xfId="0" applyFont="1" applyFill="1" applyAlignment="1" applyProtection="1">
      <alignment horizontal="right"/>
      <protection locked="0" hidden="1"/>
    </xf>
    <xf numFmtId="0" fontId="63" fillId="15" borderId="19" xfId="0" applyFont="1" applyFill="1" applyBorder="1"/>
    <xf numFmtId="0" fontId="23" fillId="9" borderId="28" xfId="0" applyFont="1" applyFill="1" applyBorder="1"/>
    <xf numFmtId="1" fontId="3" fillId="9" borderId="0" xfId="0" applyNumberFormat="1" applyFont="1" applyFill="1"/>
    <xf numFmtId="0" fontId="65" fillId="9" borderId="0" xfId="0" applyFont="1" applyFill="1" applyAlignment="1">
      <alignment horizontal="right"/>
    </xf>
    <xf numFmtId="0" fontId="3" fillId="9" borderId="2" xfId="0" applyFont="1" applyFill="1" applyBorder="1"/>
    <xf numFmtId="0" fontId="3" fillId="9" borderId="2" xfId="0" applyFont="1" applyFill="1" applyBorder="1" applyAlignment="1">
      <alignment horizontal="right"/>
    </xf>
    <xf numFmtId="0" fontId="65" fillId="9" borderId="2" xfId="0" applyFont="1" applyFill="1" applyBorder="1" applyAlignment="1">
      <alignment horizontal="right"/>
    </xf>
    <xf numFmtId="0" fontId="4" fillId="9" borderId="3" xfId="0" applyFont="1" applyFill="1" applyBorder="1"/>
    <xf numFmtId="0" fontId="4" fillId="9" borderId="29" xfId="0" applyFont="1" applyFill="1" applyBorder="1"/>
    <xf numFmtId="0" fontId="3" fillId="9" borderId="30" xfId="0" applyFont="1" applyFill="1" applyBorder="1"/>
    <xf numFmtId="0" fontId="3" fillId="9" borderId="31" xfId="0" applyFont="1" applyFill="1" applyBorder="1"/>
    <xf numFmtId="0" fontId="3" fillId="9" borderId="32" xfId="0" applyFont="1" applyFill="1" applyBorder="1"/>
    <xf numFmtId="0" fontId="3" fillId="9" borderId="3" xfId="0" applyFont="1" applyFill="1" applyBorder="1"/>
    <xf numFmtId="0" fontId="3" fillId="9" borderId="29" xfId="0" applyFont="1" applyFill="1" applyBorder="1"/>
    <xf numFmtId="181" fontId="3" fillId="9" borderId="31" xfId="0" applyNumberFormat="1" applyFont="1" applyFill="1" applyBorder="1"/>
    <xf numFmtId="0" fontId="4" fillId="9" borderId="2" xfId="0" applyFont="1" applyFill="1" applyBorder="1"/>
    <xf numFmtId="0" fontId="4" fillId="9" borderId="2" xfId="0" applyFont="1" applyFill="1" applyBorder="1" applyAlignment="1">
      <alignment horizontal="right"/>
    </xf>
    <xf numFmtId="1" fontId="4" fillId="19" borderId="2" xfId="0" applyNumberFormat="1" applyFont="1" applyFill="1" applyBorder="1" applyProtection="1">
      <protection locked="0"/>
    </xf>
    <xf numFmtId="0" fontId="3" fillId="16" borderId="41" xfId="0" applyFont="1" applyFill="1" applyBorder="1" applyAlignment="1">
      <alignment horizontal="left"/>
    </xf>
    <xf numFmtId="0" fontId="60" fillId="19" borderId="41" xfId="0" applyFont="1" applyFill="1" applyBorder="1" applyAlignment="1" applyProtection="1">
      <alignment horizontal="right"/>
      <protection locked="0" hidden="1"/>
    </xf>
    <xf numFmtId="0" fontId="60" fillId="9" borderId="42" xfId="0" applyFont="1" applyFill="1" applyBorder="1" applyAlignment="1">
      <alignment horizontal="left"/>
    </xf>
    <xf numFmtId="0" fontId="60" fillId="9" borderId="29" xfId="0" applyFont="1" applyFill="1" applyBorder="1" applyAlignment="1">
      <alignment horizontal="left"/>
    </xf>
    <xf numFmtId="0" fontId="4" fillId="9" borderId="43" xfId="0" applyFont="1" applyFill="1" applyBorder="1" applyAlignment="1">
      <alignment horizontal="center"/>
    </xf>
    <xf numFmtId="0" fontId="4" fillId="9" borderId="28" xfId="0" applyFont="1" applyFill="1" applyBorder="1" applyAlignment="1">
      <alignment horizontal="center"/>
    </xf>
    <xf numFmtId="0" fontId="4" fillId="9" borderId="43" xfId="0" applyFont="1" applyFill="1" applyBorder="1"/>
    <xf numFmtId="0" fontId="4" fillId="9" borderId="41" xfId="0" applyFont="1" applyFill="1" applyBorder="1"/>
    <xf numFmtId="0" fontId="3" fillId="9" borderId="41" xfId="0" applyFont="1" applyFill="1" applyBorder="1"/>
    <xf numFmtId="0" fontId="3" fillId="9" borderId="42" xfId="0" applyFont="1" applyFill="1" applyBorder="1"/>
    <xf numFmtId="0" fontId="3" fillId="9" borderId="41" xfId="0" applyFont="1" applyFill="1" applyBorder="1" applyAlignment="1">
      <alignment vertical="center"/>
    </xf>
    <xf numFmtId="0" fontId="3" fillId="9" borderId="45" xfId="0" applyFont="1" applyFill="1" applyBorder="1"/>
    <xf numFmtId="0" fontId="4" fillId="9" borderId="45" xfId="0" applyFont="1" applyFill="1" applyBorder="1" applyAlignment="1">
      <alignment horizontal="right"/>
    </xf>
    <xf numFmtId="0" fontId="3" fillId="9" borderId="46" xfId="0" applyFont="1" applyFill="1" applyBorder="1"/>
    <xf numFmtId="0" fontId="3" fillId="16" borderId="45" xfId="0" applyFont="1" applyFill="1" applyBorder="1" applyAlignment="1">
      <alignment horizontal="left"/>
    </xf>
    <xf numFmtId="0" fontId="60" fillId="19" borderId="45" xfId="0" applyFont="1" applyFill="1" applyBorder="1" applyAlignment="1" applyProtection="1">
      <alignment horizontal="right"/>
      <protection locked="0" hidden="1"/>
    </xf>
    <xf numFmtId="0" fontId="60" fillId="9" borderId="46" xfId="0" applyFont="1" applyFill="1" applyBorder="1" applyAlignment="1">
      <alignment horizontal="left"/>
    </xf>
    <xf numFmtId="181" fontId="3" fillId="9" borderId="41" xfId="0" applyNumberFormat="1" applyFont="1" applyFill="1" applyBorder="1" applyAlignment="1">
      <alignment horizontal="left" vertical="center"/>
    </xf>
    <xf numFmtId="1" fontId="3" fillId="9" borderId="45" xfId="0" applyNumberFormat="1" applyFont="1" applyFill="1" applyBorder="1" applyAlignment="1">
      <alignment horizontal="left" vertical="center"/>
    </xf>
    <xf numFmtId="0" fontId="23" fillId="9" borderId="28" xfId="0" applyFont="1" applyFill="1" applyBorder="1" applyAlignment="1">
      <alignment vertical="center"/>
    </xf>
    <xf numFmtId="0" fontId="3" fillId="9" borderId="43" xfId="0" applyFont="1" applyFill="1" applyBorder="1"/>
    <xf numFmtId="0" fontId="3" fillId="16" borderId="28" xfId="0" applyFont="1" applyFill="1" applyBorder="1"/>
    <xf numFmtId="1" fontId="4" fillId="16" borderId="28" xfId="0" applyNumberFormat="1" applyFont="1" applyFill="1" applyBorder="1" applyAlignment="1">
      <alignment horizontal="right" vertical="center"/>
    </xf>
    <xf numFmtId="0" fontId="61" fillId="15" borderId="47" xfId="0" applyFont="1" applyFill="1" applyBorder="1"/>
    <xf numFmtId="0" fontId="18" fillId="3" borderId="28" xfId="0" applyFont="1" applyFill="1" applyBorder="1"/>
    <xf numFmtId="184" fontId="18" fillId="18" borderId="0" xfId="0" applyNumberFormat="1" applyFont="1" applyFill="1" applyAlignment="1">
      <alignment horizontal="center"/>
    </xf>
    <xf numFmtId="0" fontId="18" fillId="18" borderId="0" xfId="0" applyFont="1" applyFill="1"/>
    <xf numFmtId="184" fontId="26" fillId="18" borderId="0" xfId="0" applyNumberFormat="1" applyFont="1" applyFill="1" applyAlignment="1">
      <alignment horizontal="center"/>
    </xf>
    <xf numFmtId="0" fontId="26" fillId="18" borderId="0" xfId="0" applyFont="1" applyFill="1"/>
    <xf numFmtId="0" fontId="3" fillId="16" borderId="0" xfId="0" applyFont="1" applyFill="1" applyProtection="1">
      <protection locked="0"/>
    </xf>
    <xf numFmtId="0" fontId="3" fillId="9" borderId="44" xfId="0" applyFont="1" applyFill="1" applyBorder="1"/>
    <xf numFmtId="0" fontId="4" fillId="9" borderId="45" xfId="0" applyFont="1" applyFill="1" applyBorder="1"/>
    <xf numFmtId="0" fontId="3" fillId="9" borderId="48" xfId="0" applyFont="1" applyFill="1" applyBorder="1"/>
    <xf numFmtId="0" fontId="69" fillId="9" borderId="0" xfId="0" applyFont="1" applyFill="1"/>
    <xf numFmtId="0" fontId="69" fillId="9" borderId="29" xfId="0" applyFont="1" applyFill="1" applyBorder="1"/>
    <xf numFmtId="184" fontId="69" fillId="18" borderId="0" xfId="0" applyNumberFormat="1" applyFont="1" applyFill="1" applyAlignment="1">
      <alignment horizontal="center"/>
    </xf>
    <xf numFmtId="0" fontId="69" fillId="18" borderId="0" xfId="0" applyFont="1" applyFill="1"/>
    <xf numFmtId="184" fontId="69" fillId="3" borderId="0" xfId="0" applyNumberFormat="1" applyFont="1" applyFill="1" applyAlignment="1">
      <alignment horizontal="center"/>
    </xf>
    <xf numFmtId="0" fontId="69" fillId="3" borderId="0" xfId="0" applyFont="1" applyFill="1"/>
    <xf numFmtId="0" fontId="67" fillId="9" borderId="41" xfId="0" applyFont="1" applyFill="1" applyBorder="1" applyAlignment="1">
      <alignment horizontal="right"/>
    </xf>
    <xf numFmtId="0" fontId="3" fillId="16" borderId="31" xfId="0" applyFont="1" applyFill="1" applyBorder="1"/>
    <xf numFmtId="0" fontId="18" fillId="9" borderId="31" xfId="0" applyFont="1" applyFill="1" applyBorder="1"/>
    <xf numFmtId="0" fontId="18" fillId="9" borderId="32" xfId="0" applyFont="1" applyFill="1" applyBorder="1"/>
    <xf numFmtId="0" fontId="68" fillId="9" borderId="28" xfId="0" applyFont="1" applyFill="1" applyBorder="1" applyAlignment="1">
      <alignment vertical="center"/>
    </xf>
    <xf numFmtId="0" fontId="67" fillId="9" borderId="0" xfId="0" applyFont="1" applyFill="1" applyAlignment="1">
      <alignment horizontal="right" vertical="center"/>
    </xf>
    <xf numFmtId="181" fontId="67" fillId="9" borderId="45" xfId="0" applyNumberFormat="1" applyFont="1" applyFill="1" applyBorder="1" applyAlignment="1">
      <alignment horizontal="center" vertical="center"/>
    </xf>
    <xf numFmtId="0" fontId="67" fillId="0" borderId="0" xfId="0" applyFont="1" applyAlignment="1">
      <alignment horizontal="left" vertical="center"/>
    </xf>
    <xf numFmtId="0" fontId="3" fillId="0" borderId="1" xfId="0" applyFont="1" applyBorder="1"/>
    <xf numFmtId="0" fontId="3" fillId="0" borderId="28" xfId="0" applyFont="1" applyBorder="1"/>
    <xf numFmtId="2" fontId="0" fillId="0" borderId="0" xfId="0" applyNumberFormat="1" applyAlignment="1">
      <alignment horizontal="right"/>
    </xf>
    <xf numFmtId="0" fontId="72" fillId="0" borderId="0" xfId="0" applyFont="1"/>
    <xf numFmtId="0" fontId="3" fillId="9" borderId="0" xfId="3" applyFill="1"/>
    <xf numFmtId="49" fontId="3" fillId="9" borderId="0" xfId="3" applyNumberFormat="1" applyFill="1"/>
    <xf numFmtId="0" fontId="12" fillId="9" borderId="0" xfId="3" applyFont="1" applyFill="1" applyAlignment="1">
      <alignment vertical="center"/>
    </xf>
    <xf numFmtId="0" fontId="3" fillId="20" borderId="18" xfId="3" applyFill="1" applyBorder="1" applyAlignment="1">
      <alignment horizontal="center" vertical="center"/>
    </xf>
    <xf numFmtId="0" fontId="3" fillId="9" borderId="18" xfId="3" applyFill="1" applyBorder="1" applyAlignment="1">
      <alignment horizontal="center" vertical="center"/>
    </xf>
    <xf numFmtId="0" fontId="3" fillId="9" borderId="11" xfId="3" applyFill="1" applyBorder="1" applyAlignment="1">
      <alignment vertical="center" wrapText="1"/>
    </xf>
    <xf numFmtId="0" fontId="3" fillId="9" borderId="11" xfId="3" applyFill="1" applyBorder="1" applyAlignment="1">
      <alignment horizontal="left" vertical="center"/>
    </xf>
    <xf numFmtId="0" fontId="3" fillId="9" borderId="0" xfId="3" applyFill="1" applyAlignment="1">
      <alignment vertical="center"/>
    </xf>
    <xf numFmtId="49" fontId="3" fillId="9" borderId="0" xfId="3" applyNumberFormat="1" applyFill="1" applyAlignment="1">
      <alignment vertical="center"/>
    </xf>
    <xf numFmtId="0" fontId="3" fillId="21" borderId="18" xfId="3" applyFill="1" applyBorder="1" applyAlignment="1">
      <alignment horizontal="center" vertical="center"/>
    </xf>
    <xf numFmtId="0" fontId="3" fillId="21" borderId="11" xfId="3" applyFill="1" applyBorder="1" applyAlignment="1">
      <alignment vertical="center" wrapText="1"/>
    </xf>
    <xf numFmtId="186" fontId="3" fillId="21" borderId="11" xfId="3" applyNumberFormat="1" applyFill="1" applyBorder="1" applyAlignment="1">
      <alignment horizontal="center" vertical="center"/>
    </xf>
    <xf numFmtId="0" fontId="3" fillId="21" borderId="11" xfId="3" quotePrefix="1" applyFill="1" applyBorder="1" applyAlignment="1">
      <alignment horizontal="left" vertical="center"/>
    </xf>
    <xf numFmtId="0" fontId="3" fillId="21" borderId="11" xfId="3" applyFill="1" applyBorder="1" applyAlignment="1">
      <alignment horizontal="left" vertical="center"/>
    </xf>
    <xf numFmtId="0" fontId="3" fillId="16" borderId="18" xfId="3" applyFill="1" applyBorder="1" applyAlignment="1">
      <alignment horizontal="center" vertical="center"/>
    </xf>
    <xf numFmtId="0" fontId="3" fillId="16" borderId="11" xfId="3" applyFill="1" applyBorder="1" applyAlignment="1">
      <alignment vertical="center" wrapText="1"/>
    </xf>
    <xf numFmtId="186" fontId="3" fillId="16" borderId="11" xfId="3" applyNumberFormat="1" applyFill="1" applyBorder="1" applyAlignment="1">
      <alignment horizontal="center" vertical="center"/>
    </xf>
    <xf numFmtId="0" fontId="3" fillId="16" borderId="11" xfId="3" quotePrefix="1" applyFill="1" applyBorder="1" applyAlignment="1">
      <alignment horizontal="left" vertical="center"/>
    </xf>
    <xf numFmtId="0" fontId="3" fillId="16" borderId="11" xfId="3" applyFill="1" applyBorder="1" applyAlignment="1">
      <alignment horizontal="left" vertical="center"/>
    </xf>
    <xf numFmtId="188" fontId="3" fillId="9" borderId="11" xfId="3" applyNumberFormat="1" applyFill="1" applyBorder="1" applyAlignment="1">
      <alignment horizontal="center" vertical="center"/>
    </xf>
    <xf numFmtId="0" fontId="3" fillId="9" borderId="15" xfId="3" applyFill="1" applyBorder="1" applyAlignment="1">
      <alignment horizontal="left" vertical="center"/>
    </xf>
    <xf numFmtId="49" fontId="3" fillId="9" borderId="11" xfId="3" applyNumberFormat="1" applyFill="1" applyBorder="1" applyAlignment="1">
      <alignment horizontal="left" vertical="center"/>
    </xf>
    <xf numFmtId="0" fontId="3" fillId="20" borderId="11" xfId="3" applyFill="1" applyBorder="1" applyAlignment="1">
      <alignment vertical="center" wrapText="1"/>
    </xf>
    <xf numFmtId="187" fontId="3" fillId="20" borderId="11" xfId="3" applyNumberFormat="1" applyFill="1" applyBorder="1" applyAlignment="1">
      <alignment horizontal="center" vertical="center"/>
    </xf>
    <xf numFmtId="0" fontId="3" fillId="20" borderId="15" xfId="3" applyFill="1" applyBorder="1" applyAlignment="1">
      <alignment horizontal="left" vertical="center"/>
    </xf>
    <xf numFmtId="0" fontId="3" fillId="20" borderId="11" xfId="3" quotePrefix="1" applyFill="1" applyBorder="1" applyAlignment="1">
      <alignment horizontal="left" vertical="center"/>
    </xf>
    <xf numFmtId="0" fontId="3" fillId="20" borderId="11" xfId="3" applyFill="1" applyBorder="1" applyAlignment="1">
      <alignment horizontal="left" vertical="center"/>
    </xf>
    <xf numFmtId="187" fontId="3" fillId="16" borderId="11" xfId="3" applyNumberFormat="1" applyFill="1" applyBorder="1" applyAlignment="1">
      <alignment horizontal="center" vertical="center"/>
    </xf>
    <xf numFmtId="0" fontId="3" fillId="16" borderId="15" xfId="3" applyFill="1" applyBorder="1" applyAlignment="1">
      <alignment horizontal="left" vertical="center"/>
    </xf>
    <xf numFmtId="188" fontId="3" fillId="16" borderId="11" xfId="3" applyNumberFormat="1" applyFill="1" applyBorder="1" applyAlignment="1">
      <alignment horizontal="center" vertical="center"/>
    </xf>
    <xf numFmtId="188" fontId="3" fillId="20" borderId="11" xfId="3" applyNumberFormat="1" applyFill="1" applyBorder="1" applyAlignment="1">
      <alignment horizontal="center" vertical="center"/>
    </xf>
    <xf numFmtId="185" fontId="3" fillId="20" borderId="11" xfId="3" applyNumberFormat="1" applyFill="1" applyBorder="1" applyAlignment="1">
      <alignment horizontal="center" vertical="center"/>
    </xf>
    <xf numFmtId="0" fontId="3" fillId="16" borderId="11" xfId="3" applyFill="1" applyBorder="1" applyAlignment="1">
      <alignment horizontal="center" vertical="center"/>
    </xf>
    <xf numFmtId="49" fontId="3" fillId="16" borderId="11" xfId="3" applyNumberFormat="1" applyFill="1" applyBorder="1" applyAlignment="1">
      <alignment horizontal="left" vertical="center"/>
    </xf>
    <xf numFmtId="194" fontId="3" fillId="20" borderId="11" xfId="3" applyNumberFormat="1" applyFill="1" applyBorder="1" applyAlignment="1">
      <alignment horizontal="center" vertical="center"/>
    </xf>
    <xf numFmtId="0" fontId="3" fillId="16" borderId="0" xfId="3" applyFill="1"/>
    <xf numFmtId="49" fontId="3" fillId="16" borderId="0" xfId="3" applyNumberFormat="1" applyFill="1"/>
    <xf numFmtId="0" fontId="4" fillId="19" borderId="45" xfId="0" applyFont="1" applyFill="1" applyBorder="1" applyProtection="1">
      <protection locked="0"/>
    </xf>
    <xf numFmtId="0" fontId="4" fillId="19" borderId="0" xfId="0" applyFont="1" applyFill="1" applyAlignment="1" applyProtection="1">
      <alignment horizontal="right"/>
      <protection locked="0"/>
    </xf>
    <xf numFmtId="0" fontId="4" fillId="19" borderId="45" xfId="0" applyFont="1" applyFill="1" applyBorder="1" applyAlignment="1" applyProtection="1">
      <alignment horizontal="right"/>
      <protection locked="0"/>
    </xf>
    <xf numFmtId="0" fontId="74" fillId="16" borderId="0" xfId="0" applyFont="1" applyFill="1"/>
    <xf numFmtId="181" fontId="4" fillId="19" borderId="0" xfId="0" applyNumberFormat="1" applyFont="1" applyFill="1" applyProtection="1">
      <protection locked="0"/>
    </xf>
    <xf numFmtId="0" fontId="4" fillId="9" borderId="0" xfId="3" applyFont="1" applyFill="1"/>
    <xf numFmtId="0" fontId="62" fillId="9" borderId="41" xfId="0" applyFont="1" applyFill="1" applyBorder="1" applyProtection="1">
      <protection locked="0"/>
    </xf>
    <xf numFmtId="1" fontId="0" fillId="4" borderId="0" xfId="0" applyNumberFormat="1" applyFill="1"/>
    <xf numFmtId="0" fontId="3" fillId="9" borderId="0" xfId="0" applyFont="1" applyFill="1" applyAlignment="1">
      <alignment vertical="center"/>
    </xf>
    <xf numFmtId="0" fontId="3" fillId="9" borderId="28" xfId="0" applyFont="1" applyFill="1" applyBorder="1" applyAlignment="1">
      <alignment vertical="center"/>
    </xf>
    <xf numFmtId="0" fontId="3" fillId="9" borderId="0" xfId="0" applyFont="1" applyFill="1" applyAlignment="1">
      <alignment horizontal="right" vertical="center"/>
    </xf>
    <xf numFmtId="181" fontId="3" fillId="9" borderId="0" xfId="0" applyNumberFormat="1" applyFont="1" applyFill="1" applyAlignment="1">
      <alignment vertical="center"/>
    </xf>
    <xf numFmtId="0" fontId="3" fillId="9" borderId="29" xfId="0" applyFont="1" applyFill="1" applyBorder="1" applyAlignment="1">
      <alignment vertical="center"/>
    </xf>
    <xf numFmtId="1" fontId="3" fillId="9" borderId="0" xfId="0" applyNumberFormat="1" applyFont="1" applyFill="1" applyAlignment="1">
      <alignment vertical="center"/>
    </xf>
    <xf numFmtId="0" fontId="3" fillId="9" borderId="30" xfId="0" applyFont="1" applyFill="1" applyBorder="1" applyAlignment="1">
      <alignment vertical="center"/>
    </xf>
    <xf numFmtId="0" fontId="3" fillId="9" borderId="31" xfId="0" applyFont="1" applyFill="1" applyBorder="1" applyAlignment="1">
      <alignment vertical="center"/>
    </xf>
    <xf numFmtId="0" fontId="3" fillId="9" borderId="31" xfId="0" applyFont="1" applyFill="1" applyBorder="1" applyAlignment="1">
      <alignment horizontal="right" vertical="center"/>
    </xf>
    <xf numFmtId="1" fontId="3" fillId="9" borderId="31" xfId="0" applyNumberFormat="1" applyFont="1" applyFill="1" applyBorder="1" applyAlignment="1">
      <alignment vertical="center"/>
    </xf>
    <xf numFmtId="0" fontId="3" fillId="9" borderId="32" xfId="0" applyFont="1" applyFill="1" applyBorder="1" applyAlignment="1">
      <alignment vertical="center"/>
    </xf>
    <xf numFmtId="0" fontId="3" fillId="9" borderId="43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3" fillId="9" borderId="2" xfId="0" applyFont="1" applyFill="1" applyBorder="1" applyAlignment="1">
      <alignment horizontal="right" vertical="center"/>
    </xf>
    <xf numFmtId="0" fontId="65" fillId="9" borderId="2" xfId="0" applyFont="1" applyFill="1" applyBorder="1" applyAlignment="1">
      <alignment horizontal="right" vertical="center"/>
    </xf>
    <xf numFmtId="0" fontId="4" fillId="19" borderId="2" xfId="0" applyFont="1" applyFill="1" applyBorder="1" applyAlignment="1" applyProtection="1">
      <alignment vertical="center"/>
      <protection locked="0"/>
    </xf>
    <xf numFmtId="0" fontId="4" fillId="9" borderId="3" xfId="0" applyFont="1" applyFill="1" applyBorder="1" applyAlignment="1">
      <alignment vertical="center"/>
    </xf>
    <xf numFmtId="0" fontId="65" fillId="9" borderId="0" xfId="0" applyFont="1" applyFill="1" applyAlignment="1">
      <alignment horizontal="right" vertical="center"/>
    </xf>
    <xf numFmtId="0" fontId="4" fillId="19" borderId="0" xfId="0" applyFont="1" applyFill="1" applyAlignment="1" applyProtection="1">
      <alignment vertical="center"/>
      <protection locked="0"/>
    </xf>
    <xf numFmtId="0" fontId="4" fillId="9" borderId="29" xfId="0" applyFont="1" applyFill="1" applyBorder="1" applyAlignment="1">
      <alignment vertical="center"/>
    </xf>
    <xf numFmtId="1" fontId="4" fillId="19" borderId="0" xfId="0" applyNumberFormat="1" applyFont="1" applyFill="1" applyAlignment="1" applyProtection="1">
      <alignment vertical="center"/>
      <protection locked="0"/>
    </xf>
    <xf numFmtId="0" fontId="65" fillId="16" borderId="2" xfId="0" applyFont="1" applyFill="1" applyBorder="1" applyAlignment="1">
      <alignment horizontal="right" vertical="center"/>
    </xf>
    <xf numFmtId="1" fontId="3" fillId="9" borderId="0" xfId="0" applyNumberFormat="1" applyFont="1" applyFill="1" applyAlignment="1">
      <alignment horizontal="right" vertical="center"/>
    </xf>
    <xf numFmtId="0" fontId="65" fillId="16" borderId="0" xfId="0" applyFont="1" applyFill="1" applyAlignment="1">
      <alignment horizontal="right" vertical="center"/>
    </xf>
    <xf numFmtId="0" fontId="4" fillId="9" borderId="0" xfId="0" applyFont="1" applyFill="1" applyAlignment="1">
      <alignment vertical="center"/>
    </xf>
    <xf numFmtId="0" fontId="4" fillId="9" borderId="0" xfId="0" applyFont="1" applyFill="1" applyAlignment="1">
      <alignment horizontal="right" vertical="center"/>
    </xf>
    <xf numFmtId="0" fontId="4" fillId="19" borderId="0" xfId="0" applyFont="1" applyFill="1" applyAlignment="1" applyProtection="1">
      <alignment horizontal="right" vertical="center"/>
      <protection locked="0"/>
    </xf>
    <xf numFmtId="0" fontId="3" fillId="9" borderId="45" xfId="0" applyFont="1" applyFill="1" applyBorder="1" applyAlignment="1">
      <alignment horizontal="right" vertical="center"/>
    </xf>
    <xf numFmtId="2" fontId="3" fillId="9" borderId="0" xfId="0" applyNumberFormat="1" applyFont="1" applyFill="1" applyAlignment="1">
      <alignment horizontal="right" vertical="center"/>
    </xf>
    <xf numFmtId="0" fontId="3" fillId="9" borderId="44" xfId="0" applyFont="1" applyFill="1" applyBorder="1" applyAlignment="1">
      <alignment vertical="center"/>
    </xf>
    <xf numFmtId="0" fontId="3" fillId="9" borderId="45" xfId="0" applyFont="1" applyFill="1" applyBorder="1" applyAlignment="1">
      <alignment vertical="center"/>
    </xf>
    <xf numFmtId="0" fontId="3" fillId="9" borderId="46" xfId="0" applyFont="1" applyFill="1" applyBorder="1" applyAlignment="1">
      <alignment vertical="center"/>
    </xf>
    <xf numFmtId="0" fontId="3" fillId="9" borderId="3" xfId="0" applyFont="1" applyFill="1" applyBorder="1" applyAlignment="1">
      <alignment vertical="center"/>
    </xf>
    <xf numFmtId="1" fontId="65" fillId="19" borderId="0" xfId="0" applyNumberFormat="1" applyFont="1" applyFill="1" applyAlignment="1" applyProtection="1">
      <alignment horizontal="right" vertical="center"/>
      <protection locked="0"/>
    </xf>
    <xf numFmtId="0" fontId="4" fillId="9" borderId="29" xfId="0" applyFont="1" applyFill="1" applyBorder="1" applyAlignment="1">
      <alignment horizontal="left" vertical="center"/>
    </xf>
    <xf numFmtId="0" fontId="65" fillId="19" borderId="0" xfId="0" applyFont="1" applyFill="1" applyAlignment="1" applyProtection="1">
      <alignment vertical="center"/>
      <protection locked="0"/>
    </xf>
    <xf numFmtId="2" fontId="8" fillId="12" borderId="2" xfId="0" applyNumberFormat="1" applyFont="1" applyFill="1" applyBorder="1"/>
    <xf numFmtId="2" fontId="8" fillId="12" borderId="0" xfId="0" applyNumberFormat="1" applyFont="1" applyFill="1"/>
    <xf numFmtId="11" fontId="8" fillId="12" borderId="0" xfId="0" applyNumberFormat="1" applyFont="1" applyFill="1"/>
    <xf numFmtId="182" fontId="8" fillId="12" borderId="0" xfId="0" applyNumberFormat="1" applyFont="1" applyFill="1"/>
    <xf numFmtId="0" fontId="0" fillId="0" borderId="41" xfId="0" applyBorder="1"/>
    <xf numFmtId="0" fontId="0" fillId="22" borderId="0" xfId="0" applyFill="1"/>
    <xf numFmtId="0" fontId="3" fillId="0" borderId="0" xfId="0" applyFont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3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41" xfId="0" applyFont="1" applyBorder="1"/>
    <xf numFmtId="0" fontId="4" fillId="0" borderId="31" xfId="0" applyFont="1" applyBorder="1"/>
    <xf numFmtId="0" fontId="4" fillId="0" borderId="0" xfId="0" applyFont="1" applyAlignment="1">
      <alignment horizontal="left"/>
    </xf>
    <xf numFmtId="180" fontId="8" fillId="12" borderId="0" xfId="0" applyNumberFormat="1" applyFont="1" applyFill="1"/>
    <xf numFmtId="180" fontId="9" fillId="12" borderId="0" xfId="0" applyNumberFormat="1" applyFont="1" applyFill="1"/>
    <xf numFmtId="180" fontId="4" fillId="22" borderId="2" xfId="0" applyNumberFormat="1" applyFont="1" applyFill="1" applyBorder="1"/>
    <xf numFmtId="0" fontId="4" fillId="19" borderId="2" xfId="0" applyFont="1" applyFill="1" applyBorder="1" applyProtection="1">
      <protection locked="0"/>
    </xf>
    <xf numFmtId="0" fontId="64" fillId="16" borderId="0" xfId="0" applyFont="1" applyFill="1" applyAlignment="1">
      <alignment horizontal="center"/>
    </xf>
    <xf numFmtId="181" fontId="3" fillId="9" borderId="0" xfId="0" applyNumberFormat="1" applyFont="1" applyFill="1"/>
    <xf numFmtId="2" fontId="0" fillId="13" borderId="0" xfId="0" applyNumberFormat="1" applyFill="1"/>
    <xf numFmtId="2" fontId="0" fillId="22" borderId="0" xfId="0" applyNumberFormat="1" applyFill="1"/>
    <xf numFmtId="1" fontId="0" fillId="12" borderId="0" xfId="0" applyNumberFormat="1" applyFill="1"/>
    <xf numFmtId="179" fontId="0" fillId="22" borderId="0" xfId="0" applyNumberFormat="1" applyFill="1"/>
    <xf numFmtId="179" fontId="0" fillId="12" borderId="0" xfId="0" applyNumberFormat="1" applyFill="1"/>
    <xf numFmtId="3" fontId="0" fillId="12" borderId="0" xfId="0" applyNumberFormat="1" applyFill="1"/>
    <xf numFmtId="1" fontId="0" fillId="22" borderId="0" xfId="0" applyNumberFormat="1" applyFill="1"/>
    <xf numFmtId="1" fontId="0" fillId="0" borderId="0" xfId="0" applyNumberFormat="1"/>
    <xf numFmtId="1" fontId="0" fillId="24" borderId="0" xfId="0" applyNumberFormat="1" applyFill="1"/>
    <xf numFmtId="179" fontId="0" fillId="0" borderId="0" xfId="0" applyNumberFormat="1"/>
    <xf numFmtId="0" fontId="0" fillId="23" borderId="0" xfId="0" applyFill="1"/>
    <xf numFmtId="181" fontId="0" fillId="22" borderId="0" xfId="0" applyNumberFormat="1" applyFill="1"/>
    <xf numFmtId="0" fontId="3" fillId="0" borderId="41" xfId="0" applyFont="1" applyBorder="1"/>
    <xf numFmtId="181" fontId="0" fillId="12" borderId="2" xfId="0" applyNumberFormat="1" applyFill="1" applyBorder="1"/>
    <xf numFmtId="0" fontId="3" fillId="0" borderId="30" xfId="0" applyFont="1" applyBorder="1"/>
    <xf numFmtId="0" fontId="8" fillId="0" borderId="31" xfId="0" applyFont="1" applyBorder="1"/>
    <xf numFmtId="0" fontId="4" fillId="0" borderId="54" xfId="0" applyFont="1" applyBorder="1"/>
    <xf numFmtId="0" fontId="0" fillId="24" borderId="0" xfId="0" applyFill="1"/>
    <xf numFmtId="0" fontId="16" fillId="0" borderId="34" xfId="0" applyFont="1" applyBorder="1"/>
    <xf numFmtId="0" fontId="3" fillId="0" borderId="0" xfId="3"/>
    <xf numFmtId="0" fontId="3" fillId="0" borderId="18" xfId="3" applyBorder="1" applyAlignment="1">
      <alignment horizontal="left"/>
    </xf>
    <xf numFmtId="0" fontId="3" fillId="0" borderId="11" xfId="3" applyBorder="1"/>
    <xf numFmtId="0" fontId="3" fillId="0" borderId="58" xfId="3" applyBorder="1"/>
    <xf numFmtId="0" fontId="3" fillId="0" borderId="18" xfId="3" applyBorder="1"/>
    <xf numFmtId="1" fontId="3" fillId="0" borderId="11" xfId="3" applyNumberFormat="1" applyBorder="1"/>
    <xf numFmtId="0" fontId="3" fillId="0" borderId="15" xfId="3" applyBorder="1"/>
    <xf numFmtId="0" fontId="3" fillId="8" borderId="18" xfId="3" applyFill="1" applyBorder="1"/>
    <xf numFmtId="0" fontId="3" fillId="8" borderId="11" xfId="3" applyFill="1" applyBorder="1"/>
    <xf numFmtId="0" fontId="3" fillId="8" borderId="58" xfId="3" applyFill="1" applyBorder="1"/>
    <xf numFmtId="181" fontId="3" fillId="0" borderId="11" xfId="3" applyNumberFormat="1" applyBorder="1"/>
    <xf numFmtId="0" fontId="8" fillId="0" borderId="5" xfId="3" applyFont="1" applyBorder="1" applyAlignment="1">
      <alignment horizontal="center"/>
    </xf>
    <xf numFmtId="0" fontId="8" fillId="0" borderId="6" xfId="3" applyFont="1" applyBorder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18" xfId="3" applyFont="1" applyBorder="1"/>
    <xf numFmtId="0" fontId="8" fillId="0" borderId="58" xfId="3" applyFont="1" applyBorder="1"/>
    <xf numFmtId="0" fontId="3" fillId="0" borderId="66" xfId="3" applyBorder="1" applyAlignment="1">
      <alignment horizontal="center"/>
    </xf>
    <xf numFmtId="179" fontId="3" fillId="0" borderId="67" xfId="3" applyNumberFormat="1" applyBorder="1" applyAlignment="1">
      <alignment horizontal="center"/>
    </xf>
    <xf numFmtId="179" fontId="3" fillId="0" borderId="12" xfId="3" applyNumberFormat="1" applyBorder="1" applyAlignment="1">
      <alignment horizontal="center"/>
    </xf>
    <xf numFmtId="179" fontId="3" fillId="0" borderId="68" xfId="3" applyNumberFormat="1" applyBorder="1" applyAlignment="1">
      <alignment horizontal="center"/>
    </xf>
    <xf numFmtId="179" fontId="3" fillId="0" borderId="69" xfId="3" applyNumberFormat="1" applyBorder="1" applyAlignment="1">
      <alignment horizontal="center"/>
    </xf>
    <xf numFmtId="177" fontId="3" fillId="0" borderId="67" xfId="3" applyNumberFormat="1" applyBorder="1" applyAlignment="1">
      <alignment horizontal="center"/>
    </xf>
    <xf numFmtId="177" fontId="3" fillId="0" borderId="68" xfId="3" applyNumberFormat="1" applyBorder="1" applyAlignment="1">
      <alignment horizontal="center"/>
    </xf>
    <xf numFmtId="2" fontId="3" fillId="0" borderId="67" xfId="3" applyNumberFormat="1" applyBorder="1" applyAlignment="1">
      <alignment horizontal="center"/>
    </xf>
    <xf numFmtId="2" fontId="3" fillId="0" borderId="12" xfId="3" applyNumberFormat="1" applyBorder="1" applyAlignment="1">
      <alignment horizontal="center"/>
    </xf>
    <xf numFmtId="2" fontId="3" fillId="0" borderId="18" xfId="3" applyNumberFormat="1" applyBorder="1" applyAlignment="1">
      <alignment horizontal="center"/>
    </xf>
    <xf numFmtId="2" fontId="3" fillId="0" borderId="58" xfId="3" applyNumberFormat="1" applyBorder="1" applyAlignment="1">
      <alignment horizontal="center"/>
    </xf>
    <xf numFmtId="0" fontId="3" fillId="0" borderId="63" xfId="3" applyBorder="1" applyAlignment="1">
      <alignment horizontal="center"/>
    </xf>
    <xf numFmtId="179" fontId="3" fillId="0" borderId="11" xfId="3" applyNumberFormat="1" applyBorder="1" applyAlignment="1">
      <alignment horizontal="center"/>
    </xf>
    <xf numFmtId="179" fontId="3" fillId="0" borderId="58" xfId="3" applyNumberFormat="1" applyBorder="1" applyAlignment="1">
      <alignment horizontal="center"/>
    </xf>
    <xf numFmtId="0" fontId="3" fillId="0" borderId="0" xfId="3" applyAlignment="1">
      <alignment horizontal="center"/>
    </xf>
    <xf numFmtId="179" fontId="3" fillId="0" borderId="0" xfId="3" applyNumberFormat="1" applyAlignment="1">
      <alignment horizontal="center"/>
    </xf>
    <xf numFmtId="177" fontId="3" fillId="0" borderId="0" xfId="3" applyNumberFormat="1" applyAlignment="1">
      <alignment horizontal="center"/>
    </xf>
    <xf numFmtId="2" fontId="3" fillId="0" borderId="0" xfId="3" applyNumberFormat="1" applyAlignment="1">
      <alignment horizontal="center"/>
    </xf>
    <xf numFmtId="0" fontId="3" fillId="0" borderId="0" xfId="3" applyAlignment="1">
      <alignment horizontal="right"/>
    </xf>
    <xf numFmtId="179" fontId="3" fillId="0" borderId="18" xfId="3" applyNumberFormat="1" applyBorder="1" applyAlignment="1">
      <alignment horizontal="center"/>
    </xf>
    <xf numFmtId="179" fontId="3" fillId="0" borderId="8" xfId="3" applyNumberFormat="1" applyBorder="1" applyAlignment="1">
      <alignment horizontal="center"/>
    </xf>
    <xf numFmtId="2" fontId="3" fillId="0" borderId="5" xfId="3" applyNumberFormat="1" applyBorder="1" applyAlignment="1">
      <alignment horizontal="center"/>
    </xf>
    <xf numFmtId="2" fontId="3" fillId="0" borderId="7" xfId="3" applyNumberFormat="1" applyBorder="1" applyAlignment="1">
      <alignment horizontal="center"/>
    </xf>
    <xf numFmtId="2" fontId="3" fillId="0" borderId="0" xfId="3" applyNumberFormat="1"/>
    <xf numFmtId="180" fontId="0" fillId="0" borderId="0" xfId="0" applyNumberFormat="1"/>
    <xf numFmtId="1" fontId="8" fillId="12" borderId="0" xfId="0" applyNumberFormat="1" applyFont="1" applyFill="1"/>
    <xf numFmtId="0" fontId="62" fillId="0" borderId="0" xfId="0" applyFont="1"/>
    <xf numFmtId="0" fontId="3" fillId="4" borderId="70" xfId="3" applyFill="1" applyBorder="1" applyAlignment="1">
      <alignment vertical="center"/>
    </xf>
    <xf numFmtId="0" fontId="3" fillId="0" borderId="71" xfId="3" applyBorder="1" applyAlignment="1">
      <alignment horizontal="center"/>
    </xf>
    <xf numFmtId="2" fontId="3" fillId="0" borderId="11" xfId="3" applyNumberFormat="1" applyBorder="1"/>
    <xf numFmtId="2" fontId="3" fillId="0" borderId="58" xfId="3" applyNumberFormat="1" applyBorder="1"/>
    <xf numFmtId="2" fontId="8" fillId="0" borderId="7" xfId="3" applyNumberFormat="1" applyFont="1" applyBorder="1" applyAlignment="1">
      <alignment horizontal="center"/>
    </xf>
    <xf numFmtId="2" fontId="3" fillId="0" borderId="68" xfId="3" applyNumberFormat="1" applyBorder="1"/>
    <xf numFmtId="1" fontId="3" fillId="9" borderId="2" xfId="0" applyNumberFormat="1" applyFont="1" applyFill="1" applyBorder="1" applyAlignment="1">
      <alignment vertical="center"/>
    </xf>
    <xf numFmtId="0" fontId="4" fillId="9" borderId="44" xfId="0" applyFont="1" applyFill="1" applyBorder="1" applyAlignment="1">
      <alignment horizontal="center"/>
    </xf>
    <xf numFmtId="11" fontId="3" fillId="0" borderId="0" xfId="0" applyNumberFormat="1" applyFont="1"/>
    <xf numFmtId="1" fontId="3" fillId="0" borderId="0" xfId="0" applyNumberFormat="1" applyFont="1"/>
    <xf numFmtId="1" fontId="3" fillId="12" borderId="0" xfId="0" applyNumberFormat="1" applyFont="1" applyFill="1"/>
    <xf numFmtId="0" fontId="3" fillId="23" borderId="0" xfId="0" applyFont="1" applyFill="1"/>
    <xf numFmtId="0" fontId="3" fillId="0" borderId="75" xfId="0" applyFont="1" applyBorder="1"/>
    <xf numFmtId="180" fontId="3" fillId="0" borderId="77" xfId="0" applyNumberFormat="1" applyFont="1" applyBorder="1"/>
    <xf numFmtId="11" fontId="8" fillId="0" borderId="77" xfId="0" applyNumberFormat="1" applyFont="1" applyBorder="1"/>
    <xf numFmtId="0" fontId="72" fillId="0" borderId="77" xfId="0" applyFont="1" applyBorder="1"/>
    <xf numFmtId="1" fontId="62" fillId="0" borderId="0" xfId="0" applyNumberFormat="1" applyFont="1"/>
    <xf numFmtId="0" fontId="81" fillId="0" borderId="0" xfId="0" applyFont="1"/>
    <xf numFmtId="1" fontId="64" fillId="0" borderId="0" xfId="0" applyNumberFormat="1" applyFont="1"/>
    <xf numFmtId="0" fontId="64" fillId="0" borderId="0" xfId="0" applyFont="1"/>
    <xf numFmtId="2" fontId="64" fillId="0" borderId="0" xfId="0" applyNumberFormat="1" applyFont="1"/>
    <xf numFmtId="180" fontId="62" fillId="0" borderId="0" xfId="0" applyNumberFormat="1" applyFont="1"/>
    <xf numFmtId="0" fontId="4" fillId="0" borderId="30" xfId="0" applyFont="1" applyBorder="1"/>
    <xf numFmtId="178" fontId="4" fillId="0" borderId="0" xfId="0" applyNumberFormat="1" applyFont="1"/>
    <xf numFmtId="11" fontId="4" fillId="0" borderId="0" xfId="0" applyNumberFormat="1" applyFont="1"/>
    <xf numFmtId="0" fontId="0" fillId="0" borderId="45" xfId="0" applyBorder="1"/>
    <xf numFmtId="1" fontId="3" fillId="22" borderId="0" xfId="0" applyNumberFormat="1" applyFont="1" applyFill="1"/>
    <xf numFmtId="1" fontId="65" fillId="0" borderId="0" xfId="0" applyNumberFormat="1" applyFont="1"/>
    <xf numFmtId="0" fontId="65" fillId="0" borderId="0" xfId="0" applyFont="1"/>
    <xf numFmtId="0" fontId="72" fillId="0" borderId="58" xfId="3" applyFont="1" applyBorder="1"/>
    <xf numFmtId="180" fontId="0" fillId="12" borderId="0" xfId="0" applyNumberFormat="1" applyFill="1"/>
    <xf numFmtId="198" fontId="3" fillId="0" borderId="0" xfId="0" applyNumberFormat="1" applyFont="1"/>
    <xf numFmtId="179" fontId="8" fillId="12" borderId="0" xfId="0" applyNumberFormat="1" applyFont="1" applyFill="1"/>
    <xf numFmtId="198" fontId="0" fillId="23" borderId="0" xfId="0" applyNumberFormat="1" applyFill="1"/>
    <xf numFmtId="11" fontId="0" fillId="22" borderId="0" xfId="0" applyNumberFormat="1" applyFill="1" applyAlignment="1">
      <alignment horizontal="right"/>
    </xf>
    <xf numFmtId="0" fontId="0" fillId="24" borderId="0" xfId="0" applyFill="1" applyAlignment="1">
      <alignment horizontal="right"/>
    </xf>
    <xf numFmtId="180" fontId="31" fillId="22" borderId="0" xfId="0" applyNumberFormat="1" applyFont="1" applyFill="1"/>
    <xf numFmtId="179" fontId="31" fillId="22" borderId="34" xfId="0" applyNumberFormat="1" applyFont="1" applyFill="1" applyBorder="1"/>
    <xf numFmtId="0" fontId="0" fillId="23" borderId="0" xfId="0" applyFill="1" applyAlignment="1">
      <alignment horizontal="right"/>
    </xf>
    <xf numFmtId="2" fontId="0" fillId="22" borderId="0" xfId="0" applyNumberFormat="1" applyFill="1" applyAlignment="1">
      <alignment horizontal="right"/>
    </xf>
    <xf numFmtId="0" fontId="81" fillId="0" borderId="28" xfId="0" applyFont="1" applyBorder="1"/>
    <xf numFmtId="180" fontId="3" fillId="0" borderId="0" xfId="0" applyNumberFormat="1" applyFont="1"/>
    <xf numFmtId="0" fontId="3" fillId="0" borderId="24" xfId="3" applyBorder="1" applyAlignment="1">
      <alignment horizontal="left"/>
    </xf>
    <xf numFmtId="0" fontId="3" fillId="0" borderId="45" xfId="3" applyBorder="1"/>
    <xf numFmtId="0" fontId="3" fillId="0" borderId="46" xfId="3" applyBorder="1"/>
    <xf numFmtId="180" fontId="3" fillId="0" borderId="45" xfId="3" applyNumberFormat="1" applyBorder="1"/>
    <xf numFmtId="0" fontId="3" fillId="8" borderId="15" xfId="3" applyFill="1" applyBorder="1"/>
    <xf numFmtId="0" fontId="4" fillId="0" borderId="55" xfId="3" applyFont="1" applyBorder="1" applyAlignment="1">
      <alignment horizontal="center"/>
    </xf>
    <xf numFmtId="11" fontId="3" fillId="0" borderId="11" xfId="3" applyNumberFormat="1" applyBorder="1"/>
    <xf numFmtId="1" fontId="3" fillId="0" borderId="45" xfId="3" applyNumberFormat="1" applyBorder="1"/>
    <xf numFmtId="180" fontId="3" fillId="0" borderId="11" xfId="3" applyNumberFormat="1" applyBorder="1"/>
    <xf numFmtId="0" fontId="3" fillId="0" borderId="0" xfId="3" applyAlignment="1">
      <alignment horizontal="left"/>
    </xf>
    <xf numFmtId="1" fontId="3" fillId="0" borderId="0" xfId="3" applyNumberFormat="1"/>
    <xf numFmtId="180" fontId="3" fillId="0" borderId="0" xfId="3" applyNumberFormat="1"/>
    <xf numFmtId="198" fontId="3" fillId="23" borderId="0" xfId="0" applyNumberFormat="1" applyFont="1" applyFill="1" applyAlignment="1">
      <alignment horizontal="right" vertical="center"/>
    </xf>
    <xf numFmtId="199" fontId="9" fillId="12" borderId="0" xfId="0" applyNumberFormat="1" applyFont="1" applyFill="1"/>
    <xf numFmtId="2" fontId="3" fillId="0" borderId="0" xfId="0" applyNumberFormat="1" applyFont="1"/>
    <xf numFmtId="180" fontId="4" fillId="0" borderId="0" xfId="0" applyNumberFormat="1" applyFont="1" applyAlignment="1">
      <alignment horizontal="right"/>
    </xf>
    <xf numFmtId="1" fontId="3" fillId="24" borderId="0" xfId="0" applyNumberFormat="1" applyFont="1" applyFill="1"/>
    <xf numFmtId="0" fontId="3" fillId="24" borderId="0" xfId="0" applyFont="1" applyFill="1"/>
    <xf numFmtId="179" fontId="3" fillId="22" borderId="31" xfId="0" applyNumberFormat="1" applyFont="1" applyFill="1" applyBorder="1"/>
    <xf numFmtId="181" fontId="64" fillId="9" borderId="2" xfId="1" applyNumberFormat="1" applyFont="1" applyFill="1" applyBorder="1" applyAlignment="1" applyProtection="1">
      <alignment horizontal="right"/>
    </xf>
    <xf numFmtId="0" fontId="3" fillId="0" borderId="8" xfId="3" applyBorder="1"/>
    <xf numFmtId="181" fontId="3" fillId="0" borderId="8" xfId="3" applyNumberFormat="1" applyBorder="1"/>
    <xf numFmtId="0" fontId="4" fillId="0" borderId="57" xfId="3" applyFont="1" applyBorder="1" applyAlignment="1">
      <alignment horizontal="center"/>
    </xf>
    <xf numFmtId="0" fontId="3" fillId="8" borderId="64" xfId="3" applyFill="1" applyBorder="1"/>
    <xf numFmtId="180" fontId="3" fillId="0" borderId="44" xfId="3" applyNumberFormat="1" applyBorder="1"/>
    <xf numFmtId="177" fontId="3" fillId="0" borderId="58" xfId="3" applyNumberFormat="1" applyBorder="1" applyAlignment="1">
      <alignment horizontal="center"/>
    </xf>
    <xf numFmtId="180" fontId="65" fillId="0" borderId="0" xfId="0" applyNumberFormat="1" applyFont="1"/>
    <xf numFmtId="1" fontId="4" fillId="0" borderId="0" xfId="0" applyNumberFormat="1" applyFont="1"/>
    <xf numFmtId="200" fontId="4" fillId="12" borderId="0" xfId="0" applyNumberFormat="1" applyFont="1" applyFill="1"/>
    <xf numFmtId="200" fontId="3" fillId="4" borderId="0" xfId="0" applyNumberFormat="1" applyFont="1" applyFill="1"/>
    <xf numFmtId="200" fontId="31" fillId="4" borderId="0" xfId="0" applyNumberFormat="1" applyFont="1" applyFill="1"/>
    <xf numFmtId="200" fontId="0" fillId="12" borderId="0" xfId="0" applyNumberFormat="1" applyFill="1"/>
    <xf numFmtId="200" fontId="0" fillId="4" borderId="31" xfId="0" applyNumberFormat="1" applyFill="1" applyBorder="1"/>
    <xf numFmtId="0" fontId="3" fillId="0" borderId="8" xfId="3" applyBorder="1" applyAlignment="1">
      <alignment horizontal="left"/>
    </xf>
    <xf numFmtId="2" fontId="3" fillId="0" borderId="59" xfId="3" applyNumberFormat="1" applyBorder="1" applyAlignment="1">
      <alignment horizontal="center"/>
    </xf>
    <xf numFmtId="1" fontId="3" fillId="0" borderId="0" xfId="3" applyNumberFormat="1" applyAlignment="1">
      <alignment horizontal="right"/>
    </xf>
    <xf numFmtId="180" fontId="3" fillId="8" borderId="11" xfId="3" applyNumberFormat="1" applyFill="1" applyBorder="1"/>
    <xf numFmtId="0" fontId="3" fillId="9" borderId="76" xfId="0" applyFont="1" applyFill="1" applyBorder="1" applyAlignment="1">
      <alignment horizontal="left"/>
    </xf>
    <xf numFmtId="181" fontId="3" fillId="9" borderId="28" xfId="0" applyNumberFormat="1" applyFont="1" applyFill="1" applyBorder="1" applyAlignment="1">
      <alignment horizontal="right"/>
    </xf>
    <xf numFmtId="0" fontId="3" fillId="9" borderId="29" xfId="0" applyFont="1" applyFill="1" applyBorder="1" applyAlignment="1">
      <alignment horizontal="left"/>
    </xf>
    <xf numFmtId="0" fontId="3" fillId="9" borderId="46" xfId="0" applyFont="1" applyFill="1" applyBorder="1" applyAlignment="1">
      <alignment horizontal="left"/>
    </xf>
    <xf numFmtId="200" fontId="3" fillId="23" borderId="0" xfId="0" applyNumberFormat="1" applyFont="1" applyFill="1"/>
    <xf numFmtId="179" fontId="64" fillId="0" borderId="0" xfId="0" applyNumberFormat="1" applyFont="1"/>
    <xf numFmtId="181" fontId="3" fillId="22" borderId="0" xfId="0" applyNumberFormat="1" applyFont="1" applyFill="1"/>
    <xf numFmtId="1" fontId="4" fillId="22" borderId="0" xfId="0" applyNumberFormat="1" applyFont="1" applyFill="1"/>
    <xf numFmtId="1" fontId="3" fillId="9" borderId="44" xfId="0" applyNumberFormat="1" applyFont="1" applyFill="1" applyBorder="1" applyAlignment="1">
      <alignment horizontal="right"/>
    </xf>
    <xf numFmtId="0" fontId="3" fillId="16" borderId="0" xfId="3" applyFill="1" applyAlignment="1">
      <alignment vertical="center"/>
    </xf>
    <xf numFmtId="49" fontId="3" fillId="16" borderId="0" xfId="3" applyNumberFormat="1" applyFill="1" applyAlignment="1">
      <alignment vertical="center"/>
    </xf>
    <xf numFmtId="202" fontId="3" fillId="21" borderId="11" xfId="3" applyNumberFormat="1" applyFill="1" applyBorder="1" applyAlignment="1">
      <alignment horizontal="center" vertical="center"/>
    </xf>
    <xf numFmtId="185" fontId="3" fillId="21" borderId="11" xfId="3" applyNumberFormat="1" applyFill="1" applyBorder="1" applyAlignment="1">
      <alignment horizontal="center" vertical="center"/>
    </xf>
    <xf numFmtId="0" fontId="3" fillId="21" borderId="15" xfId="3" applyFill="1" applyBorder="1" applyAlignment="1">
      <alignment horizontal="left" vertical="center"/>
    </xf>
    <xf numFmtId="0" fontId="3" fillId="0" borderId="1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72" fillId="0" borderId="11" xfId="0" applyFont="1" applyBorder="1"/>
    <xf numFmtId="0" fontId="3" fillId="0" borderId="13" xfId="0" applyFont="1" applyBorder="1"/>
    <xf numFmtId="0" fontId="3" fillId="4" borderId="11" xfId="0" applyFont="1" applyFill="1" applyBorder="1"/>
    <xf numFmtId="2" fontId="0" fillId="2" borderId="0" xfId="0" applyNumberFormat="1" applyFill="1"/>
    <xf numFmtId="0" fontId="3" fillId="6" borderId="11" xfId="0" applyFont="1" applyFill="1" applyBorder="1"/>
    <xf numFmtId="179" fontId="16" fillId="7" borderId="0" xfId="0" applyNumberFormat="1" applyFont="1" applyFill="1"/>
    <xf numFmtId="2" fontId="16" fillId="7" borderId="0" xfId="0" applyNumberFormat="1" applyFont="1" applyFill="1"/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82" fontId="4" fillId="2" borderId="6" xfId="0" applyNumberFormat="1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0" fontId="4" fillId="2" borderId="24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14" borderId="5" xfId="0" applyFont="1" applyFill="1" applyBorder="1" applyAlignment="1">
      <alignment horizontal="center" vertical="center" wrapText="1"/>
    </xf>
    <xf numFmtId="2" fontId="4" fillId="14" borderId="6" xfId="0" applyNumberFormat="1" applyFont="1" applyFill="1" applyBorder="1" applyAlignment="1">
      <alignment horizontal="center" vertical="center" wrapText="1"/>
    </xf>
    <xf numFmtId="180" fontId="4" fillId="2" borderId="6" xfId="0" applyNumberFormat="1" applyFont="1" applyFill="1" applyBorder="1" applyAlignment="1">
      <alignment horizontal="center" vertical="center" wrapText="1"/>
    </xf>
    <xf numFmtId="179" fontId="4" fillId="2" borderId="5" xfId="0" applyNumberFormat="1" applyFont="1" applyFill="1" applyBorder="1" applyAlignment="1">
      <alignment horizontal="center" vertical="center" wrapText="1"/>
    </xf>
    <xf numFmtId="179" fontId="4" fillId="2" borderId="6" xfId="0" applyNumberFormat="1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79" fontId="4" fillId="4" borderId="80" xfId="0" applyNumberFormat="1" applyFont="1" applyFill="1" applyBorder="1" applyAlignment="1">
      <alignment horizontal="center"/>
    </xf>
    <xf numFmtId="179" fontId="4" fillId="4" borderId="2" xfId="0" applyNumberFormat="1" applyFont="1" applyFill="1" applyBorder="1" applyAlignment="1">
      <alignment horizontal="center"/>
    </xf>
    <xf numFmtId="179" fontId="4" fillId="7" borderId="23" xfId="0" applyNumberFormat="1" applyFont="1" applyFill="1" applyBorder="1" applyAlignment="1">
      <alignment horizontal="center" vertical="center" wrapText="1"/>
    </xf>
    <xf numFmtId="0" fontId="62" fillId="19" borderId="23" xfId="0" applyFont="1" applyFill="1" applyBorder="1" applyAlignment="1">
      <alignment horizontal="center" vertical="center" wrapText="1"/>
    </xf>
    <xf numFmtId="0" fontId="4" fillId="0" borderId="0" xfId="0" applyFont="1" applyProtection="1">
      <protection locked="0"/>
    </xf>
    <xf numFmtId="0" fontId="4" fillId="9" borderId="77" xfId="0" applyFont="1" applyFill="1" applyBorder="1"/>
    <xf numFmtId="0" fontId="3" fillId="9" borderId="77" xfId="0" applyFont="1" applyFill="1" applyBorder="1"/>
    <xf numFmtId="0" fontId="3" fillId="9" borderId="76" xfId="0" applyFont="1" applyFill="1" applyBorder="1"/>
    <xf numFmtId="0" fontId="80" fillId="9" borderId="28" xfId="0" applyFont="1" applyFill="1" applyBorder="1"/>
    <xf numFmtId="0" fontId="16" fillId="0" borderId="39" xfId="0" applyFont="1" applyBorder="1"/>
    <xf numFmtId="2" fontId="16" fillId="4" borderId="0" xfId="0" applyNumberFormat="1" applyFont="1" applyFill="1" applyAlignment="1">
      <alignment horizontal="right"/>
    </xf>
    <xf numFmtId="2" fontId="31" fillId="22" borderId="0" xfId="0" applyNumberFormat="1" applyFont="1" applyFill="1" applyAlignment="1">
      <alignment horizontal="right"/>
    </xf>
    <xf numFmtId="179" fontId="4" fillId="12" borderId="0" xfId="0" applyNumberFormat="1" applyFont="1" applyFill="1"/>
    <xf numFmtId="180" fontId="9" fillId="0" borderId="0" xfId="0" applyNumberFormat="1" applyFont="1"/>
    <xf numFmtId="180" fontId="0" fillId="13" borderId="0" xfId="0" applyNumberFormat="1" applyFill="1"/>
    <xf numFmtId="0" fontId="83" fillId="0" borderId="0" xfId="0" applyFont="1"/>
    <xf numFmtId="2" fontId="4" fillId="0" borderId="0" xfId="0" applyNumberFormat="1" applyFont="1"/>
    <xf numFmtId="0" fontId="18" fillId="16" borderId="28" xfId="0" applyFont="1" applyFill="1" applyBorder="1"/>
    <xf numFmtId="0" fontId="3" fillId="9" borderId="0" xfId="0" applyFont="1" applyFill="1" applyAlignment="1">
      <alignment horizontal="right" vertical="top"/>
    </xf>
    <xf numFmtId="181" fontId="3" fillId="9" borderId="0" xfId="0" applyNumberFormat="1" applyFont="1" applyFill="1" applyAlignment="1">
      <alignment horizontal="left" vertical="center"/>
    </xf>
    <xf numFmtId="0" fontId="67" fillId="9" borderId="77" xfId="0" applyFont="1" applyFill="1" applyBorder="1" applyAlignment="1">
      <alignment horizontal="left"/>
    </xf>
    <xf numFmtId="0" fontId="4" fillId="4" borderId="0" xfId="0" applyFont="1" applyFill="1"/>
    <xf numFmtId="0" fontId="73" fillId="3" borderId="49" xfId="3" applyFont="1" applyFill="1" applyBorder="1" applyAlignment="1">
      <alignment horizontal="center" vertical="center"/>
    </xf>
    <xf numFmtId="0" fontId="73" fillId="3" borderId="50" xfId="3" applyFont="1" applyFill="1" applyBorder="1" applyAlignment="1">
      <alignment horizontal="center" vertical="center"/>
    </xf>
    <xf numFmtId="0" fontId="73" fillId="3" borderId="50" xfId="3" applyFont="1" applyFill="1" applyBorder="1" applyAlignment="1">
      <alignment horizontal="left" vertical="center"/>
    </xf>
    <xf numFmtId="0" fontId="3" fillId="9" borderId="77" xfId="0" applyFont="1" applyFill="1" applyBorder="1" applyAlignment="1">
      <alignment horizontal="right" vertical="center"/>
    </xf>
    <xf numFmtId="0" fontId="3" fillId="9" borderId="4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 vertical="top"/>
    </xf>
    <xf numFmtId="1" fontId="3" fillId="9" borderId="31" xfId="0" applyNumberFormat="1" applyFont="1" applyFill="1" applyBorder="1" applyAlignment="1">
      <alignment horizontal="right"/>
    </xf>
    <xf numFmtId="0" fontId="3" fillId="9" borderId="0" xfId="0" applyFont="1" applyFill="1" applyAlignment="1">
      <alignment horizontal="right" vertical="top" readingOrder="1"/>
    </xf>
    <xf numFmtId="181" fontId="0" fillId="0" borderId="0" xfId="0" applyNumberFormat="1" applyAlignment="1">
      <alignment horizontal="left"/>
    </xf>
    <xf numFmtId="200" fontId="64" fillId="0" borderId="0" xfId="0" applyNumberFormat="1" applyFont="1"/>
    <xf numFmtId="11" fontId="64" fillId="0" borderId="0" xfId="0" applyNumberFormat="1" applyFont="1"/>
    <xf numFmtId="180" fontId="67" fillId="0" borderId="0" xfId="0" applyNumberFormat="1" applyFont="1"/>
    <xf numFmtId="0" fontId="67" fillId="0" borderId="0" xfId="0" applyFont="1"/>
    <xf numFmtId="180" fontId="4" fillId="9" borderId="0" xfId="0" applyNumberFormat="1" applyFont="1" applyFill="1" applyAlignment="1">
      <alignment horizontal="center"/>
    </xf>
    <xf numFmtId="0" fontId="85" fillId="0" borderId="0" xfId="0" applyFont="1"/>
    <xf numFmtId="0" fontId="4" fillId="5" borderId="69" xfId="0" applyFont="1" applyFill="1" applyBorder="1"/>
    <xf numFmtId="0" fontId="21" fillId="25" borderId="43" xfId="0" applyFont="1" applyFill="1" applyBorder="1"/>
    <xf numFmtId="0" fontId="21" fillId="25" borderId="41" xfId="0" applyFont="1" applyFill="1" applyBorder="1"/>
    <xf numFmtId="0" fontId="18" fillId="25" borderId="41" xfId="0" applyFont="1" applyFill="1" applyBorder="1"/>
    <xf numFmtId="184" fontId="18" fillId="25" borderId="0" xfId="0" applyNumberFormat="1" applyFont="1" applyFill="1" applyAlignment="1">
      <alignment horizontal="center"/>
    </xf>
    <xf numFmtId="0" fontId="18" fillId="25" borderId="0" xfId="0" applyFont="1" applyFill="1"/>
    <xf numFmtId="184" fontId="69" fillId="25" borderId="0" xfId="0" applyNumberFormat="1" applyFont="1" applyFill="1" applyAlignment="1">
      <alignment horizontal="center"/>
    </xf>
    <xf numFmtId="184" fontId="26" fillId="25" borderId="0" xfId="0" applyNumberFormat="1" applyFont="1" applyFill="1" applyAlignment="1">
      <alignment horizontal="center"/>
    </xf>
    <xf numFmtId="0" fontId="27" fillId="25" borderId="28" xfId="0" applyFont="1" applyFill="1" applyBorder="1" applyAlignment="1">
      <alignment horizontal="left"/>
    </xf>
    <xf numFmtId="0" fontId="27" fillId="25" borderId="0" xfId="0" applyFont="1" applyFill="1" applyAlignment="1">
      <alignment horizontal="left"/>
    </xf>
    <xf numFmtId="0" fontId="25" fillId="25" borderId="28" xfId="0" applyFont="1" applyFill="1" applyBorder="1" applyAlignment="1">
      <alignment horizontal="left" vertical="center"/>
    </xf>
    <xf numFmtId="0" fontId="25" fillId="25" borderId="0" xfId="0" applyFont="1" applyFill="1" applyAlignment="1">
      <alignment horizontal="left" vertical="center"/>
    </xf>
    <xf numFmtId="0" fontId="71" fillId="25" borderId="0" xfId="0" applyFont="1" applyFill="1" applyAlignment="1">
      <alignment horizontal="left" vertical="center"/>
    </xf>
    <xf numFmtId="0" fontId="32" fillId="25" borderId="30" xfId="0" applyFont="1" applyFill="1" applyBorder="1"/>
    <xf numFmtId="0" fontId="32" fillId="25" borderId="31" xfId="0" applyFont="1" applyFill="1" applyBorder="1"/>
    <xf numFmtId="0" fontId="21" fillId="25" borderId="31" xfId="0" applyFont="1" applyFill="1" applyBorder="1"/>
    <xf numFmtId="0" fontId="25" fillId="25" borderId="0" xfId="0" quotePrefix="1" applyFont="1" applyFill="1" applyAlignment="1">
      <alignment vertical="center"/>
    </xf>
    <xf numFmtId="0" fontId="21" fillId="25" borderId="0" xfId="0" applyFont="1" applyFill="1" applyAlignment="1">
      <alignment vertical="center"/>
    </xf>
    <xf numFmtId="0" fontId="30" fillId="25" borderId="0" xfId="0" applyFont="1" applyFill="1" applyAlignment="1">
      <alignment vertical="center"/>
    </xf>
    <xf numFmtId="0" fontId="30" fillId="25" borderId="0" xfId="0" applyFont="1" applyFill="1"/>
    <xf numFmtId="0" fontId="28" fillId="25" borderId="31" xfId="0" applyFont="1" applyFill="1" applyBorder="1"/>
    <xf numFmtId="0" fontId="28" fillId="25" borderId="45" xfId="0" applyFont="1" applyFill="1" applyBorder="1"/>
    <xf numFmtId="0" fontId="86" fillId="25" borderId="0" xfId="2" applyFont="1" applyFill="1" applyBorder="1" applyAlignment="1" applyProtection="1">
      <alignment horizontal="left" vertical="center"/>
    </xf>
    <xf numFmtId="180" fontId="4" fillId="24" borderId="0" xfId="0" applyNumberFormat="1" applyFont="1" applyFill="1" applyAlignment="1">
      <alignment horizontal="right"/>
    </xf>
    <xf numFmtId="1" fontId="3" fillId="9" borderId="75" xfId="0" applyNumberFormat="1" applyFont="1" applyFill="1" applyBorder="1" applyAlignment="1">
      <alignment horizontal="right"/>
    </xf>
    <xf numFmtId="0" fontId="88" fillId="0" borderId="28" xfId="0" applyFont="1" applyBorder="1"/>
    <xf numFmtId="181" fontId="4" fillId="22" borderId="0" xfId="0" applyNumberFormat="1" applyFont="1" applyFill="1"/>
    <xf numFmtId="181" fontId="4" fillId="0" borderId="0" xfId="0" applyNumberFormat="1" applyFont="1"/>
    <xf numFmtId="180" fontId="0" fillId="22" borderId="0" xfId="0" applyNumberFormat="1" applyFill="1"/>
    <xf numFmtId="2" fontId="9" fillId="12" borderId="0" xfId="0" applyNumberFormat="1" applyFont="1" applyFill="1"/>
    <xf numFmtId="181" fontId="16" fillId="4" borderId="0" xfId="0" applyNumberFormat="1" applyFont="1" applyFill="1" applyAlignment="1">
      <alignment horizontal="right"/>
    </xf>
    <xf numFmtId="200" fontId="4" fillId="0" borderId="0" xfId="0" applyNumberFormat="1" applyFont="1"/>
    <xf numFmtId="2" fontId="31" fillId="0" borderId="0" xfId="0" applyNumberFormat="1" applyFont="1"/>
    <xf numFmtId="0" fontId="74" fillId="0" borderId="0" xfId="0" applyFont="1"/>
    <xf numFmtId="181" fontId="3" fillId="9" borderId="0" xfId="0" applyNumberFormat="1" applyFont="1" applyFill="1" applyAlignment="1">
      <alignment horizontal="right"/>
    </xf>
    <xf numFmtId="181" fontId="3" fillId="9" borderId="0" xfId="0" applyNumberFormat="1" applyFont="1" applyFill="1" applyAlignment="1">
      <alignment horizontal="right" vertical="center"/>
    </xf>
    <xf numFmtId="11" fontId="64" fillId="22" borderId="0" xfId="0" applyNumberFormat="1" applyFont="1" applyFill="1"/>
    <xf numFmtId="200" fontId="0" fillId="0" borderId="0" xfId="0" applyNumberFormat="1"/>
    <xf numFmtId="2" fontId="0" fillId="4" borderId="0" xfId="0" applyNumberFormat="1" applyFill="1"/>
    <xf numFmtId="1" fontId="0" fillId="0" borderId="0" xfId="0" applyNumberFormat="1" applyAlignment="1">
      <alignment horizontal="left"/>
    </xf>
    <xf numFmtId="2" fontId="4" fillId="0" borderId="0" xfId="0" applyNumberFormat="1" applyFont="1" applyAlignment="1">
      <alignment horizontal="left"/>
    </xf>
    <xf numFmtId="0" fontId="0" fillId="0" borderId="31" xfId="0" applyBorder="1" applyAlignment="1">
      <alignment horizontal="left"/>
    </xf>
    <xf numFmtId="2" fontId="89" fillId="0" borderId="0" xfId="0" applyNumberFormat="1" applyFont="1" applyAlignment="1">
      <alignment horizontal="left"/>
    </xf>
    <xf numFmtId="0" fontId="89" fillId="0" borderId="0" xfId="0" applyFont="1" applyAlignment="1">
      <alignment horizontal="left"/>
    </xf>
    <xf numFmtId="0" fontId="64" fillId="9" borderId="0" xfId="0" applyFont="1" applyFill="1" applyAlignment="1">
      <alignment horizontal="right"/>
    </xf>
    <xf numFmtId="2" fontId="3" fillId="16" borderId="0" xfId="0" applyNumberFormat="1" applyFont="1" applyFill="1"/>
    <xf numFmtId="11" fontId="31" fillId="22" borderId="0" xfId="0" applyNumberFormat="1" applyFont="1" applyFill="1" applyAlignment="1">
      <alignment horizontal="right"/>
    </xf>
    <xf numFmtId="11" fontId="0" fillId="22" borderId="0" xfId="0" applyNumberFormat="1" applyFill="1"/>
    <xf numFmtId="180" fontId="31" fillId="0" borderId="0" xfId="0" applyNumberFormat="1" applyFont="1"/>
    <xf numFmtId="0" fontId="74" fillId="0" borderId="0" xfId="0" applyFont="1" applyAlignment="1">
      <alignment horizontal="left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left"/>
    </xf>
    <xf numFmtId="0" fontId="0" fillId="16" borderId="0" xfId="0" applyFill="1"/>
    <xf numFmtId="0" fontId="4" fillId="2" borderId="23" xfId="0" applyFont="1" applyFill="1" applyBorder="1" applyAlignment="1">
      <alignment horizontal="center" vertical="center" wrapText="1"/>
    </xf>
    <xf numFmtId="2" fontId="4" fillId="2" borderId="5" xfId="0" applyNumberFormat="1" applyFont="1" applyFill="1" applyBorder="1" applyAlignment="1">
      <alignment horizontal="center" vertical="center" wrapText="1"/>
    </xf>
    <xf numFmtId="2" fontId="4" fillId="2" borderId="7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/>
    </xf>
    <xf numFmtId="199" fontId="0" fillId="0" borderId="0" xfId="0" applyNumberFormat="1"/>
    <xf numFmtId="0" fontId="4" fillId="0" borderId="28" xfId="0" applyFont="1" applyBorder="1" applyAlignment="1">
      <alignment horizontal="center"/>
    </xf>
    <xf numFmtId="180" fontId="83" fillId="26" borderId="0" xfId="0" applyNumberFormat="1" applyFont="1" applyFill="1" applyAlignment="1">
      <alignment horizontal="center" vertical="center"/>
    </xf>
    <xf numFmtId="179" fontId="4" fillId="26" borderId="0" xfId="0" applyNumberFormat="1" applyFont="1" applyFill="1" applyAlignment="1">
      <alignment horizontal="center" vertical="center" wrapText="1"/>
    </xf>
    <xf numFmtId="0" fontId="4" fillId="2" borderId="23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80" fontId="4" fillId="2" borderId="21" xfId="0" applyNumberFormat="1" applyFont="1" applyFill="1" applyBorder="1" applyAlignment="1">
      <alignment horizontal="center" vertical="center" wrapText="1"/>
    </xf>
    <xf numFmtId="1" fontId="4" fillId="16" borderId="0" xfId="0" applyNumberFormat="1" applyFont="1" applyFill="1" applyAlignment="1" applyProtection="1">
      <alignment horizontal="right" vertical="center"/>
      <protection hidden="1"/>
    </xf>
    <xf numFmtId="0" fontId="62" fillId="2" borderId="6" xfId="0" applyFont="1" applyFill="1" applyBorder="1" applyAlignment="1">
      <alignment horizontal="center" vertical="center" wrapText="1"/>
    </xf>
    <xf numFmtId="181" fontId="81" fillId="0" borderId="0" xfId="0" applyNumberFormat="1" applyFont="1"/>
    <xf numFmtId="10" fontId="81" fillId="0" borderId="0" xfId="0" applyNumberFormat="1" applyFont="1" applyAlignment="1">
      <alignment horizontal="center"/>
    </xf>
    <xf numFmtId="0" fontId="11" fillId="9" borderId="0" xfId="2" applyFill="1" applyAlignment="1" applyProtection="1"/>
    <xf numFmtId="181" fontId="3" fillId="16" borderId="0" xfId="0" applyNumberFormat="1" applyFont="1" applyFill="1"/>
    <xf numFmtId="0" fontId="4" fillId="9" borderId="45" xfId="0" applyFont="1" applyFill="1" applyBorder="1" applyAlignment="1">
      <alignment horizontal="left" vertical="center"/>
    </xf>
    <xf numFmtId="0" fontId="4" fillId="19" borderId="0" xfId="0" applyFont="1" applyFill="1" applyAlignment="1">
      <alignment horizontal="left"/>
    </xf>
    <xf numFmtId="0" fontId="0" fillId="19" borderId="0" xfId="0" applyFill="1"/>
    <xf numFmtId="0" fontId="3" fillId="19" borderId="0" xfId="0" applyFont="1" applyFill="1"/>
    <xf numFmtId="181" fontId="3" fillId="19" borderId="0" xfId="0" applyNumberFormat="1" applyFont="1" applyFill="1"/>
    <xf numFmtId="0" fontId="93" fillId="0" borderId="0" xfId="6" applyFont="1"/>
    <xf numFmtId="0" fontId="65" fillId="0" borderId="0" xfId="6" applyFont="1" applyAlignment="1">
      <alignment horizontal="center"/>
    </xf>
    <xf numFmtId="0" fontId="65" fillId="0" borderId="0" xfId="6" applyFont="1" applyAlignment="1">
      <alignment horizontal="left"/>
    </xf>
    <xf numFmtId="0" fontId="64" fillId="0" borderId="0" xfId="6" applyFont="1"/>
    <xf numFmtId="0" fontId="95" fillId="0" borderId="0" xfId="7" applyFont="1" applyFill="1" applyBorder="1" applyAlignment="1">
      <alignment vertical="center"/>
    </xf>
    <xf numFmtId="0" fontId="95" fillId="0" borderId="0" xfId="7" applyFont="1" applyFill="1" applyBorder="1" applyAlignment="1">
      <alignment horizontal="right" vertical="center"/>
    </xf>
    <xf numFmtId="0" fontId="93" fillId="0" borderId="0" xfId="6" applyFont="1" applyAlignment="1">
      <alignment horizontal="center"/>
    </xf>
    <xf numFmtId="0" fontId="93" fillId="0" borderId="0" xfId="6" applyFont="1" applyAlignment="1">
      <alignment horizontal="left"/>
    </xf>
    <xf numFmtId="0" fontId="64" fillId="0" borderId="0" xfId="6" applyFont="1" applyAlignment="1">
      <alignment horizontal="center"/>
    </xf>
    <xf numFmtId="0" fontId="3" fillId="0" borderId="0" xfId="6" applyFont="1"/>
    <xf numFmtId="0" fontId="96" fillId="18" borderId="0" xfId="6" applyFont="1" applyFill="1" applyAlignment="1">
      <alignment horizontal="center"/>
    </xf>
    <xf numFmtId="0" fontId="97" fillId="0" borderId="0" xfId="7" applyFont="1" applyFill="1" applyBorder="1" applyAlignment="1">
      <alignment vertical="center"/>
    </xf>
    <xf numFmtId="0" fontId="65" fillId="9" borderId="81" xfId="0" applyFont="1" applyFill="1" applyBorder="1" applyAlignment="1">
      <alignment horizontal="right" vertical="center"/>
    </xf>
    <xf numFmtId="0" fontId="4" fillId="19" borderId="82" xfId="0" applyFont="1" applyFill="1" applyBorder="1" applyAlignment="1">
      <alignment horizontal="left"/>
    </xf>
    <xf numFmtId="0" fontId="11" fillId="25" borderId="0" xfId="2" applyFill="1" applyAlignment="1" applyProtection="1">
      <protection locked="0" hidden="1"/>
    </xf>
    <xf numFmtId="0" fontId="18" fillId="9" borderId="0" xfId="0" applyFont="1" applyFill="1" applyAlignment="1">
      <alignment vertical="top"/>
    </xf>
    <xf numFmtId="0" fontId="18" fillId="9" borderId="0" xfId="0" applyFont="1" applyFill="1" applyAlignment="1">
      <alignment horizontal="center" vertical="top"/>
    </xf>
    <xf numFmtId="0" fontId="3" fillId="9" borderId="0" xfId="0" applyFont="1" applyFill="1" applyProtection="1">
      <protection locked="0" hidden="1"/>
    </xf>
    <xf numFmtId="0" fontId="67" fillId="9" borderId="0" xfId="0" applyFont="1" applyFill="1" applyAlignment="1">
      <alignment horizontal="left" vertical="center"/>
    </xf>
    <xf numFmtId="0" fontId="11" fillId="25" borderId="0" xfId="2" applyFill="1" applyBorder="1" applyAlignment="1" applyProtection="1">
      <alignment horizontal="left" vertical="center"/>
      <protection locked="0" hidden="1"/>
    </xf>
    <xf numFmtId="0" fontId="53" fillId="17" borderId="43" xfId="0" applyFont="1" applyFill="1" applyBorder="1" applyAlignment="1">
      <alignment horizontal="center" vertical="center"/>
    </xf>
    <xf numFmtId="0" fontId="53" fillId="17" borderId="41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left" vertical="top"/>
    </xf>
    <xf numFmtId="0" fontId="3" fillId="9" borderId="29" xfId="0" applyFont="1" applyFill="1" applyBorder="1" applyAlignment="1">
      <alignment horizontal="left" vertical="top"/>
    </xf>
    <xf numFmtId="0" fontId="4" fillId="9" borderId="79" xfId="3" applyFont="1" applyFill="1" applyBorder="1" applyAlignment="1">
      <alignment horizontal="center" vertical="center"/>
    </xf>
    <xf numFmtId="0" fontId="4" fillId="9" borderId="67" xfId="3" applyFont="1" applyFill="1" applyBorder="1" applyAlignment="1">
      <alignment horizontal="center" vertical="center"/>
    </xf>
    <xf numFmtId="0" fontId="4" fillId="9" borderId="14" xfId="3" applyFont="1" applyFill="1" applyBorder="1" applyAlignment="1">
      <alignment horizontal="left" vertical="center"/>
    </xf>
    <xf numFmtId="0" fontId="4" fillId="9" borderId="12" xfId="3" applyFont="1" applyFill="1" applyBorder="1" applyAlignment="1">
      <alignment horizontal="left" vertical="center"/>
    </xf>
    <xf numFmtId="0" fontId="4" fillId="9" borderId="78" xfId="3" applyFont="1" applyFill="1" applyBorder="1" applyAlignment="1">
      <alignment horizontal="left" vertical="center"/>
    </xf>
    <xf numFmtId="0" fontId="4" fillId="9" borderId="10" xfId="3" applyFont="1" applyFill="1" applyBorder="1" applyAlignment="1">
      <alignment horizontal="left" vertical="center"/>
    </xf>
    <xf numFmtId="0" fontId="4" fillId="9" borderId="16" xfId="3" applyFont="1" applyFill="1" applyBorder="1" applyAlignment="1">
      <alignment horizontal="left" vertical="center"/>
    </xf>
    <xf numFmtId="0" fontId="4" fillId="9" borderId="69" xfId="3" applyFont="1" applyFill="1" applyBorder="1" applyAlignment="1">
      <alignment horizontal="left" vertical="center"/>
    </xf>
    <xf numFmtId="0" fontId="4" fillId="9" borderId="4" xfId="3" applyFont="1" applyFill="1" applyBorder="1" applyAlignment="1">
      <alignment horizontal="left" vertical="center"/>
    </xf>
    <xf numFmtId="0" fontId="4" fillId="9" borderId="17" xfId="3" applyFont="1" applyFill="1" applyBorder="1" applyAlignment="1">
      <alignment horizontal="left" vertical="center"/>
    </xf>
    <xf numFmtId="0" fontId="62" fillId="9" borderId="14" xfId="3" applyFont="1" applyFill="1" applyBorder="1" applyAlignment="1">
      <alignment horizontal="center" vertical="center"/>
    </xf>
    <xf numFmtId="0" fontId="62" fillId="9" borderId="12" xfId="3" applyFont="1" applyFill="1" applyBorder="1" applyAlignment="1">
      <alignment horizontal="center" vertical="center"/>
    </xf>
    <xf numFmtId="0" fontId="4" fillId="9" borderId="14" xfId="3" applyFont="1" applyFill="1" applyBorder="1" applyAlignment="1">
      <alignment horizontal="left" vertical="center" wrapText="1"/>
    </xf>
    <xf numFmtId="0" fontId="4" fillId="9" borderId="12" xfId="3" applyFont="1" applyFill="1" applyBorder="1" applyAlignment="1">
      <alignment horizontal="left" vertical="center" wrapText="1"/>
    </xf>
    <xf numFmtId="0" fontId="73" fillId="3" borderId="51" xfId="3" applyFont="1" applyFill="1" applyBorder="1" applyAlignment="1">
      <alignment horizontal="left" vertical="center"/>
    </xf>
    <xf numFmtId="0" fontId="73" fillId="3" borderId="52" xfId="3" applyFont="1" applyFill="1" applyBorder="1" applyAlignment="1">
      <alignment horizontal="left" vertical="center"/>
    </xf>
    <xf numFmtId="0" fontId="73" fillId="3" borderId="53" xfId="3" applyFont="1" applyFill="1" applyBorder="1" applyAlignment="1">
      <alignment horizontal="left" vertical="center"/>
    </xf>
    <xf numFmtId="191" fontId="3" fillId="21" borderId="8" xfId="3" applyNumberFormat="1" applyFill="1" applyBorder="1" applyAlignment="1">
      <alignment horizontal="left" vertical="center"/>
    </xf>
    <xf numFmtId="191" fontId="3" fillId="21" borderId="9" xfId="3" applyNumberFormat="1" applyFill="1" applyBorder="1" applyAlignment="1">
      <alignment horizontal="left" vertical="center"/>
    </xf>
    <xf numFmtId="196" fontId="3" fillId="16" borderId="8" xfId="3" applyNumberFormat="1" applyFill="1" applyBorder="1" applyAlignment="1">
      <alignment horizontal="left" vertical="center"/>
    </xf>
    <xf numFmtId="196" fontId="3" fillId="16" borderId="9" xfId="3" applyNumberFormat="1" applyFill="1" applyBorder="1" applyAlignment="1">
      <alignment horizontal="left" vertical="center"/>
    </xf>
    <xf numFmtId="196" fontId="3" fillId="16" borderId="15" xfId="3" applyNumberFormat="1" applyFill="1" applyBorder="1" applyAlignment="1">
      <alignment horizontal="left" vertical="center"/>
    </xf>
    <xf numFmtId="196" fontId="3" fillId="21" borderId="8" xfId="3" applyNumberFormat="1" applyFill="1" applyBorder="1" applyAlignment="1">
      <alignment horizontal="left" vertical="center"/>
    </xf>
    <xf numFmtId="196" fontId="3" fillId="21" borderId="9" xfId="3" applyNumberFormat="1" applyFill="1" applyBorder="1" applyAlignment="1">
      <alignment horizontal="left" vertical="center"/>
    </xf>
    <xf numFmtId="196" fontId="3" fillId="21" borderId="15" xfId="3" applyNumberFormat="1" applyFill="1" applyBorder="1" applyAlignment="1">
      <alignment horizontal="left" vertical="center"/>
    </xf>
    <xf numFmtId="201" fontId="3" fillId="16" borderId="8" xfId="3" applyNumberFormat="1" applyFill="1" applyBorder="1" applyAlignment="1">
      <alignment horizontal="left" vertical="center"/>
    </xf>
    <xf numFmtId="201" fontId="3" fillId="16" borderId="9" xfId="3" applyNumberFormat="1" applyFill="1" applyBorder="1" applyAlignment="1">
      <alignment horizontal="left" vertical="center"/>
    </xf>
    <xf numFmtId="201" fontId="3" fillId="16" borderId="15" xfId="3" applyNumberFormat="1" applyFill="1" applyBorder="1" applyAlignment="1">
      <alignment horizontal="left" vertical="center"/>
    </xf>
    <xf numFmtId="205" fontId="3" fillId="21" borderId="8" xfId="3" applyNumberFormat="1" applyFill="1" applyBorder="1" applyAlignment="1">
      <alignment horizontal="left" vertical="center"/>
    </xf>
    <xf numFmtId="205" fontId="3" fillId="21" borderId="9" xfId="3" applyNumberFormat="1" applyFill="1" applyBorder="1" applyAlignment="1">
      <alignment horizontal="left" vertical="center"/>
    </xf>
    <xf numFmtId="205" fontId="3" fillId="21" borderId="15" xfId="3" applyNumberFormat="1" applyFill="1" applyBorder="1" applyAlignment="1">
      <alignment horizontal="left" vertical="center"/>
    </xf>
    <xf numFmtId="195" fontId="3" fillId="20" borderId="8" xfId="3" applyNumberFormat="1" applyFill="1" applyBorder="1" applyAlignment="1">
      <alignment horizontal="left" vertical="center"/>
    </xf>
    <xf numFmtId="195" fontId="3" fillId="20" borderId="9" xfId="3" applyNumberFormat="1" applyFill="1" applyBorder="1" applyAlignment="1">
      <alignment horizontal="left" vertical="center"/>
    </xf>
    <xf numFmtId="195" fontId="3" fillId="20" borderId="15" xfId="3" applyNumberFormat="1" applyFill="1" applyBorder="1" applyAlignment="1">
      <alignment horizontal="left" vertical="center"/>
    </xf>
    <xf numFmtId="197" fontId="3" fillId="16" borderId="8" xfId="3" applyNumberFormat="1" applyFill="1" applyBorder="1" applyAlignment="1">
      <alignment horizontal="left" vertical="center"/>
    </xf>
    <xf numFmtId="197" fontId="3" fillId="16" borderId="9" xfId="3" applyNumberFormat="1" applyFill="1" applyBorder="1" applyAlignment="1">
      <alignment horizontal="left" vertical="center"/>
    </xf>
    <xf numFmtId="197" fontId="3" fillId="16" borderId="15" xfId="3" applyNumberFormat="1" applyFill="1" applyBorder="1" applyAlignment="1">
      <alignment horizontal="left" vertical="center"/>
    </xf>
    <xf numFmtId="203" fontId="3" fillId="9" borderId="8" xfId="3" applyNumberFormat="1" applyFill="1" applyBorder="1" applyAlignment="1">
      <alignment horizontal="left" vertical="center"/>
    </xf>
    <xf numFmtId="203" fontId="3" fillId="9" borderId="9" xfId="3" applyNumberFormat="1" applyFill="1" applyBorder="1" applyAlignment="1">
      <alignment horizontal="left" vertical="center"/>
    </xf>
    <xf numFmtId="191" fontId="3" fillId="20" borderId="8" xfId="3" applyNumberFormat="1" applyFill="1" applyBorder="1" applyAlignment="1">
      <alignment horizontal="left" vertical="center"/>
    </xf>
    <xf numFmtId="191" fontId="3" fillId="20" borderId="9" xfId="3" applyNumberFormat="1" applyFill="1" applyBorder="1" applyAlignment="1">
      <alignment horizontal="left" vertical="center"/>
    </xf>
    <xf numFmtId="189" fontId="3" fillId="20" borderId="8" xfId="3" applyNumberFormat="1" applyFill="1" applyBorder="1" applyAlignment="1">
      <alignment horizontal="left" vertical="center"/>
    </xf>
    <xf numFmtId="189" fontId="3" fillId="20" borderId="9" xfId="3" applyNumberFormat="1" applyFill="1" applyBorder="1" applyAlignment="1">
      <alignment horizontal="left" vertical="center"/>
    </xf>
    <xf numFmtId="204" fontId="3" fillId="16" borderId="8" xfId="3" applyNumberFormat="1" applyFill="1" applyBorder="1" applyAlignment="1">
      <alignment horizontal="left" vertical="center"/>
    </xf>
    <xf numFmtId="204" fontId="3" fillId="16" borderId="9" xfId="3" applyNumberFormat="1" applyFill="1" applyBorder="1" applyAlignment="1">
      <alignment horizontal="left" vertical="center"/>
    </xf>
    <xf numFmtId="190" fontId="3" fillId="20" borderId="8" xfId="3" applyNumberFormat="1" applyFill="1" applyBorder="1" applyAlignment="1">
      <alignment horizontal="left" vertical="center"/>
    </xf>
    <xf numFmtId="190" fontId="3" fillId="20" borderId="9" xfId="3" applyNumberFormat="1" applyFill="1" applyBorder="1" applyAlignment="1">
      <alignment horizontal="left" vertical="center"/>
    </xf>
    <xf numFmtId="192" fontId="3" fillId="16" borderId="8" xfId="3" applyNumberFormat="1" applyFill="1" applyBorder="1" applyAlignment="1">
      <alignment horizontal="left" vertical="center"/>
    </xf>
    <xf numFmtId="192" fontId="3" fillId="16" borderId="9" xfId="3" applyNumberFormat="1" applyFill="1" applyBorder="1" applyAlignment="1">
      <alignment horizontal="left" vertical="center"/>
    </xf>
    <xf numFmtId="193" fontId="3" fillId="16" borderId="8" xfId="3" applyNumberFormat="1" applyFill="1" applyBorder="1" applyAlignment="1">
      <alignment horizontal="left" vertical="center"/>
    </xf>
    <xf numFmtId="193" fontId="3" fillId="16" borderId="9" xfId="3" applyNumberFormat="1" applyFill="1" applyBorder="1" applyAlignment="1">
      <alignment horizontal="left" vertical="center"/>
    </xf>
    <xf numFmtId="203" fontId="3" fillId="20" borderId="8" xfId="3" applyNumberFormat="1" applyFill="1" applyBorder="1" applyAlignment="1">
      <alignment horizontal="left" vertical="center"/>
    </xf>
    <xf numFmtId="203" fontId="3" fillId="20" borderId="9" xfId="3" applyNumberFormat="1" applyFill="1" applyBorder="1" applyAlignment="1">
      <alignment horizontal="left" vertical="center"/>
    </xf>
    <xf numFmtId="189" fontId="3" fillId="16" borderId="8" xfId="3" applyNumberFormat="1" applyFill="1" applyBorder="1" applyAlignment="1">
      <alignment horizontal="left" vertical="center"/>
    </xf>
    <xf numFmtId="0" fontId="0" fillId="0" borderId="9" xfId="0" applyBorder="1"/>
    <xf numFmtId="0" fontId="64" fillId="0" borderId="0" xfId="6" applyFont="1" applyAlignment="1">
      <alignment wrapText="1"/>
    </xf>
    <xf numFmtId="0" fontId="93" fillId="0" borderId="0" xfId="6" applyFont="1" applyAlignment="1">
      <alignment horizontal="center"/>
    </xf>
    <xf numFmtId="0" fontId="93" fillId="27" borderId="0" xfId="6" applyFont="1" applyFill="1" applyAlignment="1">
      <alignment horizontal="center"/>
    </xf>
    <xf numFmtId="0" fontId="96" fillId="18" borderId="0" xfId="6" applyFont="1" applyFill="1" applyAlignment="1">
      <alignment horizontal="left"/>
    </xf>
    <xf numFmtId="0" fontId="64" fillId="0" borderId="0" xfId="6" applyFont="1" applyAlignment="1">
      <alignment horizontal="left"/>
    </xf>
    <xf numFmtId="0" fontId="52" fillId="16" borderId="28" xfId="0" applyFont="1" applyFill="1" applyBorder="1" applyAlignment="1">
      <alignment horizontal="left" vertical="center"/>
    </xf>
    <xf numFmtId="0" fontId="52" fillId="16" borderId="0" xfId="0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6" xfId="0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0" fontId="4" fillId="4" borderId="47" xfId="0" applyFont="1" applyFill="1" applyBorder="1" applyAlignment="1">
      <alignment horizontal="center"/>
    </xf>
    <xf numFmtId="0" fontId="4" fillId="4" borderId="48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24" borderId="0" xfId="0" applyFont="1" applyFill="1" applyAlignment="1">
      <alignment horizontal="center"/>
    </xf>
    <xf numFmtId="0" fontId="14" fillId="3" borderId="0" xfId="0" applyFont="1" applyFill="1" applyAlignment="1">
      <alignment horizontal="left"/>
    </xf>
    <xf numFmtId="0" fontId="4" fillId="0" borderId="0" xfId="0" applyFont="1" applyAlignment="1">
      <alignment horizontal="left" wrapText="1"/>
    </xf>
    <xf numFmtId="182" fontId="4" fillId="4" borderId="55" xfId="0" applyNumberFormat="1" applyFont="1" applyFill="1" applyBorder="1" applyAlignment="1">
      <alignment horizontal="center"/>
    </xf>
    <xf numFmtId="182" fontId="4" fillId="4" borderId="56" xfId="0" applyNumberFormat="1" applyFont="1" applyFill="1" applyBorder="1" applyAlignment="1">
      <alignment horizontal="center"/>
    </xf>
    <xf numFmtId="182" fontId="4" fillId="4" borderId="57" xfId="0" applyNumberFormat="1" applyFont="1" applyFill="1" applyBorder="1" applyAlignment="1">
      <alignment horizontal="center"/>
    </xf>
    <xf numFmtId="0" fontId="4" fillId="4" borderId="60" xfId="3" applyFont="1" applyFill="1" applyBorder="1"/>
    <xf numFmtId="0" fontId="4" fillId="4" borderId="62" xfId="3" applyFont="1" applyFill="1" applyBorder="1"/>
    <xf numFmtId="0" fontId="4" fillId="0" borderId="18" xfId="3" applyFont="1" applyBorder="1" applyAlignment="1">
      <alignment horizontal="center"/>
    </xf>
    <xf numFmtId="0" fontId="4" fillId="0" borderId="11" xfId="3" applyFont="1" applyBorder="1" applyAlignment="1">
      <alignment horizontal="center"/>
    </xf>
    <xf numFmtId="0" fontId="4" fillId="0" borderId="58" xfId="3" applyFont="1" applyBorder="1" applyAlignment="1">
      <alignment horizontal="center"/>
    </xf>
    <xf numFmtId="0" fontId="4" fillId="0" borderId="64" xfId="3" applyFont="1" applyBorder="1" applyAlignment="1">
      <alignment horizontal="center"/>
    </xf>
    <xf numFmtId="0" fontId="4" fillId="0" borderId="65" xfId="3" applyFont="1" applyBorder="1" applyAlignment="1">
      <alignment horizontal="center"/>
    </xf>
    <xf numFmtId="0" fontId="80" fillId="4" borderId="74" xfId="3" applyFont="1" applyFill="1" applyBorder="1" applyAlignment="1">
      <alignment horizontal="center" vertical="center"/>
    </xf>
    <xf numFmtId="0" fontId="80" fillId="4" borderId="66" xfId="3" applyFont="1" applyFill="1" applyBorder="1" applyAlignment="1">
      <alignment horizontal="center" vertical="center"/>
    </xf>
    <xf numFmtId="0" fontId="4" fillId="0" borderId="55" xfId="3" applyFont="1" applyBorder="1" applyAlignment="1">
      <alignment horizontal="center"/>
    </xf>
    <xf numFmtId="0" fontId="4" fillId="0" borderId="56" xfId="3" applyFont="1" applyBorder="1" applyAlignment="1">
      <alignment horizontal="center"/>
    </xf>
    <xf numFmtId="0" fontId="3" fillId="0" borderId="56" xfId="3" applyBorder="1" applyAlignment="1">
      <alignment horizontal="center"/>
    </xf>
    <xf numFmtId="0" fontId="3" fillId="0" borderId="57" xfId="3" applyBorder="1" applyAlignment="1">
      <alignment horizontal="center"/>
    </xf>
    <xf numFmtId="0" fontId="80" fillId="4" borderId="74" xfId="3" applyFont="1" applyFill="1" applyBorder="1" applyAlignment="1">
      <alignment horizontal="center" vertical="top" shrinkToFit="1"/>
    </xf>
    <xf numFmtId="0" fontId="3" fillId="4" borderId="73" xfId="3" applyFill="1" applyBorder="1" applyAlignment="1">
      <alignment horizontal="center" vertical="top" shrinkToFit="1"/>
    </xf>
    <xf numFmtId="0" fontId="3" fillId="4" borderId="72" xfId="3" applyFill="1" applyBorder="1" applyAlignment="1">
      <alignment horizontal="center" vertical="top" shrinkToFit="1"/>
    </xf>
    <xf numFmtId="0" fontId="80" fillId="4" borderId="60" xfId="3" applyFont="1" applyFill="1" applyBorder="1" applyAlignment="1">
      <alignment horizontal="center"/>
    </xf>
    <xf numFmtId="0" fontId="80" fillId="4" borderId="62" xfId="3" applyFont="1" applyFill="1" applyBorder="1" applyAlignment="1">
      <alignment horizontal="center"/>
    </xf>
    <xf numFmtId="0" fontId="4" fillId="0" borderId="57" xfId="3" applyFont="1" applyBorder="1" applyAlignment="1">
      <alignment horizontal="center"/>
    </xf>
    <xf numFmtId="0" fontId="80" fillId="4" borderId="55" xfId="3" applyFont="1" applyFill="1" applyBorder="1" applyAlignment="1">
      <alignment horizontal="center"/>
    </xf>
    <xf numFmtId="0" fontId="80" fillId="4" borderId="56" xfId="3" applyFont="1" applyFill="1" applyBorder="1" applyAlignment="1">
      <alignment horizontal="center"/>
    </xf>
    <xf numFmtId="0" fontId="80" fillId="4" borderId="57" xfId="3" applyFont="1" applyFill="1" applyBorder="1" applyAlignment="1">
      <alignment horizontal="center"/>
    </xf>
    <xf numFmtId="0" fontId="3" fillId="4" borderId="61" xfId="3" applyFill="1" applyBorder="1" applyAlignment="1">
      <alignment horizontal="center"/>
    </xf>
    <xf numFmtId="0" fontId="3" fillId="4" borderId="62" xfId="3" applyFill="1" applyBorder="1" applyAlignment="1">
      <alignment horizontal="center"/>
    </xf>
  </cellXfs>
  <cellStyles count="8">
    <cellStyle name="Comma 2" xfId="5"/>
    <cellStyle name="Hyperlink 2" xfId="7"/>
    <cellStyle name="Normal 2" xfId="3"/>
    <cellStyle name="Normal 3" xfId="4"/>
    <cellStyle name="Normal 4" xfId="6"/>
    <cellStyle name="常规" xfId="0" builtinId="0"/>
    <cellStyle name="超链接" xfId="2" builtinId="8"/>
    <cellStyle name="千位分隔" xfId="1" builtinId="3"/>
  </cellStyles>
  <dxfs count="16">
    <dxf>
      <font>
        <color theme="0"/>
      </font>
    </dxf>
    <dxf>
      <font>
        <b/>
        <i val="0"/>
        <color rgb="FFC00000"/>
      </font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b/>
        <i val="0"/>
        <condense val="0"/>
        <extend val="0"/>
        <color indexed="1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CFFFF"/>
      <color rgb="FF0000FF"/>
      <color rgb="FFC00000"/>
      <color rgb="FFCC00FF"/>
      <color rgb="FFC0C0C0"/>
      <color rgb="FFFFFFCC"/>
      <color rgb="FFFF9900"/>
      <color rgb="FFFF00FF"/>
      <color rgb="FF99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 u="none">
                <a:latin typeface="Arial" pitchFamily="34" charset="0"/>
                <a:cs typeface="Arial" pitchFamily="34" charset="0"/>
              </a:rPr>
              <a:t>Bode Plot, V</a:t>
            </a:r>
            <a:r>
              <a:rPr lang="en-US" sz="2000" u="none" baseline="-25000">
                <a:latin typeface="Arial" pitchFamily="34" charset="0"/>
                <a:cs typeface="Arial" pitchFamily="34" charset="0"/>
              </a:rPr>
              <a:t>IN</a:t>
            </a:r>
            <a:r>
              <a:rPr lang="en-US" sz="2000" u="none" baseline="0">
                <a:latin typeface="Arial" pitchFamily="34" charset="0"/>
                <a:cs typeface="Arial" pitchFamily="34" charset="0"/>
              </a:rPr>
              <a:t> = </a:t>
            </a:r>
            <a:r>
              <a:rPr lang="en-US" sz="2000" u="none">
                <a:latin typeface="Arial" pitchFamily="34" charset="0"/>
                <a:cs typeface="Arial" pitchFamily="34" charset="0"/>
              </a:rPr>
              <a:t>V</a:t>
            </a:r>
            <a:r>
              <a:rPr lang="en-US" sz="2000" u="none" baseline="-25000">
                <a:latin typeface="Arial" pitchFamily="34" charset="0"/>
                <a:cs typeface="Arial" pitchFamily="34" charset="0"/>
              </a:rPr>
              <a:t>IN(nom)</a:t>
            </a:r>
            <a:endParaRPr lang="en-US" sz="2000" u="none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8.0358613068103324E-2"/>
          <c:y val="2.06299212598425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865550467700392E-2"/>
          <c:y val="0.11264619116931211"/>
          <c:w val="0.82929752780099952"/>
          <c:h val="0.762051843542218"/>
        </c:manualLayout>
      </c:layout>
      <c:scatterChart>
        <c:scatterStyle val="lineMarker"/>
        <c:varyColors val="0"/>
        <c:ser>
          <c:idx val="10"/>
          <c:order val="5"/>
          <c:tx>
            <c:v>FPCOMP</c:v>
          </c:tx>
          <c:spPr>
            <a:ln>
              <a:solidFill>
                <a:schemeClr val="tx1"/>
              </a:solidFill>
            </a:ln>
          </c:spPr>
          <c:marker>
            <c:symbol val="x"/>
            <c:size val="8"/>
            <c:spPr>
              <a:noFill/>
              <a:ln w="22225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5.8718924670594424E-3"/>
                  <c:y val="-8.0265817928798291E-3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00FF"/>
                        </a:solidFill>
                        <a:latin typeface="Arial" pitchFamily="34" charset="0"/>
                        <a:cs typeface="Arial" pitchFamily="34" charset="0"/>
                      </a:rPr>
                      <a:t>F</a:t>
                    </a:r>
                    <a:r>
                      <a:rPr lang="en-US" baseline="-25000">
                        <a:solidFill>
                          <a:srgbClr val="0000FF"/>
                        </a:solidFill>
                        <a:latin typeface="Arial" pitchFamily="34" charset="0"/>
                        <a:cs typeface="Arial" pitchFamily="34" charset="0"/>
                      </a:rPr>
                      <a:t>PCOMP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9108-48B6-A860-793AEC41F9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Calculations'!$A$627</c:f>
              <c:numCache>
                <c:formatCode>0</c:formatCode>
                <c:ptCount val="1"/>
                <c:pt idx="0">
                  <c:v>62713.6417533817</c:v>
                </c:pt>
              </c:numCache>
            </c:numRef>
          </c:xVal>
          <c:yVal>
            <c:numRef>
              <c:f>'Stability Calculations'!$Q$627</c:f>
              <c:numCache>
                <c:formatCode>0.00</c:formatCode>
                <c:ptCount val="1"/>
                <c:pt idx="0">
                  <c:v>-8.8055480293487847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08-48B6-A860-793AEC41F97D}"/>
            </c:ext>
          </c:extLst>
        </c:ser>
        <c:ser>
          <c:idx val="11"/>
          <c:order val="9"/>
          <c:tx>
            <c:v>FzRHP</c:v>
          </c:tx>
          <c:spPr>
            <a:ln>
              <a:solidFill>
                <a:srgbClr val="FF00FF"/>
              </a:solidFill>
            </a:ln>
          </c:spPr>
          <c:marker>
            <c:symbol val="circle"/>
            <c:size val="8"/>
            <c:spPr>
              <a:noFill/>
              <a:ln w="19050">
                <a:solidFill>
                  <a:srgbClr val="FF00FF"/>
                </a:solidFill>
              </a:ln>
            </c:spPr>
          </c:marker>
          <c:dLbls>
            <c:dLbl>
              <c:idx val="0"/>
              <c:layout>
                <c:manualLayout>
                  <c:x val="-2.3423587921912771E-2"/>
                  <c:y val="2.91718636226860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  <a:r>
                      <a:rPr lang="en-US" baseline="-25000"/>
                      <a:t>ZRHP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B-9108-48B6-A860-793AEC41F97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Calculations'!$A$628</c:f>
              <c:numCache>
                <c:formatCode>0</c:formatCode>
                <c:ptCount val="1"/>
                <c:pt idx="0">
                  <c:v>13491.577082021624</c:v>
                </c:pt>
              </c:numCache>
            </c:numRef>
          </c:xVal>
          <c:yVal>
            <c:numRef>
              <c:f>'Stability Calculations'!$D$637</c:f>
              <c:numCache>
                <c:formatCode>0.00</c:formatCode>
                <c:ptCount val="1"/>
                <c:pt idx="0">
                  <c:v>-3.9896472122829314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7280"/>
        <c:axId val="139720192"/>
      </c:scatterChart>
      <c:scatterChart>
        <c:scatterStyle val="smoothMarker"/>
        <c:varyColors val="0"/>
        <c:ser>
          <c:idx val="2"/>
          <c:order val="0"/>
          <c:tx>
            <c:v>Loop Gain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77.379092377711956</c:v>
                </c:pt>
                <c:pt idx="1">
                  <c:v>76.806936867192604</c:v>
                </c:pt>
                <c:pt idx="2">
                  <c:v>76.206040749218673</c:v>
                </c:pt>
                <c:pt idx="3">
                  <c:v>75.578922366258524</c:v>
                </c:pt>
                <c:pt idx="4">
                  <c:v>74.928595929247905</c:v>
                </c:pt>
                <c:pt idx="5">
                  <c:v>74.256522295238113</c:v>
                </c:pt>
                <c:pt idx="6">
                  <c:v>73.566094613819004</c:v>
                </c:pt>
                <c:pt idx="7">
                  <c:v>72.859171956185705</c:v>
                </c:pt>
                <c:pt idx="8">
                  <c:v>72.138400540944488</c:v>
                </c:pt>
                <c:pt idx="9">
                  <c:v>71.405164386145742</c:v>
                </c:pt>
                <c:pt idx="10">
                  <c:v>70.661604448522837</c:v>
                </c:pt>
                <c:pt idx="11">
                  <c:v>69.909138625638533</c:v>
                </c:pt>
                <c:pt idx="12">
                  <c:v>69.148691781300485</c:v>
                </c:pt>
                <c:pt idx="13">
                  <c:v>68.382144603547758</c:v>
                </c:pt>
                <c:pt idx="14">
                  <c:v>67.609875661982798</c:v>
                </c:pt>
                <c:pt idx="15">
                  <c:v>66.833024144382421</c:v>
                </c:pt>
                <c:pt idx="16">
                  <c:v>66.052244069368498</c:v>
                </c:pt>
                <c:pt idx="17">
                  <c:v>65.268250925664319</c:v>
                </c:pt>
                <c:pt idx="18">
                  <c:v>64.481322755760033</c:v>
                </c:pt>
                <c:pt idx="19">
                  <c:v>63.692091345962709</c:v>
                </c:pt>
                <c:pt idx="20">
                  <c:v>62.900745944360175</c:v>
                </c:pt>
                <c:pt idx="21">
                  <c:v>62.107730178232913</c:v>
                </c:pt>
                <c:pt idx="22">
                  <c:v>61.313100777246198</c:v>
                </c:pt>
                <c:pt idx="23">
                  <c:v>60.517231259592833</c:v>
                </c:pt>
                <c:pt idx="24">
                  <c:v>59.720052195012286</c:v>
                </c:pt>
                <c:pt idx="25">
                  <c:v>58.921780354060331</c:v>
                </c:pt>
                <c:pt idx="26">
                  <c:v>58.122286540735779</c:v>
                </c:pt>
                <c:pt idx="27">
                  <c:v>57.321847707258726</c:v>
                </c:pt>
                <c:pt idx="28">
                  <c:v>56.520422074350051</c:v>
                </c:pt>
                <c:pt idx="29">
                  <c:v>55.718464333386649</c:v>
                </c:pt>
                <c:pt idx="30">
                  <c:v>54.914539188784381</c:v>
                </c:pt>
                <c:pt idx="31">
                  <c:v>54.109654147644576</c:v>
                </c:pt>
                <c:pt idx="32">
                  <c:v>53.303109812073785</c:v>
                </c:pt>
                <c:pt idx="33">
                  <c:v>52.495285496789286</c:v>
                </c:pt>
                <c:pt idx="34">
                  <c:v>51.685316346847934</c:v>
                </c:pt>
                <c:pt idx="35">
                  <c:v>50.873364862102292</c:v>
                </c:pt>
                <c:pt idx="36">
                  <c:v>50.058958742019882</c:v>
                </c:pt>
                <c:pt idx="37">
                  <c:v>49.241247721422852</c:v>
                </c:pt>
                <c:pt idx="38">
                  <c:v>48.420535254627069</c:v>
                </c:pt>
                <c:pt idx="39">
                  <c:v>47.595617032516564</c:v>
                </c:pt>
                <c:pt idx="40">
                  <c:v>46.766190319184517</c:v>
                </c:pt>
                <c:pt idx="41">
                  <c:v>45.931504377568501</c:v>
                </c:pt>
                <c:pt idx="42">
                  <c:v>45.090937286065937</c:v>
                </c:pt>
                <c:pt idx="43">
                  <c:v>44.243460877636608</c:v>
                </c:pt>
                <c:pt idx="44">
                  <c:v>43.388500984215881</c:v>
                </c:pt>
                <c:pt idx="45">
                  <c:v>42.525103594201717</c:v>
                </c:pt>
                <c:pt idx="46">
                  <c:v>41.652726608508708</c:v>
                </c:pt>
                <c:pt idx="47">
                  <c:v>40.770589667620186</c:v>
                </c:pt>
                <c:pt idx="48">
                  <c:v>39.878510890685718</c:v>
                </c:pt>
                <c:pt idx="49">
                  <c:v>38.976129987605802</c:v>
                </c:pt>
                <c:pt idx="50">
                  <c:v>38.063789976605882</c:v>
                </c:pt>
                <c:pt idx="51">
                  <c:v>37.141877160460226</c:v>
                </c:pt>
                <c:pt idx="52">
                  <c:v>36.211716001088135</c:v>
                </c:pt>
                <c:pt idx="53">
                  <c:v>35.274734956977561</c:v>
                </c:pt>
                <c:pt idx="54">
                  <c:v>34.333371641421785</c:v>
                </c:pt>
                <c:pt idx="55">
                  <c:v>33.38818467929751</c:v>
                </c:pt>
                <c:pt idx="56">
                  <c:v>32.442825947970874</c:v>
                </c:pt>
                <c:pt idx="57">
                  <c:v>31.499026015837472</c:v>
                </c:pt>
                <c:pt idx="58">
                  <c:v>30.55971482530202</c:v>
                </c:pt>
                <c:pt idx="59">
                  <c:v>29.62617930906411</c:v>
                </c:pt>
                <c:pt idx="60">
                  <c:v>28.70060690673165</c:v>
                </c:pt>
                <c:pt idx="61">
                  <c:v>27.784100031957706</c:v>
                </c:pt>
                <c:pt idx="62">
                  <c:v>26.876985723546024</c:v>
                </c:pt>
                <c:pt idx="63">
                  <c:v>25.980528377524756</c:v>
                </c:pt>
                <c:pt idx="64">
                  <c:v>25.094038424620251</c:v>
                </c:pt>
                <c:pt idx="65">
                  <c:v>24.217591140238124</c:v>
                </c:pt>
                <c:pt idx="66">
                  <c:v>23.3506212341997</c:v>
                </c:pt>
                <c:pt idx="67">
                  <c:v>22.492604656777274</c:v>
                </c:pt>
                <c:pt idx="68">
                  <c:v>21.642559519767026</c:v>
                </c:pt>
                <c:pt idx="69">
                  <c:v>20.799948291143707</c:v>
                </c:pt>
                <c:pt idx="70">
                  <c:v>19.963844584928832</c:v>
                </c:pt>
                <c:pt idx="71">
                  <c:v>19.13369999981326</c:v>
                </c:pt>
                <c:pt idx="72">
                  <c:v>18.30867883130605</c:v>
                </c:pt>
                <c:pt idx="73">
                  <c:v>17.488400668371927</c:v>
                </c:pt>
                <c:pt idx="74">
                  <c:v>16.672153745883339</c:v>
                </c:pt>
                <c:pt idx="75">
                  <c:v>15.85964714599173</c:v>
                </c:pt>
                <c:pt idx="76">
                  <c:v>15.050360731568729</c:v>
                </c:pt>
                <c:pt idx="77">
                  <c:v>14.24430683530024</c:v>
                </c:pt>
                <c:pt idx="78">
                  <c:v>13.441293048361853</c:v>
                </c:pt>
                <c:pt idx="79">
                  <c:v>12.641740206588729</c:v>
                </c:pt>
                <c:pt idx="80">
                  <c:v>11.844309473646302</c:v>
                </c:pt>
                <c:pt idx="81">
                  <c:v>11.050218391041991</c:v>
                </c:pt>
                <c:pt idx="82">
                  <c:v>10.259121180887018</c:v>
                </c:pt>
                <c:pt idx="83">
                  <c:v>9.4718724991259791</c:v>
                </c:pt>
                <c:pt idx="84">
                  <c:v>8.688262575832141</c:v>
                </c:pt>
                <c:pt idx="85">
                  <c:v>7.9092462860377486</c:v>
                </c:pt>
                <c:pt idx="86">
                  <c:v>7.1353420937992418</c:v>
                </c:pt>
                <c:pt idx="87">
                  <c:v>6.3669157271657468</c:v>
                </c:pt>
                <c:pt idx="88">
                  <c:v>5.6056306762115291</c:v>
                </c:pt>
                <c:pt idx="89">
                  <c:v>4.8519706682365715</c:v>
                </c:pt>
                <c:pt idx="90">
                  <c:v>4.1075017560281708</c:v>
                </c:pt>
                <c:pt idx="91">
                  <c:v>3.3736267712287979</c:v>
                </c:pt>
                <c:pt idx="92">
                  <c:v>2.6521070806124145</c:v>
                </c:pt>
                <c:pt idx="93">
                  <c:v>1.9445866269358549</c:v>
                </c:pt>
                <c:pt idx="94">
                  <c:v>1.7702183876618651</c:v>
                </c:pt>
                <c:pt idx="95">
                  <c:v>1.6828861153610837</c:v>
                </c:pt>
                <c:pt idx="96">
                  <c:v>1.5968168613912925</c:v>
                </c:pt>
                <c:pt idx="97">
                  <c:v>1.510031073410163</c:v>
                </c:pt>
                <c:pt idx="98">
                  <c:v>1.4245104105762996</c:v>
                </c:pt>
                <c:pt idx="99">
                  <c:v>1.3382666145692861</c:v>
                </c:pt>
                <c:pt idx="100">
                  <c:v>1.2532906140188023</c:v>
                </c:pt>
                <c:pt idx="101">
                  <c:v>1.1676515046384766</c:v>
                </c:pt>
                <c:pt idx="102">
                  <c:v>1.0832814537373683</c:v>
                </c:pt>
                <c:pt idx="103">
                  <c:v>0.99818258456056697</c:v>
                </c:pt>
                <c:pt idx="104">
                  <c:v>0.91435636468007497</c:v>
                </c:pt>
                <c:pt idx="105">
                  <c:v>0.82986351646887047</c:v>
                </c:pt>
                <c:pt idx="106">
                  <c:v>0.7466453948497338</c:v>
                </c:pt>
                <c:pt idx="107">
                  <c:v>0.66282009777195516</c:v>
                </c:pt>
                <c:pt idx="108">
                  <c:v>0.58027015972004881</c:v>
                </c:pt>
                <c:pt idx="109">
                  <c:v>0.49711365142379627</c:v>
                </c:pt>
                <c:pt idx="110">
                  <c:v>0.41523347469852873</c:v>
                </c:pt>
                <c:pt idx="111">
                  <c:v>0.33269541878156184</c:v>
                </c:pt>
                <c:pt idx="112">
                  <c:v>0.25143660100933585</c:v>
                </c:pt>
                <c:pt idx="113">
                  <c:v>0.16958154631998051</c:v>
                </c:pt>
                <c:pt idx="114">
                  <c:v>8.9007049126124935E-2</c:v>
                </c:pt>
                <c:pt idx="115">
                  <c:v>7.8439880919966565E-3</c:v>
                </c:pt>
                <c:pt idx="116">
                  <c:v>-7.2037106349196078E-2</c:v>
                </c:pt>
                <c:pt idx="117">
                  <c:v>-0.15249705397056115</c:v>
                </c:pt>
                <c:pt idx="118">
                  <c:v>-0.23167361388894031</c:v>
                </c:pt>
                <c:pt idx="119">
                  <c:v>-0.31136950160618321</c:v>
                </c:pt>
                <c:pt idx="120">
                  <c:v>-0.38978218239488949</c:v>
                </c:pt>
                <c:pt idx="121">
                  <c:v>-0.46870396247663321</c:v>
                </c:pt>
                <c:pt idx="122">
                  <c:v>-0.54634274695261409</c:v>
                </c:pt>
                <c:pt idx="123">
                  <c:v>-0.62452362903338021</c:v>
                </c:pt>
                <c:pt idx="124">
                  <c:v>-0.70142036014338882</c:v>
                </c:pt>
                <c:pt idx="125">
                  <c:v>-0.77879941259162933</c:v>
                </c:pt>
                <c:pt idx="126">
                  <c:v>-0.85489486838381812</c:v>
                </c:pt>
                <c:pt idx="127">
                  <c:v>-0.93145790460183886</c:v>
                </c:pt>
                <c:pt idx="128">
                  <c:v>-1.0067381355905438</c:v>
                </c:pt>
                <c:pt idx="129">
                  <c:v>-1.0824699901314832</c:v>
                </c:pt>
                <c:pt idx="130">
                  <c:v>-1.1569201314193998</c:v>
                </c:pt>
                <c:pt idx="131">
                  <c:v>-1.2318048685097267</c:v>
                </c:pt>
                <c:pt idx="132">
                  <c:v>-1.2687652565501786</c:v>
                </c:pt>
                <c:pt idx="133">
                  <c:v>-1.3054093452573619</c:v>
                </c:pt>
                <c:pt idx="134">
                  <c:v>-1.342600717316023</c:v>
                </c:pt>
                <c:pt idx="135">
                  <c:v>-1.3794683427394805</c:v>
                </c:pt>
                <c:pt idx="136">
                  <c:v>-1.4160160597439806</c:v>
                </c:pt>
                <c:pt idx="137">
                  <c:v>-1.4522476463284881</c:v>
                </c:pt>
                <c:pt idx="138">
                  <c:v>-1.4889787257781126</c:v>
                </c:pt>
                <c:pt idx="139">
                  <c:v>-1.5253869625418548</c:v>
                </c:pt>
                <c:pt idx="140">
                  <c:v>-1.5614762106763176</c:v>
                </c:pt>
                <c:pt idx="141">
                  <c:v>-1.5972502638235875</c:v>
                </c:pt>
                <c:pt idx="142">
                  <c:v>-1.6335500456286387</c:v>
                </c:pt>
                <c:pt idx="143">
                  <c:v>-1.6695273637073753</c:v>
                </c:pt>
                <c:pt idx="144">
                  <c:v>-1.7051860995754375</c:v>
                </c:pt>
                <c:pt idx="145">
                  <c:v>-1.7405300738708021</c:v>
                </c:pt>
                <c:pt idx="146">
                  <c:v>-1.7763708998993855</c:v>
                </c:pt>
                <c:pt idx="147">
                  <c:v>-1.8118901155066978</c:v>
                </c:pt>
                <c:pt idx="148">
                  <c:v>-1.8470916234505439</c:v>
                </c:pt>
                <c:pt idx="149">
                  <c:v>-1.8819792652512566</c:v>
                </c:pt>
                <c:pt idx="150">
                  <c:v>-1.9173526657045867</c:v>
                </c:pt>
                <c:pt idx="151">
                  <c:v>-1.952405462828235</c:v>
                </c:pt>
                <c:pt idx="152">
                  <c:v>-1.9871415800989571</c:v>
                </c:pt>
                <c:pt idx="153">
                  <c:v>-2.0215648793782304</c:v>
                </c:pt>
                <c:pt idx="154">
                  <c:v>-2.0564785368325649</c:v>
                </c:pt>
                <c:pt idx="155">
                  <c:v>-2.0910724698594798</c:v>
                </c:pt>
                <c:pt idx="156">
                  <c:v>-2.1253506273144112</c:v>
                </c:pt>
                <c:pt idx="157">
                  <c:v>-2.1593168959308877</c:v>
                </c:pt>
                <c:pt idx="158">
                  <c:v>-2.1937610239504046</c:v>
                </c:pt>
                <c:pt idx="159">
                  <c:v>-2.2278865024668542</c:v>
                </c:pt>
                <c:pt idx="160">
                  <c:v>-2.2616973044483593</c:v>
                </c:pt>
                <c:pt idx="161">
                  <c:v>-2.2951973402266765</c:v>
                </c:pt>
                <c:pt idx="162">
                  <c:v>-2.3291477217950183</c:v>
                </c:pt>
                <c:pt idx="163">
                  <c:v>-2.3627810095200181</c:v>
                </c:pt>
                <c:pt idx="164">
                  <c:v>-2.3961011937816905</c:v>
                </c:pt>
                <c:pt idx="165">
                  <c:v>-2.4291122019133198</c:v>
                </c:pt>
                <c:pt idx="166">
                  <c:v>-2.4625901929704521</c:v>
                </c:pt>
                <c:pt idx="167">
                  <c:v>-2.4957522955561813</c:v>
                </c:pt>
                <c:pt idx="168">
                  <c:v>-2.5286025263183394</c:v>
                </c:pt>
                <c:pt idx="169">
                  <c:v>-2.5611448382224995</c:v>
                </c:pt>
                <c:pt idx="170">
                  <c:v>-2.5940716268085433</c:v>
                </c:pt>
                <c:pt idx="171">
                  <c:v>-2.6266852791579258</c:v>
                </c:pt>
                <c:pt idx="172">
                  <c:v>-2.6589898108285266</c:v>
                </c:pt>
                <c:pt idx="173">
                  <c:v>-2.6909891735970675</c:v>
                </c:pt>
                <c:pt idx="174">
                  <c:v>-2.7234825082506866</c:v>
                </c:pt>
                <c:pt idx="175">
                  <c:v>-2.7556633051555766</c:v>
                </c:pt>
                <c:pt idx="176">
                  <c:v>-2.7875356222738006</c:v>
                </c:pt>
                <c:pt idx="177">
                  <c:v>-2.8191034527246202</c:v>
                </c:pt>
                <c:pt idx="178">
                  <c:v>-2.8511358402530584</c:v>
                </c:pt>
                <c:pt idx="179">
                  <c:v>-2.8828568661594209</c:v>
                </c:pt>
                <c:pt idx="180">
                  <c:v>-2.9142706222372046</c:v>
                </c:pt>
                <c:pt idx="181">
                  <c:v>-2.9453811345080174</c:v>
                </c:pt>
                <c:pt idx="182">
                  <c:v>-2.9768055633682513</c:v>
                </c:pt>
                <c:pt idx="183">
                  <c:v>-3.0079227552303367</c:v>
                </c:pt>
                <c:pt idx="184">
                  <c:v>-3.0387367796155731</c:v>
                </c:pt>
                <c:pt idx="185">
                  <c:v>-3.0692516404981189</c:v>
                </c:pt>
                <c:pt idx="186">
                  <c:v>-3.1002967100719165</c:v>
                </c:pt>
                <c:pt idx="187">
                  <c:v>-3.1310343288023046</c:v>
                </c:pt>
                <c:pt idx="188">
                  <c:v>-3.1614686320570411</c:v>
                </c:pt>
                <c:pt idx="189">
                  <c:v>-3.1916036879409533</c:v>
                </c:pt>
                <c:pt idx="190">
                  <c:v>-3.2220101155868064</c:v>
                </c:pt>
                <c:pt idx="191">
                  <c:v>-3.2521140882141646</c:v>
                </c:pt>
                <c:pt idx="192">
                  <c:v>-3.28191970440322</c:v>
                </c:pt>
                <c:pt idx="193">
                  <c:v>-3.3114309959219845</c:v>
                </c:pt>
                <c:pt idx="194">
                  <c:v>-3.341414150571115</c:v>
                </c:pt>
                <c:pt idx="195">
                  <c:v>-3.3710957385098013</c:v>
                </c:pt>
                <c:pt idx="196">
                  <c:v>-3.4004799063716513</c:v>
                </c:pt>
                <c:pt idx="197">
                  <c:v>-3.429570732538668</c:v>
                </c:pt>
                <c:pt idx="198">
                  <c:v>-3.4589997108778672</c:v>
                </c:pt>
                <c:pt idx="199">
                  <c:v>-3.4881307588481381</c:v>
                </c:pt>
                <c:pt idx="200">
                  <c:v>-3.5169680166633266</c:v>
                </c:pt>
                <c:pt idx="201">
                  <c:v>-3.545515555983493</c:v>
                </c:pt>
                <c:pt idx="202">
                  <c:v>-3.5743798941900486</c:v>
                </c:pt>
                <c:pt idx="203">
                  <c:v>-3.6029503386858024</c:v>
                </c:pt>
                <c:pt idx="204">
                  <c:v>-3.6312310159199237</c:v>
                </c:pt>
                <c:pt idx="205">
                  <c:v>-3.6592259836031427</c:v>
                </c:pt>
                <c:pt idx="206">
                  <c:v>-3.687614029733993</c:v>
                </c:pt>
                <c:pt idx="207">
                  <c:v>-3.715710615966985</c:v>
                </c:pt>
                <c:pt idx="208">
                  <c:v>-3.7435198898911386</c:v>
                </c:pt>
                <c:pt idx="209">
                  <c:v>-3.7710459293497172</c:v>
                </c:pt>
                <c:pt idx="210">
                  <c:v>-3.7990328056768963</c:v>
                </c:pt>
                <c:pt idx="211">
                  <c:v>-3.8267292742190717</c:v>
                </c:pt>
                <c:pt idx="212">
                  <c:v>-3.854139535381508</c:v>
                </c:pt>
                <c:pt idx="213">
                  <c:v>-3.8812677180418769</c:v>
                </c:pt>
                <c:pt idx="214">
                  <c:v>-3.9086503014358587</c:v>
                </c:pt>
                <c:pt idx="215">
                  <c:v>-3.9357479034487324</c:v>
                </c:pt>
                <c:pt idx="216">
                  <c:v>-3.9625646841919466</c:v>
                </c:pt>
                <c:pt idx="217">
                  <c:v>-3.989104732520353</c:v>
                </c:pt>
                <c:pt idx="218">
                  <c:v>-4.0159678481386472</c:v>
                </c:pt>
                <c:pt idx="219">
                  <c:v>-4.0425498982003321</c:v>
                </c:pt>
                <c:pt idx="220">
                  <c:v>-4.0688550357194764</c:v>
                </c:pt>
                <c:pt idx="221">
                  <c:v>-4.0948873419293763</c:v>
                </c:pt>
                <c:pt idx="222">
                  <c:v>-4.1212221401817084</c:v>
                </c:pt>
                <c:pt idx="223">
                  <c:v>-4.1472802093607983</c:v>
                </c:pt>
                <c:pt idx="224">
                  <c:v>-4.1730656866030902</c:v>
                </c:pt>
                <c:pt idx="225">
                  <c:v>-4.1985826368987453</c:v>
                </c:pt>
                <c:pt idx="226">
                  <c:v>-4.2244610537884464</c:v>
                </c:pt>
                <c:pt idx="227">
                  <c:v>-4.2500658130618421</c:v>
                </c:pt>
                <c:pt idx="228">
                  <c:v>-4.2754010649729572</c:v>
                </c:pt>
                <c:pt idx="229">
                  <c:v>-4.3004708865434882</c:v>
                </c:pt>
                <c:pt idx="230">
                  <c:v>-4.3510176566554053</c:v>
                </c:pt>
                <c:pt idx="231">
                  <c:v>-4.375890096269142</c:v>
                </c:pt>
                <c:pt idx="232">
                  <c:v>-4.4005007015461715</c:v>
                </c:pt>
                <c:pt idx="233">
                  <c:v>-4.4254284852795882</c:v>
                </c:pt>
                <c:pt idx="234">
                  <c:v>-4.450090274669031</c:v>
                </c:pt>
                <c:pt idx="235">
                  <c:v>-4.474490214138136</c:v>
                </c:pt>
                <c:pt idx="236">
                  <c:v>-4.498632373306533</c:v>
                </c:pt>
                <c:pt idx="237">
                  <c:v>-4.5230028408496477</c:v>
                </c:pt>
                <c:pt idx="238">
                  <c:v>-4.5471132889601105</c:v>
                </c:pt>
                <c:pt idx="239">
                  <c:v>-4.5709678092746486</c:v>
                </c:pt>
                <c:pt idx="240">
                  <c:v>-4.5945704189796217</c:v>
                </c:pt>
                <c:pt idx="241">
                  <c:v>-4.6185189815079291</c:v>
                </c:pt>
                <c:pt idx="242">
                  <c:v>-4.6422109119248338</c:v>
                </c:pt>
                <c:pt idx="243">
                  <c:v>-4.6656503097005437</c:v>
                </c:pt>
                <c:pt idx="244">
                  <c:v>-4.6888411987056049</c:v>
                </c:pt>
                <c:pt idx="245">
                  <c:v>-4.7122932946381217</c:v>
                </c:pt>
                <c:pt idx="246">
                  <c:v>-4.7354940122656402</c:v>
                </c:pt>
                <c:pt idx="247">
                  <c:v>-4.7584474143767421</c:v>
                </c:pt>
                <c:pt idx="248">
                  <c:v>-4.7811574880622247</c:v>
                </c:pt>
                <c:pt idx="249">
                  <c:v>-4.8041732527807941</c:v>
                </c:pt>
                <c:pt idx="250">
                  <c:v>-4.8269419080554572</c:v>
                </c:pt>
                <c:pt idx="251">
                  <c:v>-4.8494675032950498</c:v>
                </c:pt>
                <c:pt idx="252">
                  <c:v>-4.8717540115031763</c:v>
                </c:pt>
                <c:pt idx="253">
                  <c:v>-4.8942695120532695</c:v>
                </c:pt>
                <c:pt idx="254">
                  <c:v>-4.9165438354600823</c:v>
                </c:pt>
                <c:pt idx="255">
                  <c:v>-4.9385809762645936</c:v>
                </c:pt>
                <c:pt idx="256">
                  <c:v>-4.9603848529097041</c:v>
                </c:pt>
                <c:pt idx="257">
                  <c:v>-4.9825152183856938</c:v>
                </c:pt>
                <c:pt idx="258">
                  <c:v>-5.0044081932633242</c:v>
                </c:pt>
                <c:pt idx="259">
                  <c:v>-5.0260677695830926</c:v>
                </c:pt>
                <c:pt idx="260">
                  <c:v>-5.047497862238961</c:v>
                </c:pt>
                <c:pt idx="261">
                  <c:v>-5.0691816371907681</c:v>
                </c:pt>
                <c:pt idx="262">
                  <c:v>-5.0906334219226039</c:v>
                </c:pt>
                <c:pt idx="263">
                  <c:v>-5.1118571649052589</c:v>
                </c:pt>
                <c:pt idx="264">
                  <c:v>-5.1328567374367466</c:v>
                </c:pt>
                <c:pt idx="265">
                  <c:v>-5.1540952209219801</c:v>
                </c:pt>
                <c:pt idx="266">
                  <c:v>-5.1751074011364633</c:v>
                </c:pt>
                <c:pt idx="267">
                  <c:v>-5.1958971742105176</c:v>
                </c:pt>
                <c:pt idx="268">
                  <c:v>-5.2164683592897561</c:v>
                </c:pt>
                <c:pt idx="269">
                  <c:v>-5.2373137726848871</c:v>
                </c:pt>
                <c:pt idx="270">
                  <c:v>-5.2579377791761424</c:v>
                </c:pt>
                <c:pt idx="271">
                  <c:v>-5.2783442414690631</c:v>
                </c:pt>
                <c:pt idx="272">
                  <c:v>-5.2985369449593893</c:v>
                </c:pt>
                <c:pt idx="273">
                  <c:v>-5.3189883828419706</c:v>
                </c:pt>
                <c:pt idx="274">
                  <c:v>-5.3392236450896338</c:v>
                </c:pt>
                <c:pt idx="275">
                  <c:v>-5.3592465509456897</c:v>
                </c:pt>
                <c:pt idx="276">
                  <c:v>-5.3790608422664885</c:v>
                </c:pt>
                <c:pt idx="277">
                  <c:v>-5.3990746872838766</c:v>
                </c:pt>
                <c:pt idx="278">
                  <c:v>-5.4188788151493137</c:v>
                </c:pt>
                <c:pt idx="279">
                  <c:v>-5.4384769672172251</c:v>
                </c:pt>
                <c:pt idx="280">
                  <c:v>-5.4578728083024028</c:v>
                </c:pt>
                <c:pt idx="281">
                  <c:v>-5.4775872095649429</c:v>
                </c:pt>
                <c:pt idx="282">
                  <c:v>-5.4970957873538406</c:v>
                </c:pt>
                <c:pt idx="283">
                  <c:v>-5.5164022718394525</c:v>
                </c:pt>
                <c:pt idx="284">
                  <c:v>-5.5355103156701233</c:v>
                </c:pt>
                <c:pt idx="285">
                  <c:v>-5.5547956612085772</c:v>
                </c:pt>
                <c:pt idx="286">
                  <c:v>-5.5738820718890478</c:v>
                </c:pt>
                <c:pt idx="287">
                  <c:v>-5.5927731838871342</c:v>
                </c:pt>
                <c:pt idx="288">
                  <c:v>-5.6114725571502326</c:v>
                </c:pt>
                <c:pt idx="289">
                  <c:v>-5.6304599465202205</c:v>
                </c:pt>
                <c:pt idx="290">
                  <c:v>-5.6492529027258112</c:v>
                </c:pt>
                <c:pt idx="291">
                  <c:v>-5.6678550307382194</c:v>
                </c:pt>
                <c:pt idx="292">
                  <c:v>-5.6862698588441152</c:v>
                </c:pt>
                <c:pt idx="293">
                  <c:v>-5.7049199983958871</c:v>
                </c:pt>
                <c:pt idx="294">
                  <c:v>-5.723381315178095</c:v>
                </c:pt>
                <c:pt idx="295">
                  <c:v>-5.7416573503582002</c:v>
                </c:pt>
                <c:pt idx="296">
                  <c:v>-5.7597515688728933</c:v>
                </c:pt>
                <c:pt idx="297">
                  <c:v>-5.778069995464735</c:v>
                </c:pt>
                <c:pt idx="298">
                  <c:v>-5.7962053913332454</c:v>
                </c:pt>
                <c:pt idx="299">
                  <c:v>-5.8141612260708628</c:v>
                </c:pt>
                <c:pt idx="300">
                  <c:v>-5.8319408937215211</c:v>
                </c:pt>
                <c:pt idx="301">
                  <c:v>-5.8499346940360333</c:v>
                </c:pt>
                <c:pt idx="302">
                  <c:v>-5.867751394827919</c:v>
                </c:pt>
                <c:pt idx="303">
                  <c:v>-5.8853943871938181</c:v>
                </c:pt>
                <c:pt idx="304">
                  <c:v>-5.9028669875768527</c:v>
                </c:pt>
                <c:pt idx="305">
                  <c:v>-5.9206122647883479</c:v>
                </c:pt>
                <c:pt idx="306">
                  <c:v>-5.9381851672488359</c:v>
                </c:pt>
                <c:pt idx="307">
                  <c:v>-5.9555890393469166</c:v>
                </c:pt>
                <c:pt idx="308">
                  <c:v>-5.9728271507848429</c:v>
                </c:pt>
                <c:pt idx="309">
                  <c:v>-5.9902608018366079</c:v>
                </c:pt>
                <c:pt idx="310">
                  <c:v>-6.00752829219633</c:v>
                </c:pt>
                <c:pt idx="311">
                  <c:v>-6.0246328735109467</c:v>
                </c:pt>
                <c:pt idx="312">
                  <c:v>-6.0415777240812325</c:v>
                </c:pt>
                <c:pt idx="313">
                  <c:v>-6.0587734887559037</c:v>
                </c:pt>
                <c:pt idx="314">
                  <c:v>-6.0758081597028344</c:v>
                </c:pt>
                <c:pt idx="315">
                  <c:v>-6.0926849260048668</c:v>
                </c:pt>
                <c:pt idx="316">
                  <c:v>-6.109406903849707</c:v>
                </c:pt>
                <c:pt idx="317">
                  <c:v>-6.1263698429028555</c:v>
                </c:pt>
                <c:pt idx="318">
                  <c:v>-6.1431769191669972</c:v>
                </c:pt>
                <c:pt idx="319">
                  <c:v>-6.1598312512420303</c:v>
                </c:pt>
                <c:pt idx="320">
                  <c:v>-6.1763358855301806</c:v>
                </c:pt>
                <c:pt idx="321">
                  <c:v>-6.1930724923836991</c:v>
                </c:pt>
                <c:pt idx="322">
                  <c:v>-6.2096585879038537</c:v>
                </c:pt>
                <c:pt idx="323">
                  <c:v>-6.2260972132053496</c:v>
                </c:pt>
                <c:pt idx="324">
                  <c:v>-6.2423913381308394</c:v>
                </c:pt>
                <c:pt idx="325">
                  <c:v>-6.2589093426065574</c:v>
                </c:pt>
                <c:pt idx="326">
                  <c:v>-6.2752822669199402</c:v>
                </c:pt>
                <c:pt idx="327">
                  <c:v>-6.2915130686037042</c:v>
                </c:pt>
                <c:pt idx="328">
                  <c:v>-6.3076046350529342</c:v>
                </c:pt>
                <c:pt idx="329">
                  <c:v>-6.3239399695117173</c:v>
                </c:pt>
                <c:pt idx="330">
                  <c:v>-6.3401352342439292</c:v>
                </c:pt>
                <c:pt idx="331">
                  <c:v>-6.3561933122281467</c:v>
                </c:pt>
                <c:pt idx="332">
                  <c:v>-6.3721170171732844</c:v>
                </c:pt>
                <c:pt idx="333">
                  <c:v>-6.3882503890805857</c:v>
                </c:pt>
                <c:pt idx="334">
                  <c:v>-6.4042492168589984</c:v>
                </c:pt>
                <c:pt idx="335">
                  <c:v>-6.4201162891263426</c:v>
                </c:pt>
                <c:pt idx="336">
                  <c:v>-6.4358543267539359</c:v>
                </c:pt>
                <c:pt idx="337">
                  <c:v>-6.451847058703251</c:v>
                </c:pt>
                <c:pt idx="338">
                  <c:v>-6.4677099248078438</c:v>
                </c:pt>
                <c:pt idx="339">
                  <c:v>-6.4834456414282791</c:v>
                </c:pt>
                <c:pt idx="340">
                  <c:v>-6.4990568580110919</c:v>
                </c:pt>
                <c:pt idx="341">
                  <c:v>-6.5149152440827587</c:v>
                </c:pt>
                <c:pt idx="342">
                  <c:v>-6.5306485166260249</c:v>
                </c:pt>
                <c:pt idx="343">
                  <c:v>-6.5462593134221105</c:v>
                </c:pt>
                <c:pt idx="344">
                  <c:v>-6.5617502063926603</c:v>
                </c:pt>
                <c:pt idx="345">
                  <c:v>-6.5774576615419704</c:v>
                </c:pt>
                <c:pt idx="346">
                  <c:v>-6.5930451529379699</c:v>
                </c:pt>
                <c:pt idx="347">
                  <c:v>-6.6085152228845532</c:v>
                </c:pt>
                <c:pt idx="348">
                  <c:v>-6.6238703494685103</c:v>
                </c:pt>
                <c:pt idx="349">
                  <c:v>-6.6394833332492738</c:v>
                </c:pt>
                <c:pt idx="350">
                  <c:v>-6.6549807636327323</c:v>
                </c:pt>
                <c:pt idx="351">
                  <c:v>-6.6703651063057094</c:v>
                </c:pt>
                <c:pt idx="352">
                  <c:v>-6.6856387637754402</c:v>
                </c:pt>
                <c:pt idx="353">
                  <c:v>-6.7011638543760697</c:v>
                </c:pt>
                <c:pt idx="354">
                  <c:v>-6.7165778274533272</c:v>
                </c:pt>
                <c:pt idx="355">
                  <c:v>-6.7318830667692442</c:v>
                </c:pt>
                <c:pt idx="356">
                  <c:v>-6.7470818941456878</c:v>
                </c:pt>
                <c:pt idx="357">
                  <c:v>-6.7625045268054143</c:v>
                </c:pt>
                <c:pt idx="358">
                  <c:v>-6.7778207677125621</c:v>
                </c:pt>
                <c:pt idx="359">
                  <c:v>-6.7930329046463367</c:v>
                </c:pt>
                <c:pt idx="360">
                  <c:v>-6.8081431652039157</c:v>
                </c:pt>
                <c:pt idx="361">
                  <c:v>-6.8235154879109716</c:v>
                </c:pt>
                <c:pt idx="362">
                  <c:v>-6.8387854911357717</c:v>
                </c:pt>
                <c:pt idx="363">
                  <c:v>-6.8539553827492448</c:v>
                </c:pt>
                <c:pt idx="364">
                  <c:v>-6.8690273116712897</c:v>
                </c:pt>
                <c:pt idx="365">
                  <c:v>-6.8843350976378996</c:v>
                </c:pt>
                <c:pt idx="366">
                  <c:v>-6.899544878266596</c:v>
                </c:pt>
                <c:pt idx="367">
                  <c:v>-6.9146587687913632</c:v>
                </c:pt>
                <c:pt idx="368">
                  <c:v>-6.9296788272118937</c:v>
                </c:pt>
                <c:pt idx="369">
                  <c:v>-6.9449710147073498</c:v>
                </c:pt>
                <c:pt idx="370">
                  <c:v>-6.9601689199554952</c:v>
                </c:pt>
                <c:pt idx="371">
                  <c:v>-6.9752745795307156</c:v>
                </c:pt>
                <c:pt idx="372">
                  <c:v>-6.9902899740239839</c:v>
                </c:pt>
                <c:pt idx="373">
                  <c:v>-7.0055525776837797</c:v>
                </c:pt>
                <c:pt idx="374">
                  <c:v>-7.0207248164396088</c:v>
                </c:pt>
                <c:pt idx="375">
                  <c:v>-7.0358086368356787</c:v>
                </c:pt>
                <c:pt idx="376">
                  <c:v>-7.0508059311359386</c:v>
                </c:pt>
                <c:pt idx="377">
                  <c:v>-7.0660849812568376</c:v>
                </c:pt>
                <c:pt idx="378">
                  <c:v>-7.0812770426462892</c:v>
                </c:pt>
                <c:pt idx="379">
                  <c:v>-7.096383984004496</c:v>
                </c:pt>
                <c:pt idx="380">
                  <c:v>-7.1114076210433828</c:v>
                </c:pt>
                <c:pt idx="381">
                  <c:v>-7.1266703734541395</c:v>
                </c:pt>
                <c:pt idx="382">
                  <c:v>-7.1418498655841098</c:v>
                </c:pt>
                <c:pt idx="383">
                  <c:v>-7.1569478717886987</c:v>
                </c:pt>
                <c:pt idx="384">
                  <c:v>-7.1719661153947447</c:v>
                </c:pt>
                <c:pt idx="385">
                  <c:v>-7.1872755567197002</c:v>
                </c:pt>
                <c:pt idx="386">
                  <c:v>-7.2025047396979645</c:v>
                </c:pt>
                <c:pt idx="387">
                  <c:v>-7.2176553621954289</c:v>
                </c:pt>
                <c:pt idx="388">
                  <c:v>-7.2327290723777136</c:v>
                </c:pt>
                <c:pt idx="389">
                  <c:v>-7.2480711799213644</c:v>
                </c:pt>
                <c:pt idx="390">
                  <c:v>-7.2633361369429856</c:v>
                </c:pt>
                <c:pt idx="391">
                  <c:v>-7.2785255561902371</c:v>
                </c:pt>
                <c:pt idx="392">
                  <c:v>-7.2936410024222535</c:v>
                </c:pt>
                <c:pt idx="393">
                  <c:v>-7.3090210184629436</c:v>
                </c:pt>
                <c:pt idx="394">
                  <c:v>-7.3243268627564966</c:v>
                </c:pt>
                <c:pt idx="395">
                  <c:v>-7.3395600618216363</c:v>
                </c:pt>
                <c:pt idx="396">
                  <c:v>-7.3547220960061779</c:v>
                </c:pt>
                <c:pt idx="397">
                  <c:v>-7.3701799485153536</c:v>
                </c:pt>
                <c:pt idx="398">
                  <c:v>-7.3855661404571489</c:v>
                </c:pt>
                <c:pt idx="399">
                  <c:v>-7.4008821213538276</c:v>
                </c:pt>
                <c:pt idx="400">
                  <c:v>-7.4161292960654315</c:v>
                </c:pt>
                <c:pt idx="401">
                  <c:v>-7.4316509157219031</c:v>
                </c:pt>
                <c:pt idx="402">
                  <c:v>-7.4471034220743029</c:v>
                </c:pt>
                <c:pt idx="403">
                  <c:v>-7.4624881815369974</c:v>
                </c:pt>
                <c:pt idx="404">
                  <c:v>-7.4778065176867159</c:v>
                </c:pt>
                <c:pt idx="405">
                  <c:v>-7.4934125010902601</c:v>
                </c:pt>
                <c:pt idx="406">
                  <c:v>-7.5089516182758853</c:v>
                </c:pt>
                <c:pt idx="407">
                  <c:v>-7.5244251566548526</c:v>
                </c:pt>
                <c:pt idx="408">
                  <c:v>-7.5398343625306952</c:v>
                </c:pt>
                <c:pt idx="409">
                  <c:v>-7.5555438856404846</c:v>
                </c:pt>
                <c:pt idx="410">
                  <c:v>-7.5711885035879964</c:v>
                </c:pt>
                <c:pt idx="411">
                  <c:v>-7.5867694283347227</c:v>
                </c:pt>
                <c:pt idx="412">
                  <c:v>-7.6022878323914398</c:v>
                </c:pt>
                <c:pt idx="413">
                  <c:v>-7.6181024601309133</c:v>
                </c:pt>
                <c:pt idx="414">
                  <c:v>-7.6338539974550725</c:v>
                </c:pt>
                <c:pt idx="415">
                  <c:v>-7.649543580530084</c:v>
                </c:pt>
                <c:pt idx="416">
                  <c:v>-7.6651723078273868</c:v>
                </c:pt>
                <c:pt idx="417">
                  <c:v>-7.6811093050275749</c:v>
                </c:pt>
                <c:pt idx="418">
                  <c:v>-7.696984743313684</c:v>
                </c:pt>
                <c:pt idx="419">
                  <c:v>-7.7127996865531481</c:v>
                </c:pt>
                <c:pt idx="420">
                  <c:v>-7.7285551626121309</c:v>
                </c:pt>
                <c:pt idx="421">
                  <c:v>-7.7445989291137067</c:v>
                </c:pt>
                <c:pt idx="422">
                  <c:v>-7.7605826286868407</c:v>
                </c:pt>
                <c:pt idx="423">
                  <c:v>-7.7765072503033679</c:v>
                </c:pt>
                <c:pt idx="424">
                  <c:v>-7.7923737488459013</c:v>
                </c:pt>
                <c:pt idx="425">
                  <c:v>-7.8085713411795528</c:v>
                </c:pt>
                <c:pt idx="426">
                  <c:v>-7.8247098398520247</c:v>
                </c:pt>
                <c:pt idx="427">
                  <c:v>-7.8407901683544612</c:v>
                </c:pt>
                <c:pt idx="428">
                  <c:v>-7.8568132176772441</c:v>
                </c:pt>
                <c:pt idx="429">
                  <c:v>-7.8731472955082351</c:v>
                </c:pt>
                <c:pt idx="430">
                  <c:v>-7.889423210025015</c:v>
                </c:pt>
                <c:pt idx="431">
                  <c:v>-7.9056418171485365</c:v>
                </c:pt>
                <c:pt idx="432">
                  <c:v>-7.9218039420969806</c:v>
                </c:pt>
                <c:pt idx="433">
                  <c:v>-7.9382727069239216</c:v>
                </c:pt>
                <c:pt idx="434">
                  <c:v>-7.9546840668756236</c:v>
                </c:pt>
                <c:pt idx="435">
                  <c:v>-7.9710388118408479</c:v>
                </c:pt>
                <c:pt idx="436">
                  <c:v>-7.9873377028573236</c:v>
                </c:pt>
                <c:pt idx="437">
                  <c:v>-8.0039686272387236</c:v>
                </c:pt>
                <c:pt idx="438">
                  <c:v>-8.0205425254242364</c:v>
                </c:pt>
                <c:pt idx="439">
                  <c:v>-8.0370601272139091</c:v>
                </c:pt>
                <c:pt idx="440">
                  <c:v>-8.0535221352539672</c:v>
                </c:pt>
                <c:pt idx="441">
                  <c:v>-8.0703111630229412</c:v>
                </c:pt>
                <c:pt idx="442">
                  <c:v>-8.0870433802311581</c:v>
                </c:pt>
                <c:pt idx="443">
                  <c:v>-8.1037194582143606</c:v>
                </c:pt>
                <c:pt idx="444">
                  <c:v>-8.1203400429115575</c:v>
                </c:pt>
                <c:pt idx="445">
                  <c:v>-8.1372826045649589</c:v>
                </c:pt>
                <c:pt idx="446">
                  <c:v>-8.1541684048373</c:v>
                </c:pt>
                <c:pt idx="447">
                  <c:v>-8.1709980588037396</c:v>
                </c:pt>
                <c:pt idx="448">
                  <c:v>-8.1877721579406586</c:v>
                </c:pt>
                <c:pt idx="449">
                  <c:v>-8.2048917442952369</c:v>
                </c:pt>
                <c:pt idx="450">
                  <c:v>-8.2219542615245924</c:v>
                </c:pt>
                <c:pt idx="451">
                  <c:v>-8.238960273935847</c:v>
                </c:pt>
                <c:pt idx="452">
                  <c:v>-8.2559103239148719</c:v>
                </c:pt>
                <c:pt idx="453">
                  <c:v>-8.2731860155129695</c:v>
                </c:pt>
                <c:pt idx="454">
                  <c:v>-8.2904042681812484</c:v>
                </c:pt>
                <c:pt idx="455">
                  <c:v>-8.3075655966564543</c:v>
                </c:pt>
                <c:pt idx="456">
                  <c:v>-8.3246704955368838</c:v>
                </c:pt>
                <c:pt idx="457">
                  <c:v>-8.3421233627602582</c:v>
                </c:pt>
                <c:pt idx="458">
                  <c:v>-8.3595180783574126</c:v>
                </c:pt>
                <c:pt idx="459">
                  <c:v>-8.3768551129866111</c:v>
                </c:pt>
                <c:pt idx="460">
                  <c:v>-8.3941349188404306</c:v>
                </c:pt>
                <c:pt idx="461">
                  <c:v>-8.4117565147707793</c:v>
                </c:pt>
                <c:pt idx="462">
                  <c:v>-8.4293191000033438</c:v>
                </c:pt>
                <c:pt idx="463">
                  <c:v>-8.4468231041962589</c:v>
                </c:pt>
                <c:pt idx="464">
                  <c:v>-8.4642689402347457</c:v>
                </c:pt>
                <c:pt idx="465">
                  <c:v>-8.4820638480291102</c:v>
                </c:pt>
                <c:pt idx="466">
                  <c:v>-8.4997986536992194</c:v>
                </c:pt>
                <c:pt idx="467">
                  <c:v>-8.5174737503013329</c:v>
                </c:pt>
                <c:pt idx="468">
                  <c:v>-8.5350895157682398</c:v>
                </c:pt>
                <c:pt idx="469">
                  <c:v>-8.5530476898507182</c:v>
                </c:pt>
                <c:pt idx="470">
                  <c:v>-8.5709445388804042</c:v>
                </c:pt>
                <c:pt idx="471">
                  <c:v>-8.5887804229693145</c:v>
                </c:pt>
                <c:pt idx="472">
                  <c:v>-8.6065556887536978</c:v>
                </c:pt>
                <c:pt idx="473">
                  <c:v>-8.62469298009397</c:v>
                </c:pt>
                <c:pt idx="474">
                  <c:v>-8.6427674184996857</c:v>
                </c:pt>
                <c:pt idx="475">
                  <c:v>-8.6607793365737109</c:v>
                </c:pt>
                <c:pt idx="476">
                  <c:v>-8.6787290550042346</c:v>
                </c:pt>
                <c:pt idx="477">
                  <c:v>-8.6970333558777657</c:v>
                </c:pt>
                <c:pt idx="478">
                  <c:v>-8.7152731658736684</c:v>
                </c:pt>
                <c:pt idx="479">
                  <c:v>-8.7334487940499717</c:v>
                </c:pt>
                <c:pt idx="480">
                  <c:v>-8.7515605390998967</c:v>
                </c:pt>
                <c:pt idx="481">
                  <c:v>-8.7700193048014032</c:v>
                </c:pt>
                <c:pt idx="482">
                  <c:v>-8.7884118435747141</c:v>
                </c:pt>
                <c:pt idx="483">
                  <c:v>-8.8067384452058537</c:v>
                </c:pt>
                <c:pt idx="484">
                  <c:v>-8.8249993906368331</c:v>
                </c:pt>
                <c:pt idx="485">
                  <c:v>-8.8436123292355511</c:v>
                </c:pt>
                <c:pt idx="486">
                  <c:v>-8.8621571281355962</c:v>
                </c:pt>
                <c:pt idx="487">
                  <c:v>-8.880634062910076</c:v>
                </c:pt>
                <c:pt idx="488">
                  <c:v>-8.8990434017442546</c:v>
                </c:pt>
                <c:pt idx="489">
                  <c:v>-8.9178215984688478</c:v>
                </c:pt>
                <c:pt idx="490">
                  <c:v>-8.9365294872175554</c:v>
                </c:pt>
                <c:pt idx="491">
                  <c:v>-8.9551673349861076</c:v>
                </c:pt>
                <c:pt idx="492">
                  <c:v>-8.9737354027573648</c:v>
                </c:pt>
                <c:pt idx="493">
                  <c:v>-8.9926636049142132</c:v>
                </c:pt>
                <c:pt idx="494">
                  <c:v>-9.0115192771450925</c:v>
                </c:pt>
                <c:pt idx="495">
                  <c:v>-9.0303026824791282</c:v>
                </c:pt>
                <c:pt idx="496">
                  <c:v>-9.0490140792597398</c:v>
                </c:pt>
                <c:pt idx="497">
                  <c:v>-9.0680888797506949</c:v>
                </c:pt>
                <c:pt idx="498">
                  <c:v>-9.0870887976870698</c:v>
                </c:pt>
                <c:pt idx="499">
                  <c:v>-9.1060140973777735</c:v>
                </c:pt>
                <c:pt idx="500">
                  <c:v>-9.1248650397014082</c:v>
                </c:pt>
                <c:pt idx="501">
                  <c:v>-9.144082100512982</c:v>
                </c:pt>
                <c:pt idx="502">
                  <c:v>-9.1632218128614689</c:v>
                </c:pt>
                <c:pt idx="503">
                  <c:v>-9.1822844476383416</c:v>
                </c:pt>
                <c:pt idx="504">
                  <c:v>-9.2012702734846261</c:v>
                </c:pt>
                <c:pt idx="505">
                  <c:v>-9.2206126826446475</c:v>
                </c:pt>
                <c:pt idx="506">
                  <c:v>-9.239875279297074</c:v>
                </c:pt>
                <c:pt idx="507">
                  <c:v>-9.2590583457544291</c:v>
                </c:pt>
                <c:pt idx="508">
                  <c:v>-9.2781621631811682</c:v>
                </c:pt>
                <c:pt idx="509">
                  <c:v>-9.2976244969783348</c:v>
                </c:pt>
                <c:pt idx="510">
                  <c:v>-9.3170044800230816</c:v>
                </c:pt>
                <c:pt idx="511">
                  <c:v>-9.3363024113979325</c:v>
                </c:pt>
                <c:pt idx="512">
                  <c:v>-9.3555185900494759</c:v>
                </c:pt>
                <c:pt idx="513">
                  <c:v>-9.3751060271946223</c:v>
                </c:pt>
                <c:pt idx="514">
                  <c:v>-9.3946084233925813</c:v>
                </c:pt>
                <c:pt idx="515">
                  <c:v>-9.4140261003927019</c:v>
                </c:pt>
                <c:pt idx="516">
                  <c:v>-9.4333593807284579</c:v>
                </c:pt>
                <c:pt idx="517">
                  <c:v>-9.4530534358275915</c:v>
                </c:pt>
                <c:pt idx="518">
                  <c:v>-9.4726598259083694</c:v>
                </c:pt>
                <c:pt idx="519">
                  <c:v>-9.492178900176091</c:v>
                </c:pt>
                <c:pt idx="520">
                  <c:v>-9.5116110094421344</c:v>
                </c:pt>
                <c:pt idx="521">
                  <c:v>-9.5314043577857515</c:v>
                </c:pt>
                <c:pt idx="522">
                  <c:v>-9.5511074074343547</c:v>
                </c:pt>
                <c:pt idx="523">
                  <c:v>-9.5707205403228226</c:v>
                </c:pt>
                <c:pt idx="524">
                  <c:v>-9.5902441407111816</c:v>
                </c:pt>
                <c:pt idx="525">
                  <c:v>-9.610129003019777</c:v>
                </c:pt>
                <c:pt idx="526">
                  <c:v>-9.6299209467027449</c:v>
                </c:pt>
                <c:pt idx="527">
                  <c:v>-9.6496203916280852</c:v>
                </c:pt>
                <c:pt idx="528">
                  <c:v>-9.669227760601002</c:v>
                </c:pt>
                <c:pt idx="529">
                  <c:v>-9.68919600158282</c:v>
                </c:pt>
                <c:pt idx="530">
                  <c:v>-9.7090687419356669</c:v>
                </c:pt>
                <c:pt idx="531">
                  <c:v>-9.7288464445699301</c:v>
                </c:pt>
                <c:pt idx="532">
                  <c:v>-9.7485295758342918</c:v>
                </c:pt>
                <c:pt idx="533">
                  <c:v>-9.768583130667631</c:v>
                </c:pt>
                <c:pt idx="534">
                  <c:v>-9.7885385647606515</c:v>
                </c:pt>
                <c:pt idx="535">
                  <c:v>-9.8083963898498983</c:v>
                </c:pt>
                <c:pt idx="536">
                  <c:v>-9.8281571215046064</c:v>
                </c:pt>
                <c:pt idx="537">
                  <c:v>-9.8482666134773851</c:v>
                </c:pt>
                <c:pt idx="538">
                  <c:v>-9.8682756561350367</c:v>
                </c:pt>
                <c:pt idx="539">
                  <c:v>-9.8881848133008106</c:v>
                </c:pt>
                <c:pt idx="540">
                  <c:v>-9.9079946528913467</c:v>
                </c:pt>
                <c:pt idx="541">
                  <c:v>-9.9281719704831382</c:v>
                </c:pt>
                <c:pt idx="542">
                  <c:v>-9.9482464217248463</c:v>
                </c:pt>
                <c:pt idx="543">
                  <c:v>-9.9682186289022781</c:v>
                </c:pt>
                <c:pt idx="544">
                  <c:v>-9.9880892185509129</c:v>
                </c:pt>
                <c:pt idx="545">
                  <c:v>-10.008315575170815</c:v>
                </c:pt>
                <c:pt idx="546">
                  <c:v>-10.028436892242548</c:v>
                </c:pt>
                <c:pt idx="547">
                  <c:v>-10.048453854131758</c:v>
                </c:pt>
                <c:pt idx="548">
                  <c:v>-10.068367149478679</c:v>
                </c:pt>
                <c:pt idx="549">
                  <c:v>-10.088634300785145</c:v>
                </c:pt>
                <c:pt idx="550">
                  <c:v>-10.108794407900199</c:v>
                </c:pt>
                <c:pt idx="551">
                  <c:v>-10.128848221502739</c:v>
                </c:pt>
                <c:pt idx="552">
                  <c:v>-10.14879649644665</c:v>
                </c:pt>
                <c:pt idx="553">
                  <c:v>-10.169105861091417</c:v>
                </c:pt>
                <c:pt idx="554">
                  <c:v>-10.189306272771121</c:v>
                </c:pt>
                <c:pt idx="555">
                  <c:v>-10.209398553588379</c:v>
                </c:pt>
                <c:pt idx="556">
                  <c:v>-10.229383529602917</c:v>
                </c:pt>
                <c:pt idx="557">
                  <c:v>-10.269960015220443</c:v>
                </c:pt>
                <c:pt idx="558">
                  <c:v>-10.310097551680892</c:v>
                </c:pt>
                <c:pt idx="559">
                  <c:v>-10.35070846693422</c:v>
                </c:pt>
                <c:pt idx="560">
                  <c:v>-10.390875421304695</c:v>
                </c:pt>
                <c:pt idx="561">
                  <c:v>-10.431543665302064</c:v>
                </c:pt>
                <c:pt idx="562">
                  <c:v>-10.471763297381646</c:v>
                </c:pt>
                <c:pt idx="563">
                  <c:v>-10.512391688899406</c:v>
                </c:pt>
                <c:pt idx="564">
                  <c:v>-10.55256996037977</c:v>
                </c:pt>
                <c:pt idx="565">
                  <c:v>-10.593303390534727</c:v>
                </c:pt>
                <c:pt idx="566">
                  <c:v>-10.633583151753898</c:v>
                </c:pt>
                <c:pt idx="567">
                  <c:v>-10.674393174046017</c:v>
                </c:pt>
                <c:pt idx="568">
                  <c:v>-10.714747915080192</c:v>
                </c:pt>
                <c:pt idx="569">
                  <c:v>-10.755451732140495</c:v>
                </c:pt>
                <c:pt idx="570">
                  <c:v>-10.795704181590784</c:v>
                </c:pt>
                <c:pt idx="571">
                  <c:v>-10.836603293474363</c:v>
                </c:pt>
                <c:pt idx="572">
                  <c:v>-10.877049950822395</c:v>
                </c:pt>
                <c:pt idx="573">
                  <c:v>-10.91781555981032</c:v>
                </c:pt>
                <c:pt idx="574">
                  <c:v>-10.958136665084115</c:v>
                </c:pt>
                <c:pt idx="575">
                  <c:v>-10.99906609242006</c:v>
                </c:pt>
                <c:pt idx="576">
                  <c:v>-11.039554497494251</c:v>
                </c:pt>
                <c:pt idx="577">
                  <c:v>-11.206390933194093</c:v>
                </c:pt>
                <c:pt idx="578">
                  <c:v>-11.366576907654872</c:v>
                </c:pt>
                <c:pt idx="579">
                  <c:v>-11.699049628116684</c:v>
                </c:pt>
                <c:pt idx="580">
                  <c:v>-12.043743626362195</c:v>
                </c:pt>
                <c:pt idx="581">
                  <c:v>-12.40968110662944</c:v>
                </c:pt>
                <c:pt idx="582">
                  <c:v>-12.810227387424334</c:v>
                </c:pt>
                <c:pt idx="583">
                  <c:v>-13.261734386269161</c:v>
                </c:pt>
                <c:pt idx="584">
                  <c:v>-13.783915222932423</c:v>
                </c:pt>
                <c:pt idx="585">
                  <c:v>-14.396764144205259</c:v>
                </c:pt>
                <c:pt idx="586">
                  <c:v>-15.118706909772172</c:v>
                </c:pt>
                <c:pt idx="587">
                  <c:v>-15.963401305828695</c:v>
                </c:pt>
                <c:pt idx="588">
                  <c:v>-16.935372206842619</c:v>
                </c:pt>
                <c:pt idx="589">
                  <c:v>-18.031850184435651</c:v>
                </c:pt>
                <c:pt idx="590">
                  <c:v>-19.241236104102029</c:v>
                </c:pt>
                <c:pt idx="591">
                  <c:v>-20.547391080068657</c:v>
                </c:pt>
                <c:pt idx="592">
                  <c:v>-21.932015785111805</c:v>
                </c:pt>
                <c:pt idx="593">
                  <c:v>-23.378094867341559</c:v>
                </c:pt>
                <c:pt idx="594">
                  <c:v>-24.870046985791955</c:v>
                </c:pt>
                <c:pt idx="595">
                  <c:v>-26.395793409243606</c:v>
                </c:pt>
                <c:pt idx="596">
                  <c:v>-27.945437204154786</c:v>
                </c:pt>
                <c:pt idx="597">
                  <c:v>-29.512147630807405</c:v>
                </c:pt>
                <c:pt idx="598">
                  <c:v>-31.090328069971754</c:v>
                </c:pt>
                <c:pt idx="599">
                  <c:v>-32.67666656657137</c:v>
                </c:pt>
                <c:pt idx="600">
                  <c:v>-34.268312795685432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8-48B6-A860-793AEC41F97D}"/>
            </c:ext>
          </c:extLst>
        </c:ser>
        <c:ser>
          <c:idx val="6"/>
          <c:order val="2"/>
          <c:tx>
            <c:v>FZCOMP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 w="19050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771840147036232E-2"/>
                  <c:y val="-3.79172706856285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</a:t>
                    </a:r>
                    <a:r>
                      <a:rPr lang="en-US" baseline="-25000"/>
                      <a:t>ZCOMP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Calculations'!$C$635</c:f>
              <c:numCache>
                <c:formatCode>0.00</c:formatCode>
                <c:ptCount val="1"/>
                <c:pt idx="0">
                  <c:v>194.75641614507632</c:v>
                </c:pt>
              </c:numCache>
            </c:numRef>
          </c:xVal>
          <c:yVal>
            <c:numRef>
              <c:f>'Stability Calculations'!$D$635</c:f>
              <c:numCache>
                <c:formatCode>0.00</c:formatCode>
                <c:ptCount val="1"/>
                <c:pt idx="0">
                  <c:v>31.275848751282901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8-48B6-A860-793AEC41F97D}"/>
            </c:ext>
          </c:extLst>
        </c:ser>
        <c:ser>
          <c:idx val="8"/>
          <c:order val="3"/>
          <c:tx>
            <c:v>FpEA</c:v>
          </c:tx>
          <c:spPr>
            <a:ln w="28575">
              <a:noFill/>
            </a:ln>
          </c:spPr>
          <c:marker>
            <c:symbol val="x"/>
            <c:size val="8"/>
            <c:spPr>
              <a:noFill/>
              <a:ln w="22225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9316756823388307E-3"/>
                  <c:y val="-1.59651666044751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rgbClr val="0000FF"/>
                        </a:solidFill>
                      </a:rPr>
                      <a:t>F</a:t>
                    </a:r>
                    <a:r>
                      <a:rPr lang="en-US" baseline="-25000">
                        <a:solidFill>
                          <a:srgbClr val="0000FF"/>
                        </a:solidFill>
                      </a:rPr>
                      <a:t>PEA</a:t>
                    </a:r>
                    <a:endParaRPr lang="en-US" baseline="-25000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Calculations'!$C$5</c:f>
              <c:numCache>
                <c:formatCode>0.0</c:formatCode>
                <c:ptCount val="1"/>
                <c:pt idx="0">
                  <c:v>0.66089524865232363</c:v>
                </c:pt>
              </c:numCache>
            </c:numRef>
          </c:xVal>
          <c:yVal>
            <c:numRef>
              <c:f>'Stability Calculations'!$Q$624</c:f>
              <c:numCache>
                <c:formatCode>0.00</c:formatCode>
                <c:ptCount val="1"/>
                <c:pt idx="0">
                  <c:v>79.540120442585831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08-48B6-A860-793AEC41F97D}"/>
            </c:ext>
          </c:extLst>
        </c:ser>
        <c:ser>
          <c:idx val="9"/>
          <c:order val="4"/>
          <c:tx>
            <c:v>FpLOAD</c:v>
          </c:tx>
          <c:spPr>
            <a:ln w="28575">
              <a:solidFill>
                <a:schemeClr val="tx1"/>
              </a:solidFill>
            </a:ln>
          </c:spPr>
          <c:marker>
            <c:symbol val="x"/>
            <c:size val="8"/>
            <c:spPr>
              <a:noFill/>
              <a:ln w="22225">
                <a:solidFill>
                  <a:schemeClr val="tx1"/>
                </a:solidFill>
              </a:ln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/>
                        </a:solidFill>
                      </a:rPr>
                      <a:t>F</a:t>
                    </a:r>
                    <a:r>
                      <a:rPr lang="en-US" baseline="-25000">
                        <a:solidFill>
                          <a:schemeClr val="tx1"/>
                        </a:solidFill>
                      </a:rPr>
                      <a:t>PLOAD</a:t>
                    </a:r>
                  </a:p>
                </c:rich>
              </c:tx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Calculations'!$K$4</c:f>
              <c:numCache>
                <c:formatCode>0</c:formatCode>
                <c:ptCount val="1"/>
                <c:pt idx="0">
                  <c:v>134.7392080547589</c:v>
                </c:pt>
              </c:numCache>
            </c:numRef>
          </c:xVal>
          <c:yVal>
            <c:numRef>
              <c:f>'Stability Calculations'!$D$632</c:f>
              <c:numCache>
                <c:formatCode>0.00</c:formatCode>
                <c:ptCount val="1"/>
                <c:pt idx="0">
                  <c:v>35.051870476789333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08-48B6-A860-793AEC41F97D}"/>
            </c:ext>
          </c:extLst>
        </c:ser>
        <c:ser>
          <c:idx val="4"/>
          <c:order val="6"/>
          <c:tx>
            <c:v>FZESR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 w="19050"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9306499421109475E-2"/>
                  <c:y val="3.9912923770191157E-2"/>
                </c:manualLayout>
              </c:layout>
              <c:tx>
                <c:rich>
                  <a:bodyPr/>
                  <a:lstStyle/>
                  <a:p>
                    <a:r>
                      <a:rPr lang="en-US" b="1"/>
                      <a:t>F</a:t>
                    </a:r>
                    <a:r>
                      <a:rPr lang="en-US" b="1" baseline="-25000"/>
                      <a:t>ZESR</a:t>
                    </a:r>
                    <a:endParaRPr lang="en-US" baseline="-25000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9108-48B6-A860-793AEC41F9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'Stability Calculations'!$A$623</c:f>
              <c:numCache>
                <c:formatCode>0</c:formatCode>
                <c:ptCount val="1"/>
                <c:pt idx="0">
                  <c:v>132629.11939479699</c:v>
                </c:pt>
              </c:numCache>
            </c:numRef>
          </c:xVal>
          <c:yVal>
            <c:numRef>
              <c:f>'Stability Calculations'!$Q$623</c:f>
              <c:numCache>
                <c:formatCode>0.00</c:formatCode>
                <c:ptCount val="1"/>
                <c:pt idx="0">
                  <c:v>-11.388180901373964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77280"/>
        <c:axId val="139720192"/>
      </c:scatterChart>
      <c:scatterChart>
        <c:scatterStyle val="lineMarker"/>
        <c:varyColors val="0"/>
        <c:ser>
          <c:idx val="3"/>
          <c:order val="1"/>
          <c:tx>
            <c:v>Loop Phase</c:v>
          </c:tx>
          <c:spPr>
            <a:ln w="34925">
              <a:solidFill>
                <a:srgbClr val="002060"/>
              </a:solidFill>
              <a:prstDash val="sysDash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-56.675513666040004</c:v>
                </c:pt>
                <c:pt idx="1">
                  <c:v>-59.070466836477777</c:v>
                </c:pt>
                <c:pt idx="2">
                  <c:v>-61.366294515149193</c:v>
                </c:pt>
                <c:pt idx="3">
                  <c:v>-63.55363616283821</c:v>
                </c:pt>
                <c:pt idx="4">
                  <c:v>-65.624831116636599</c:v>
                </c:pt>
                <c:pt idx="5">
                  <c:v>-67.579709036862056</c:v>
                </c:pt>
                <c:pt idx="6">
                  <c:v>-69.414297385029272</c:v>
                </c:pt>
                <c:pt idx="7">
                  <c:v>-71.130831287876148</c:v>
                </c:pt>
                <c:pt idx="8">
                  <c:v>-72.730790943283736</c:v>
                </c:pt>
                <c:pt idx="9">
                  <c:v>-74.219431567198995</c:v>
                </c:pt>
                <c:pt idx="10">
                  <c:v>-75.600882679197724</c:v>
                </c:pt>
                <c:pt idx="11">
                  <c:v>-76.881071517071064</c:v>
                </c:pt>
                <c:pt idx="12">
                  <c:v>-78.066732841030998</c:v>
                </c:pt>
                <c:pt idx="13">
                  <c:v>-79.163072850655141</c:v>
                </c:pt>
                <c:pt idx="14">
                  <c:v>-80.177403967602615</c:v>
                </c:pt>
                <c:pt idx="15">
                  <c:v>-81.115670058102822</c:v>
                </c:pt>
                <c:pt idx="16">
                  <c:v>-81.984181585990257</c:v>
                </c:pt>
                <c:pt idx="17">
                  <c:v>-82.788858125929039</c:v>
                </c:pt>
                <c:pt idx="18">
                  <c:v>-83.535728085814469</c:v>
                </c:pt>
                <c:pt idx="19">
                  <c:v>-84.230127656844047</c:v>
                </c:pt>
                <c:pt idx="20">
                  <c:v>-84.877474527190344</c:v>
                </c:pt>
                <c:pt idx="21">
                  <c:v>-85.4826519225076</c:v>
                </c:pt>
                <c:pt idx="22">
                  <c:v>-86.05054878862029</c:v>
                </c:pt>
                <c:pt idx="23">
                  <c:v>-86.585542426077438</c:v>
                </c:pt>
                <c:pt idx="24">
                  <c:v>-87.092059951856186</c:v>
                </c:pt>
                <c:pt idx="25">
                  <c:v>-87.574100250823633</c:v>
                </c:pt>
                <c:pt idx="26">
                  <c:v>-88.035661114184947</c:v>
                </c:pt>
                <c:pt idx="27">
                  <c:v>-88.480311425831786</c:v>
                </c:pt>
                <c:pt idx="28">
                  <c:v>-88.911634855552734</c:v>
                </c:pt>
                <c:pt idx="29">
                  <c:v>-89.332793845531924</c:v>
                </c:pt>
                <c:pt idx="30">
                  <c:v>-89.747784750903079</c:v>
                </c:pt>
                <c:pt idx="31">
                  <c:v>-90.159186551293985</c:v>
                </c:pt>
                <c:pt idx="32">
                  <c:v>-90.570323381834541</c:v>
                </c:pt>
                <c:pt idx="33">
                  <c:v>-90.983817474835149</c:v>
                </c:pt>
                <c:pt idx="34">
                  <c:v>-91.402762102486861</c:v>
                </c:pt>
                <c:pt idx="35">
                  <c:v>-91.829530143021046</c:v>
                </c:pt>
                <c:pt idx="36">
                  <c:v>-92.266586370098707</c:v>
                </c:pt>
                <c:pt idx="37">
                  <c:v>-92.716318590819</c:v>
                </c:pt>
                <c:pt idx="38">
                  <c:v>-93.180112781761181</c:v>
                </c:pt>
                <c:pt idx="39">
                  <c:v>-93.659730197690209</c:v>
                </c:pt>
                <c:pt idx="40">
                  <c:v>-94.155846623607871</c:v>
                </c:pt>
                <c:pt idx="41">
                  <c:v>-94.668675942920117</c:v>
                </c:pt>
                <c:pt idx="42">
                  <c:v>-95.197478509974701</c:v>
                </c:pt>
                <c:pt idx="43">
                  <c:v>-95.740730617209451</c:v>
                </c:pt>
                <c:pt idx="44">
                  <c:v>-96.295416927151919</c:v>
                </c:pt>
                <c:pt idx="45">
                  <c:v>-96.857419347375355</c:v>
                </c:pt>
                <c:pt idx="46">
                  <c:v>-97.420912538328921</c:v>
                </c:pt>
                <c:pt idx="47">
                  <c:v>-97.978768742200145</c:v>
                </c:pt>
                <c:pt idx="48">
                  <c:v>-98.52212163210649</c:v>
                </c:pt>
                <c:pt idx="49">
                  <c:v>-99.0410971808341</c:v>
                </c:pt>
                <c:pt idx="50">
                  <c:v>-99.52468719923796</c:v>
                </c:pt>
                <c:pt idx="51">
                  <c:v>-99.961705180284397</c:v>
                </c:pt>
                <c:pt idx="52">
                  <c:v>-100.34106556783591</c:v>
                </c:pt>
                <c:pt idx="53">
                  <c:v>-100.65302513470435</c:v>
                </c:pt>
                <c:pt idx="54">
                  <c:v>-100.88969941531164</c:v>
                </c:pt>
                <c:pt idx="55">
                  <c:v>-101.04641055913366</c:v>
                </c:pt>
                <c:pt idx="56">
                  <c:v>-101.12109449416369</c:v>
                </c:pt>
                <c:pt idx="57">
                  <c:v>-101.11556303631427</c:v>
                </c:pt>
                <c:pt idx="58">
                  <c:v>-101.03502204380432</c:v>
                </c:pt>
                <c:pt idx="59">
                  <c:v>-100.8876504489522</c:v>
                </c:pt>
                <c:pt idx="60">
                  <c:v>-100.68415085921924</c:v>
                </c:pt>
                <c:pt idx="61">
                  <c:v>-100.43676126077717</c:v>
                </c:pt>
                <c:pt idx="62">
                  <c:v>-100.15837115691055</c:v>
                </c:pt>
                <c:pt idx="63">
                  <c:v>-99.862329949292189</c:v>
                </c:pt>
                <c:pt idx="64">
                  <c:v>-99.560917192633752</c:v>
                </c:pt>
                <c:pt idx="65">
                  <c:v>-99.26574351757273</c:v>
                </c:pt>
                <c:pt idx="66">
                  <c:v>-98.987007178955508</c:v>
                </c:pt>
                <c:pt idx="67">
                  <c:v>-98.733589918386983</c:v>
                </c:pt>
                <c:pt idx="68">
                  <c:v>-98.512917407950781</c:v>
                </c:pt>
                <c:pt idx="69">
                  <c:v>-98.33131698554115</c:v>
                </c:pt>
                <c:pt idx="70">
                  <c:v>-98.193957532028023</c:v>
                </c:pt>
                <c:pt idx="71">
                  <c:v>-98.105209063541054</c:v>
                </c:pt>
                <c:pt idx="72">
                  <c:v>-98.06873730726079</c:v>
                </c:pt>
                <c:pt idx="73">
                  <c:v>-98.087768626064786</c:v>
                </c:pt>
                <c:pt idx="74">
                  <c:v>-98.16523926175455</c:v>
                </c:pt>
                <c:pt idx="75">
                  <c:v>-98.303946473248558</c:v>
                </c:pt>
                <c:pt idx="76">
                  <c:v>-98.506743690124551</c:v>
                </c:pt>
                <c:pt idx="77">
                  <c:v>-98.776496001274069</c:v>
                </c:pt>
                <c:pt idx="78">
                  <c:v>-99.116325080618481</c:v>
                </c:pt>
                <c:pt idx="79">
                  <c:v>-99.529350047777911</c:v>
                </c:pt>
                <c:pt idx="80">
                  <c:v>-100.02006387176982</c:v>
                </c:pt>
                <c:pt idx="81">
                  <c:v>-100.59200289096462</c:v>
                </c:pt>
                <c:pt idx="82">
                  <c:v>-101.25012025876221</c:v>
                </c:pt>
                <c:pt idx="83">
                  <c:v>-101.99894726544922</c:v>
                </c:pt>
                <c:pt idx="84">
                  <c:v>-102.84451734551932</c:v>
                </c:pt>
                <c:pt idx="85">
                  <c:v>-103.79227187118749</c:v>
                </c:pt>
                <c:pt idx="86">
                  <c:v>-104.84860972063053</c:v>
                </c:pt>
                <c:pt idx="87">
                  <c:v>-106.02081018207431</c:v>
                </c:pt>
                <c:pt idx="88">
                  <c:v>-107.314651447616</c:v>
                </c:pt>
                <c:pt idx="89">
                  <c:v>-108.73817978829932</c:v>
                </c:pt>
                <c:pt idx="90">
                  <c:v>-110.29791506896534</c:v>
                </c:pt>
                <c:pt idx="91">
                  <c:v>-112.00076091549869</c:v>
                </c:pt>
                <c:pt idx="92">
                  <c:v>-113.85275269627124</c:v>
                </c:pt>
                <c:pt idx="93">
                  <c:v>-115.85995089341066</c:v>
                </c:pt>
                <c:pt idx="94">
                  <c:v>-116.38628210640037</c:v>
                </c:pt>
                <c:pt idx="95">
                  <c:v>-116.65485867848049</c:v>
                </c:pt>
                <c:pt idx="96">
                  <c:v>-116.92285736022052</c:v>
                </c:pt>
                <c:pt idx="97">
                  <c:v>-117.19646077729081</c:v>
                </c:pt>
                <c:pt idx="98">
                  <c:v>-117.46943984488016</c:v>
                </c:pt>
                <c:pt idx="99">
                  <c:v>-117.74816077650216</c:v>
                </c:pt>
                <c:pt idx="100">
                  <c:v>-118.02620862173636</c:v>
                </c:pt>
                <c:pt idx="101">
                  <c:v>-118.30991811452266</c:v>
                </c:pt>
                <c:pt idx="102">
                  <c:v>-118.59290449951828</c:v>
                </c:pt>
                <c:pt idx="103">
                  <c:v>-118.88189022121333</c:v>
                </c:pt>
                <c:pt idx="104">
                  <c:v>-119.17009933599942</c:v>
                </c:pt>
                <c:pt idx="105">
                  <c:v>-119.46421737869568</c:v>
                </c:pt>
                <c:pt idx="106">
                  <c:v>-119.75750397066726</c:v>
                </c:pt>
                <c:pt idx="107">
                  <c:v>-120.05660611205241</c:v>
                </c:pt>
                <c:pt idx="108">
                  <c:v>-120.35482071374747</c:v>
                </c:pt>
                <c:pt idx="109">
                  <c:v>-120.65896135665966</c:v>
                </c:pt>
                <c:pt idx="110">
                  <c:v>-120.96215593797345</c:v>
                </c:pt>
                <c:pt idx="111">
                  <c:v>-121.27158575875829</c:v>
                </c:pt>
                <c:pt idx="112">
                  <c:v>-121.58000716530907</c:v>
                </c:pt>
                <c:pt idx="113">
                  <c:v>-121.89455388906585</c:v>
                </c:pt>
                <c:pt idx="114">
                  <c:v>-122.2080286038353</c:v>
                </c:pt>
                <c:pt idx="115">
                  <c:v>-122.52771833163706</c:v>
                </c:pt>
                <c:pt idx="116">
                  <c:v>-122.84626990135811</c:v>
                </c:pt>
                <c:pt idx="117">
                  <c:v>-123.17111889962143</c:v>
                </c:pt>
                <c:pt idx="118">
                  <c:v>-123.49476101940127</c:v>
                </c:pt>
                <c:pt idx="119">
                  <c:v>-123.82457591633633</c:v>
                </c:pt>
                <c:pt idx="120">
                  <c:v>-124.15311419214935</c:v>
                </c:pt>
                <c:pt idx="121">
                  <c:v>-124.48789581765216</c:v>
                </c:pt>
                <c:pt idx="122">
                  <c:v>-124.82132862365134</c:v>
                </c:pt>
                <c:pt idx="123">
                  <c:v>-125.16126425494589</c:v>
                </c:pt>
                <c:pt idx="124">
                  <c:v>-125.49977478154165</c:v>
                </c:pt>
                <c:pt idx="125">
                  <c:v>-125.84464541272047</c:v>
                </c:pt>
                <c:pt idx="126">
                  <c:v>-126.18801385525465</c:v>
                </c:pt>
                <c:pt idx="127">
                  <c:v>-126.53779001454268</c:v>
                </c:pt>
                <c:pt idx="128">
                  <c:v>-126.8859845593043</c:v>
                </c:pt>
                <c:pt idx="129">
                  <c:v>-127.24062665269854</c:v>
                </c:pt>
                <c:pt idx="130">
                  <c:v>-127.59360543272427</c:v>
                </c:pt>
                <c:pt idx="131">
                  <c:v>-127.95306377246773</c:v>
                </c:pt>
                <c:pt idx="132">
                  <c:v>-128.13213788359209</c:v>
                </c:pt>
                <c:pt idx="133">
                  <c:v>-128.31077491260444</c:v>
                </c:pt>
                <c:pt idx="134">
                  <c:v>-128.49320542126719</c:v>
                </c:pt>
                <c:pt idx="135">
                  <c:v>-128.67517734418396</c:v>
                </c:pt>
                <c:pt idx="136">
                  <c:v>-128.85669049239536</c:v>
                </c:pt>
                <c:pt idx="137">
                  <c:v>-129.03774471101627</c:v>
                </c:pt>
                <c:pt idx="138">
                  <c:v>-129.22243474830844</c:v>
                </c:pt>
                <c:pt idx="139">
                  <c:v>-129.40664455922564</c:v>
                </c:pt>
                <c:pt idx="140">
                  <c:v>-129.59037408455225</c:v>
                </c:pt>
                <c:pt idx="141">
                  <c:v>-129.77362329960278</c:v>
                </c:pt>
                <c:pt idx="142">
                  <c:v>-129.9607204601684</c:v>
                </c:pt>
                <c:pt idx="143">
                  <c:v>-130.14731431642304</c:v>
                </c:pt>
                <c:pt idx="144">
                  <c:v>-130.33340495001875</c:v>
                </c:pt>
                <c:pt idx="145">
                  <c:v>-130.51899247765553</c:v>
                </c:pt>
                <c:pt idx="146">
                  <c:v>-130.70835841290577</c:v>
                </c:pt>
                <c:pt idx="147">
                  <c:v>-130.89719802076078</c:v>
                </c:pt>
                <c:pt idx="148">
                  <c:v>-131.08551153562721</c:v>
                </c:pt>
                <c:pt idx="149">
                  <c:v>-131.27329922731258</c:v>
                </c:pt>
                <c:pt idx="150">
                  <c:v>-131.46488494832431</c:v>
                </c:pt>
                <c:pt idx="151">
                  <c:v>-131.65592093125767</c:v>
                </c:pt>
                <c:pt idx="152">
                  <c:v>-131.84640757539864</c:v>
                </c:pt>
                <c:pt idx="153">
                  <c:v>-132.03634531567374</c:v>
                </c:pt>
                <c:pt idx="154">
                  <c:v>-132.23018633575478</c:v>
                </c:pt>
                <c:pt idx="155">
                  <c:v>-132.42345333797127</c:v>
                </c:pt>
                <c:pt idx="156">
                  <c:v>-132.61614689973621</c:v>
                </c:pt>
                <c:pt idx="157">
                  <c:v>-132.80826763427515</c:v>
                </c:pt>
                <c:pt idx="158">
                  <c:v>-133.00430287582262</c:v>
                </c:pt>
                <c:pt idx="159">
                  <c:v>-133.1997395101225</c:v>
                </c:pt>
                <c:pt idx="160">
                  <c:v>-133.39457830590595</c:v>
                </c:pt>
                <c:pt idx="161">
                  <c:v>-133.58882006773231</c:v>
                </c:pt>
                <c:pt idx="162">
                  <c:v>-133.78689727008506</c:v>
                </c:pt>
                <c:pt idx="163">
                  <c:v>-133.98435156936168</c:v>
                </c:pt>
                <c:pt idx="164">
                  <c:v>-134.18118393764664</c:v>
                </c:pt>
                <c:pt idx="165">
                  <c:v>-134.37739538262798</c:v>
                </c:pt>
                <c:pt idx="166">
                  <c:v>-134.57762000054223</c:v>
                </c:pt>
                <c:pt idx="167">
                  <c:v>-134.77719612952313</c:v>
                </c:pt>
                <c:pt idx="168">
                  <c:v>-134.97612496094965</c:v>
                </c:pt>
                <c:pt idx="169">
                  <c:v>-135.17440772150618</c:v>
                </c:pt>
                <c:pt idx="170">
                  <c:v>-135.37627977247863</c:v>
                </c:pt>
                <c:pt idx="171">
                  <c:v>-135.57748042267124</c:v>
                </c:pt>
                <c:pt idx="172">
                  <c:v>-135.77801108761574</c:v>
                </c:pt>
                <c:pt idx="173">
                  <c:v>-135.97787321733873</c:v>
                </c:pt>
                <c:pt idx="174">
                  <c:v>-136.18208141304066</c:v>
                </c:pt>
                <c:pt idx="175">
                  <c:v>-136.3855901346308</c:v>
                </c:pt>
                <c:pt idx="176">
                  <c:v>-136.58840105128763</c:v>
                </c:pt>
                <c:pt idx="177">
                  <c:v>-136.79051586615398</c:v>
                </c:pt>
                <c:pt idx="178">
                  <c:v>-136.99688054495192</c:v>
                </c:pt>
                <c:pt idx="179">
                  <c:v>-137.20251819137064</c:v>
                </c:pt>
                <c:pt idx="180">
                  <c:v>-137.40743074173002</c:v>
                </c:pt>
                <c:pt idx="181">
                  <c:v>-137.61162016543759</c:v>
                </c:pt>
                <c:pt idx="182">
                  <c:v>-137.81915048834196</c:v>
                </c:pt>
                <c:pt idx="183">
                  <c:v>-138.02593270987433</c:v>
                </c:pt>
                <c:pt idx="184">
                  <c:v>-138.2319690196727</c:v>
                </c:pt>
                <c:pt idx="185">
                  <c:v>-138.43726163874106</c:v>
                </c:pt>
                <c:pt idx="186">
                  <c:v>-138.64741751449185</c:v>
                </c:pt>
                <c:pt idx="187">
                  <c:v>-138.85679315974232</c:v>
                </c:pt>
                <c:pt idx="188">
                  <c:v>-139.06539107989192</c:v>
                </c:pt>
                <c:pt idx="189">
                  <c:v>-139.27321381060688</c:v>
                </c:pt>
                <c:pt idx="190">
                  <c:v>-139.4842077584523</c:v>
                </c:pt>
                <c:pt idx="191">
                  <c:v>-139.69440205528753</c:v>
                </c:pt>
                <c:pt idx="192">
                  <c:v>-139.90379947456319</c:v>
                </c:pt>
                <c:pt idx="193">
                  <c:v>-140.11240281761101</c:v>
                </c:pt>
                <c:pt idx="194">
                  <c:v>-140.32565255145079</c:v>
                </c:pt>
                <c:pt idx="195">
                  <c:v>-140.53807208916191</c:v>
                </c:pt>
                <c:pt idx="196">
                  <c:v>-140.74966454235701</c:v>
                </c:pt>
                <c:pt idx="197">
                  <c:v>-140.96043304861524</c:v>
                </c:pt>
                <c:pt idx="198">
                  <c:v>-141.17496900616166</c:v>
                </c:pt>
                <c:pt idx="199">
                  <c:v>-141.38865123902781</c:v>
                </c:pt>
                <c:pt idx="200">
                  <c:v>-141.6014831718615</c:v>
                </c:pt>
                <c:pt idx="201">
                  <c:v>-141.81346825256921</c:v>
                </c:pt>
                <c:pt idx="202">
                  <c:v>-142.02912521191317</c:v>
                </c:pt>
                <c:pt idx="203">
                  <c:v>-142.24390597726517</c:v>
                </c:pt>
                <c:pt idx="204">
                  <c:v>-142.4578142903836</c:v>
                </c:pt>
                <c:pt idx="205">
                  <c:v>-142.67085391322402</c:v>
                </c:pt>
                <c:pt idx="206">
                  <c:v>-142.88821090260254</c:v>
                </c:pt>
                <c:pt idx="207">
                  <c:v>-143.10466421113045</c:v>
                </c:pt>
                <c:pt idx="208">
                  <c:v>-143.32021794186076</c:v>
                </c:pt>
                <c:pt idx="209">
                  <c:v>-143.53487621486744</c:v>
                </c:pt>
                <c:pt idx="210">
                  <c:v>-143.75446734515782</c:v>
                </c:pt>
                <c:pt idx="211">
                  <c:v>-143.97312231626566</c:v>
                </c:pt>
                <c:pt idx="212">
                  <c:v>-144.19084564303253</c:v>
                </c:pt>
                <c:pt idx="213">
                  <c:v>-144.40764185387349</c:v>
                </c:pt>
                <c:pt idx="214">
                  <c:v>-144.62780927119528</c:v>
                </c:pt>
                <c:pt idx="215">
                  <c:v>-144.84702179588933</c:v>
                </c:pt>
                <c:pt idx="216">
                  <c:v>-145.06528426812719</c:v>
                </c:pt>
                <c:pt idx="217">
                  <c:v>-145.28260153742238</c:v>
                </c:pt>
                <c:pt idx="218">
                  <c:v>-145.50390121040678</c:v>
                </c:pt>
                <c:pt idx="219">
                  <c:v>-145.72422237191802</c:v>
                </c:pt>
                <c:pt idx="220">
                  <c:v>-145.94357023306844</c:v>
                </c:pt>
                <c:pt idx="221">
                  <c:v>-146.1619500098696</c:v>
                </c:pt>
                <c:pt idx="222">
                  <c:v>-146.3842028641013</c:v>
                </c:pt>
                <c:pt idx="223">
                  <c:v>-146.60545502407192</c:v>
                </c:pt>
                <c:pt idx="224">
                  <c:v>-146.82571207034792</c:v>
                </c:pt>
                <c:pt idx="225">
                  <c:v>-147.04497958358348</c:v>
                </c:pt>
                <c:pt idx="226">
                  <c:v>-147.26869071341599</c:v>
                </c:pt>
                <c:pt idx="227">
                  <c:v>-147.49137423875376</c:v>
                </c:pt>
                <c:pt idx="228">
                  <c:v>-147.71303616032696</c:v>
                </c:pt>
                <c:pt idx="229">
                  <c:v>-147.93368247373832</c:v>
                </c:pt>
                <c:pt idx="230">
                  <c:v>-148.38255934894397</c:v>
                </c:pt>
                <c:pt idx="231">
                  <c:v>-148.6054248748687</c:v>
                </c:pt>
                <c:pt idx="232">
                  <c:v>-148.82725034108438</c:v>
                </c:pt>
                <c:pt idx="233">
                  <c:v>-149.05327098452506</c:v>
                </c:pt>
                <c:pt idx="234">
                  <c:v>-149.27821515467863</c:v>
                </c:pt>
                <c:pt idx="235">
                  <c:v>-149.50208968449917</c:v>
                </c:pt>
                <c:pt idx="236">
                  <c:v>-149.72490139012052</c:v>
                </c:pt>
                <c:pt idx="237">
                  <c:v>-149.9511455769231</c:v>
                </c:pt>
                <c:pt idx="238">
                  <c:v>-150.17629764962194</c:v>
                </c:pt>
                <c:pt idx="239">
                  <c:v>-150.40036478636324</c:v>
                </c:pt>
                <c:pt idx="240">
                  <c:v>-150.62335414235784</c:v>
                </c:pt>
                <c:pt idx="241">
                  <c:v>-150.85093293236903</c:v>
                </c:pt>
                <c:pt idx="242">
                  <c:v>-151.07739328863346</c:v>
                </c:pt>
                <c:pt idx="243">
                  <c:v>-151.30274284730118</c:v>
                </c:pt>
                <c:pt idx="244">
                  <c:v>-151.52698921466185</c:v>
                </c:pt>
                <c:pt idx="245">
                  <c:v>-151.75507278397555</c:v>
                </c:pt>
                <c:pt idx="246">
                  <c:v>-151.98201969596749</c:v>
                </c:pt>
                <c:pt idx="247">
                  <c:v>-152.2078379707537</c:v>
                </c:pt>
                <c:pt idx="248">
                  <c:v>-152.43253559169332</c:v>
                </c:pt>
                <c:pt idx="249">
                  <c:v>-152.66155996117624</c:v>
                </c:pt>
                <c:pt idx="250">
                  <c:v>-152.88942518133467</c:v>
                </c:pt>
                <c:pt idx="251">
                  <c:v>-153.11613970815895</c:v>
                </c:pt>
                <c:pt idx="252">
                  <c:v>-153.34171195334994</c:v>
                </c:pt>
                <c:pt idx="253">
                  <c:v>-153.57088810865912</c:v>
                </c:pt>
                <c:pt idx="254">
                  <c:v>-153.79889070412327</c:v>
                </c:pt>
                <c:pt idx="255">
                  <c:v>-154.0257285486791</c:v>
                </c:pt>
                <c:pt idx="256">
                  <c:v>-154.25141039973929</c:v>
                </c:pt>
                <c:pt idx="257">
                  <c:v>-154.48174675156093</c:v>
                </c:pt>
                <c:pt idx="258">
                  <c:v>-154.71088494132414</c:v>
                </c:pt>
                <c:pt idx="259">
                  <c:v>-154.93883425121038</c:v>
                </c:pt>
                <c:pt idx="260">
                  <c:v>-155.16560390340101</c:v>
                </c:pt>
                <c:pt idx="261">
                  <c:v>-155.39631678104948</c:v>
                </c:pt>
                <c:pt idx="262">
                  <c:v>-155.62581508769134</c:v>
                </c:pt>
                <c:pt idx="263">
                  <c:v>-155.8541084901467</c:v>
                </c:pt>
                <c:pt idx="264">
                  <c:v>-156.08120658719747</c:v>
                </c:pt>
                <c:pt idx="265">
                  <c:v>-156.31212578743248</c:v>
                </c:pt>
                <c:pt idx="266">
                  <c:v>-156.54181603094162</c:v>
                </c:pt>
                <c:pt idx="267">
                  <c:v>-156.77028734737974</c:v>
                </c:pt>
                <c:pt idx="268">
                  <c:v>-156.99754969030747</c:v>
                </c:pt>
                <c:pt idx="269">
                  <c:v>-157.22905865205502</c:v>
                </c:pt>
                <c:pt idx="270">
                  <c:v>-157.45932041702162</c:v>
                </c:pt>
                <c:pt idx="271">
                  <c:v>-157.68834542742795</c:v>
                </c:pt>
                <c:pt idx="272">
                  <c:v>-157.91614404060121</c:v>
                </c:pt>
                <c:pt idx="273">
                  <c:v>-158.14805585918901</c:v>
                </c:pt>
                <c:pt idx="274">
                  <c:v>-158.37870443548451</c:v>
                </c:pt>
                <c:pt idx="275">
                  <c:v>-158.60810059974935</c:v>
                </c:pt>
                <c:pt idx="276">
                  <c:v>-158.83625508856292</c:v>
                </c:pt>
                <c:pt idx="277">
                  <c:v>-159.06787137728375</c:v>
                </c:pt>
                <c:pt idx="278">
                  <c:v>-159.29821626525336</c:v>
                </c:pt>
                <c:pt idx="279">
                  <c:v>-159.52730086907692</c:v>
                </c:pt>
                <c:pt idx="280">
                  <c:v>-159.75513620390041</c:v>
                </c:pt>
                <c:pt idx="281">
                  <c:v>-159.98785412598193</c:v>
                </c:pt>
                <c:pt idx="282">
                  <c:v>-160.21927740855804</c:v>
                </c:pt>
                <c:pt idx="283">
                  <c:v>-160.44941765342682</c:v>
                </c:pt>
                <c:pt idx="284">
                  <c:v>-160.67828635050637</c:v>
                </c:pt>
                <c:pt idx="285">
                  <c:v>-160.91038439185468</c:v>
                </c:pt>
                <c:pt idx="286">
                  <c:v>-161.14118386557399</c:v>
                </c:pt>
                <c:pt idx="287">
                  <c:v>-161.3706966000245</c:v>
                </c:pt>
                <c:pt idx="288">
                  <c:v>-161.59893430439942</c:v>
                </c:pt>
                <c:pt idx="289">
                  <c:v>-161.8317619362966</c:v>
                </c:pt>
                <c:pt idx="290">
                  <c:v>-162.06327231704304</c:v>
                </c:pt>
                <c:pt idx="291">
                  <c:v>-162.29347770088282</c:v>
                </c:pt>
                <c:pt idx="292">
                  <c:v>-162.52239021279257</c:v>
                </c:pt>
                <c:pt idx="293">
                  <c:v>-162.75526719703279</c:v>
                </c:pt>
                <c:pt idx="294">
                  <c:v>-162.98681613035981</c:v>
                </c:pt>
                <c:pt idx="295">
                  <c:v>-163.21704958301024</c:v>
                </c:pt>
                <c:pt idx="296">
                  <c:v>-163.44597998720124</c:v>
                </c:pt>
                <c:pt idx="297">
                  <c:v>-163.67874658452192</c:v>
                </c:pt>
                <c:pt idx="298">
                  <c:v>-163.91017646054266</c:v>
                </c:pt>
                <c:pt idx="299">
                  <c:v>-164.1402824679169</c:v>
                </c:pt>
                <c:pt idx="300">
                  <c:v>-164.36907731291885</c:v>
                </c:pt>
                <c:pt idx="301">
                  <c:v>-164.6015840100543</c:v>
                </c:pt>
                <c:pt idx="302">
                  <c:v>-164.8327473604663</c:v>
                </c:pt>
                <c:pt idx="303">
                  <c:v>-165.06258046507628</c:v>
                </c:pt>
                <c:pt idx="304">
                  <c:v>-165.29109627052614</c:v>
                </c:pt>
                <c:pt idx="305">
                  <c:v>-165.52409363763829</c:v>
                </c:pt>
                <c:pt idx="306">
                  <c:v>-165.75573264685252</c:v>
                </c:pt>
                <c:pt idx="307">
                  <c:v>-165.98602676629477</c:v>
                </c:pt>
                <c:pt idx="308">
                  <c:v>-166.21498929994186</c:v>
                </c:pt>
                <c:pt idx="309">
                  <c:v>-166.44741639694712</c:v>
                </c:pt>
                <c:pt idx="310">
                  <c:v>-166.67848271396659</c:v>
                </c:pt>
                <c:pt idx="311">
                  <c:v>-166.90820189510873</c:v>
                </c:pt>
                <c:pt idx="312">
                  <c:v>-167.13658741350042</c:v>
                </c:pt>
                <c:pt idx="313">
                  <c:v>-167.36917436423235</c:v>
                </c:pt>
                <c:pt idx="314">
                  <c:v>-167.6003898819059</c:v>
                </c:pt>
                <c:pt idx="315">
                  <c:v>-167.83024790414791</c:v>
                </c:pt>
                <c:pt idx="316">
                  <c:v>-168.0587621887924</c:v>
                </c:pt>
                <c:pt idx="317">
                  <c:v>-168.29133936024803</c:v>
                </c:pt>
                <c:pt idx="318">
                  <c:v>-168.52253666161405</c:v>
                </c:pt>
                <c:pt idx="319">
                  <c:v>-168.75236828542944</c:v>
                </c:pt>
                <c:pt idx="320">
                  <c:v>-168.98084823623739</c:v>
                </c:pt>
                <c:pt idx="321">
                  <c:v>-169.21325689888218</c:v>
                </c:pt>
                <c:pt idx="322">
                  <c:v>-169.44427936449989</c:v>
                </c:pt>
                <c:pt idx="323">
                  <c:v>-169.67393004201722</c:v>
                </c:pt>
                <c:pt idx="324">
                  <c:v>-169.90222314483111</c:v>
                </c:pt>
                <c:pt idx="325">
                  <c:v>-170.134315131817</c:v>
                </c:pt>
                <c:pt idx="326">
                  <c:v>-170.36501659174175</c:v>
                </c:pt>
                <c:pt idx="327">
                  <c:v>-170.59434211188972</c:v>
                </c:pt>
                <c:pt idx="328">
                  <c:v>-170.82230607719865</c:v>
                </c:pt>
                <c:pt idx="329">
                  <c:v>-171.05432958410515</c:v>
                </c:pt>
                <c:pt idx="330">
                  <c:v>-171.28495547457442</c:v>
                </c:pt>
                <c:pt idx="331">
                  <c:v>-171.51419855056969</c:v>
                </c:pt>
                <c:pt idx="332">
                  <c:v>-171.74207340425951</c:v>
                </c:pt>
                <c:pt idx="333">
                  <c:v>-171.97349566652875</c:v>
                </c:pt>
                <c:pt idx="334">
                  <c:v>-172.20351981248069</c:v>
                </c:pt>
                <c:pt idx="335">
                  <c:v>-172.43216074683178</c:v>
                </c:pt>
                <c:pt idx="336">
                  <c:v>-172.65943315924002</c:v>
                </c:pt>
                <c:pt idx="337">
                  <c:v>-172.89087186349457</c:v>
                </c:pt>
                <c:pt idx="338">
                  <c:v>-173.12090467666863</c:v>
                </c:pt>
                <c:pt idx="339">
                  <c:v>-173.34954671476601</c:v>
                </c:pt>
                <c:pt idx="340">
                  <c:v>-173.57681287146929</c:v>
                </c:pt>
                <c:pt idx="341">
                  <c:v>-173.80810569437787</c:v>
                </c:pt>
                <c:pt idx="342">
                  <c:v>-174.03798692121143</c:v>
                </c:pt>
                <c:pt idx="343">
                  <c:v>-174.26647183919818</c:v>
                </c:pt>
                <c:pt idx="344">
                  <c:v>-174.49357550683274</c:v>
                </c:pt>
                <c:pt idx="345">
                  <c:v>-174.724220263479</c:v>
                </c:pt>
                <c:pt idx="346">
                  <c:v>-174.95345394509161</c:v>
                </c:pt>
                <c:pt idx="347">
                  <c:v>-175.18129190160457</c:v>
                </c:pt>
                <c:pt idx="348">
                  <c:v>-175.40774925009453</c:v>
                </c:pt>
                <c:pt idx="349">
                  <c:v>-175.63831398124717</c:v>
                </c:pt>
                <c:pt idx="350">
                  <c:v>-175.86746131847661</c:v>
                </c:pt>
                <c:pt idx="351">
                  <c:v>-176.0952067782857</c:v>
                </c:pt>
                <c:pt idx="352">
                  <c:v>-176.32156563824134</c:v>
                </c:pt>
                <c:pt idx="353">
                  <c:v>-176.55189318719644</c:v>
                </c:pt>
                <c:pt idx="354">
                  <c:v>-176.78079898134482</c:v>
                </c:pt>
                <c:pt idx="355">
                  <c:v>-177.00829866495309</c:v>
                </c:pt>
                <c:pt idx="356">
                  <c:v>-177.23440763819838</c:v>
                </c:pt>
                <c:pt idx="357">
                  <c:v>-177.46402556334988</c:v>
                </c:pt>
                <c:pt idx="358">
                  <c:v>-177.69222322385636</c:v>
                </c:pt>
                <c:pt idx="359">
                  <c:v>-177.91901628837928</c:v>
                </c:pt>
                <c:pt idx="360">
                  <c:v>-178.14442017866429</c:v>
                </c:pt>
                <c:pt idx="361">
                  <c:v>-178.37385069287413</c:v>
                </c:pt>
                <c:pt idx="362">
                  <c:v>-178.60185600479281</c:v>
                </c:pt>
                <c:pt idx="363">
                  <c:v>-178.82845190693234</c:v>
                </c:pt>
                <c:pt idx="364">
                  <c:v>-179.05365394017173</c:v>
                </c:pt>
                <c:pt idx="365">
                  <c:v>-179.28243571102513</c:v>
                </c:pt>
                <c:pt idx="366">
                  <c:v>-179.50979303048516</c:v>
                </c:pt>
                <c:pt idx="367">
                  <c:v>-179.73574171458503</c:v>
                </c:pt>
                <c:pt idx="368">
                  <c:v>-179.9602973253362</c:v>
                </c:pt>
                <c:pt idx="369">
                  <c:v>-180.18891619790062</c:v>
                </c:pt>
                <c:pt idx="370">
                  <c:v>-180.41610529304629</c:v>
                </c:pt>
                <c:pt idx="371">
                  <c:v>-180.6418805457823</c:v>
                </c:pt>
                <c:pt idx="372">
                  <c:v>-180.86625763288419</c:v>
                </c:pt>
                <c:pt idx="373">
                  <c:v>-181.09426388104998</c:v>
                </c:pt>
                <c:pt idx="374">
                  <c:v>-181.32084055426321</c:v>
                </c:pt>
                <c:pt idx="375">
                  <c:v>-181.54600360956732</c:v>
                </c:pt>
                <c:pt idx="376">
                  <c:v>-181.7697687438752</c:v>
                </c:pt>
                <c:pt idx="377">
                  <c:v>-181.99761432204522</c:v>
                </c:pt>
                <c:pt idx="378">
                  <c:v>-182.22402478324466</c:v>
                </c:pt>
                <c:pt idx="379">
                  <c:v>-182.44901619840283</c:v>
                </c:pt>
                <c:pt idx="380">
                  <c:v>-182.67260437466828</c:v>
                </c:pt>
                <c:pt idx="381">
                  <c:v>-182.89957125195124</c:v>
                </c:pt>
                <c:pt idx="382">
                  <c:v>-183.1251063742516</c:v>
                </c:pt>
                <c:pt idx="383">
                  <c:v>-183.34922577397685</c:v>
                </c:pt>
                <c:pt idx="384">
                  <c:v>-183.57194521968196</c:v>
                </c:pt>
                <c:pt idx="385">
                  <c:v>-183.79874815032323</c:v>
                </c:pt>
                <c:pt idx="386">
                  <c:v>-184.02411358091501</c:v>
                </c:pt>
                <c:pt idx="387">
                  <c:v>-184.24805765551392</c:v>
                </c:pt>
                <c:pt idx="388">
                  <c:v>-184.47059625122691</c:v>
                </c:pt>
                <c:pt idx="389">
                  <c:v>-184.69680957879254</c:v>
                </c:pt>
                <c:pt idx="390">
                  <c:v>-184.92158488600552</c:v>
                </c:pt>
                <c:pt idx="391">
                  <c:v>-185.14493833946736</c:v>
                </c:pt>
                <c:pt idx="392">
                  <c:v>-185.3668858379549</c:v>
                </c:pt>
                <c:pt idx="393">
                  <c:v>-185.59238058668035</c:v>
                </c:pt>
                <c:pt idx="394">
                  <c:v>-185.81643830285731</c:v>
                </c:pt>
                <c:pt idx="395">
                  <c:v>-186.0390751497761</c:v>
                </c:pt>
                <c:pt idx="396">
                  <c:v>-186.26030702287127</c:v>
                </c:pt>
                <c:pt idx="397">
                  <c:v>-186.48546962844864</c:v>
                </c:pt>
                <c:pt idx="398">
                  <c:v>-186.70919113580476</c:v>
                </c:pt>
                <c:pt idx="399">
                  <c:v>-186.93148779066135</c:v>
                </c:pt>
                <c:pt idx="400">
                  <c:v>-187.15237556923839</c:v>
                </c:pt>
                <c:pt idx="401">
                  <c:v>-187.3768089575824</c:v>
                </c:pt>
                <c:pt idx="402">
                  <c:v>-187.59980209716747</c:v>
                </c:pt>
                <c:pt idx="403">
                  <c:v>-187.82137123517091</c:v>
                </c:pt>
                <c:pt idx="404">
                  <c:v>-188.04153234968166</c:v>
                </c:pt>
                <c:pt idx="405">
                  <c:v>-188.26535556997342</c:v>
                </c:pt>
                <c:pt idx="406">
                  <c:v>-188.48773774346375</c:v>
                </c:pt>
                <c:pt idx="407">
                  <c:v>-188.7086951496016</c:v>
                </c:pt>
                <c:pt idx="408">
                  <c:v>-188.92824379875228</c:v>
                </c:pt>
                <c:pt idx="409">
                  <c:v>-189.15156001592626</c:v>
                </c:pt>
                <c:pt idx="410">
                  <c:v>-189.3734329351563</c:v>
                </c:pt>
                <c:pt idx="411">
                  <c:v>-189.59387889708464</c:v>
                </c:pt>
                <c:pt idx="412">
                  <c:v>-189.81291397290445</c:v>
                </c:pt>
                <c:pt idx="413">
                  <c:v>-190.03558294507059</c:v>
                </c:pt>
                <c:pt idx="414">
                  <c:v>-190.2568080602947</c:v>
                </c:pt>
                <c:pt idx="415">
                  <c:v>-190.47660569743346</c:v>
                </c:pt>
                <c:pt idx="416">
                  <c:v>-190.6949919662913</c:v>
                </c:pt>
                <c:pt idx="417">
                  <c:v>-190.91710576516155</c:v>
                </c:pt>
                <c:pt idx="418">
                  <c:v>-191.13777386866892</c:v>
                </c:pt>
                <c:pt idx="419">
                  <c:v>-191.35701272260252</c:v>
                </c:pt>
                <c:pt idx="420">
                  <c:v>-191.57483850371528</c:v>
                </c:pt>
                <c:pt idx="421">
                  <c:v>-191.79604161279366</c:v>
                </c:pt>
                <c:pt idx="422">
                  <c:v>-192.01580174855098</c:v>
                </c:pt>
                <c:pt idx="423">
                  <c:v>-192.23413535434725</c:v>
                </c:pt>
                <c:pt idx="424">
                  <c:v>-192.45105860625679</c:v>
                </c:pt>
                <c:pt idx="425">
                  <c:v>-192.67187334134658</c:v>
                </c:pt>
                <c:pt idx="426">
                  <c:v>-192.89124100951116</c:v>
                </c:pt>
                <c:pt idx="427">
                  <c:v>-193.10917817760622</c:v>
                </c:pt>
                <c:pt idx="428">
                  <c:v>-193.32570114444329</c:v>
                </c:pt>
                <c:pt idx="429">
                  <c:v>-193.5457692339121</c:v>
                </c:pt>
                <c:pt idx="430">
                  <c:v>-193.76439084133153</c:v>
                </c:pt>
                <c:pt idx="431">
                  <c:v>-193.9815825882232</c:v>
                </c:pt>
                <c:pt idx="432">
                  <c:v>-194.19736082898584</c:v>
                </c:pt>
                <c:pt idx="433">
                  <c:v>-194.41655679755974</c:v>
                </c:pt>
                <c:pt idx="434">
                  <c:v>-194.63430859161861</c:v>
                </c:pt>
                <c:pt idx="435">
                  <c:v>-194.85063286987665</c:v>
                </c:pt>
                <c:pt idx="436">
                  <c:v>-195.06554602538037</c:v>
                </c:pt>
                <c:pt idx="437">
                  <c:v>-195.28414504351929</c:v>
                </c:pt>
                <c:pt idx="438">
                  <c:v>-195.50129870688181</c:v>
                </c:pt>
                <c:pt idx="439">
                  <c:v>-195.71702378517477</c:v>
                </c:pt>
                <c:pt idx="440">
                  <c:v>-195.93133678246781</c:v>
                </c:pt>
                <c:pt idx="441">
                  <c:v>-196.14920230319282</c:v>
                </c:pt>
                <c:pt idx="442">
                  <c:v>-196.36562326320663</c:v>
                </c:pt>
                <c:pt idx="443">
                  <c:v>-196.58061652409759</c:v>
                </c:pt>
                <c:pt idx="444">
                  <c:v>-196.79419868236937</c:v>
                </c:pt>
                <c:pt idx="445">
                  <c:v>-197.01120506932037</c:v>
                </c:pt>
                <c:pt idx="446">
                  <c:v>-197.2267696072434</c:v>
                </c:pt>
                <c:pt idx="447">
                  <c:v>-197.44090923214944</c:v>
                </c:pt>
                <c:pt idx="448">
                  <c:v>-197.65364061596017</c:v>
                </c:pt>
                <c:pt idx="449">
                  <c:v>-197.87003390986055</c:v>
                </c:pt>
                <c:pt idx="450">
                  <c:v>-198.0849851357676</c:v>
                </c:pt>
                <c:pt idx="451">
                  <c:v>-198.2985113730625</c:v>
                </c:pt>
                <c:pt idx="452">
                  <c:v>-198.51062943665283</c:v>
                </c:pt>
                <c:pt idx="453">
                  <c:v>-198.72610111739584</c:v>
                </c:pt>
                <c:pt idx="454">
                  <c:v>-198.94013501598366</c:v>
                </c:pt>
                <c:pt idx="455">
                  <c:v>-199.15274829391888</c:v>
                </c:pt>
                <c:pt idx="456">
                  <c:v>-199.36395784912082</c:v>
                </c:pt>
                <c:pt idx="457">
                  <c:v>-199.57874302766598</c:v>
                </c:pt>
                <c:pt idx="458">
                  <c:v>-199.79209208633137</c:v>
                </c:pt>
                <c:pt idx="459">
                  <c:v>-200.00402233501009</c:v>
                </c:pt>
                <c:pt idx="460">
                  <c:v>-200.21455081952362</c:v>
                </c:pt>
                <c:pt idx="461">
                  <c:v>-200.42852628608088</c:v>
                </c:pt>
                <c:pt idx="462">
                  <c:v>-200.64106952844114</c:v>
                </c:pt>
                <c:pt idx="463">
                  <c:v>-200.85219798539768</c:v>
                </c:pt>
                <c:pt idx="464">
                  <c:v>-201.06192883152235</c:v>
                </c:pt>
                <c:pt idx="465">
                  <c:v>-201.27514576579065</c:v>
                </c:pt>
                <c:pt idx="466">
                  <c:v>-201.48693438579082</c:v>
                </c:pt>
                <c:pt idx="467">
                  <c:v>-201.69731228046044</c:v>
                </c:pt>
                <c:pt idx="468">
                  <c:v>-201.90629677383845</c:v>
                </c:pt>
                <c:pt idx="469">
                  <c:v>-202.11864332895755</c:v>
                </c:pt>
                <c:pt idx="470">
                  <c:v>-202.32956777682389</c:v>
                </c:pt>
                <c:pt idx="471">
                  <c:v>-202.53908783636615</c:v>
                </c:pt>
                <c:pt idx="472">
                  <c:v>-202.74722096120206</c:v>
                </c:pt>
                <c:pt idx="473">
                  <c:v>-202.95890537300758</c:v>
                </c:pt>
                <c:pt idx="474">
                  <c:v>-203.16917202132532</c:v>
                </c:pt>
                <c:pt idx="475">
                  <c:v>-203.37803881298078</c:v>
                </c:pt>
                <c:pt idx="476">
                  <c:v>-203.58552338774825</c:v>
                </c:pt>
                <c:pt idx="477">
                  <c:v>-203.79643443209306</c:v>
                </c:pt>
                <c:pt idx="478">
                  <c:v>-204.00593457439871</c:v>
                </c:pt>
                <c:pt idx="479">
                  <c:v>-204.21404188609162</c:v>
                </c:pt>
                <c:pt idx="480">
                  <c:v>-204.42077417005706</c:v>
                </c:pt>
                <c:pt idx="481">
                  <c:v>-204.63081418714148</c:v>
                </c:pt>
                <c:pt idx="482">
                  <c:v>-204.83945261901601</c:v>
                </c:pt>
                <c:pt idx="483">
                  <c:v>-205.04670767853523</c:v>
                </c:pt>
                <c:pt idx="484">
                  <c:v>-205.25259730872705</c:v>
                </c:pt>
                <c:pt idx="485">
                  <c:v>-205.46182396007538</c:v>
                </c:pt>
                <c:pt idx="486">
                  <c:v>-205.66965884990955</c:v>
                </c:pt>
                <c:pt idx="487">
                  <c:v>-205.87612034654975</c:v>
                </c:pt>
                <c:pt idx="488">
                  <c:v>-206.08122654663833</c:v>
                </c:pt>
                <c:pt idx="489">
                  <c:v>-206.28983405233484</c:v>
                </c:pt>
                <c:pt idx="490">
                  <c:v>-206.49705845207018</c:v>
                </c:pt>
                <c:pt idx="491">
                  <c:v>-206.70291831790607</c:v>
                </c:pt>
                <c:pt idx="492">
                  <c:v>-206.90743194710262</c:v>
                </c:pt>
                <c:pt idx="493">
                  <c:v>-207.1153300807529</c:v>
                </c:pt>
                <c:pt idx="494">
                  <c:v>-207.32185649739424</c:v>
                </c:pt>
                <c:pt idx="495">
                  <c:v>-207.52702994383009</c:v>
                </c:pt>
                <c:pt idx="496">
                  <c:v>-207.73086888915316</c:v>
                </c:pt>
                <c:pt idx="497">
                  <c:v>-207.93811329177129</c:v>
                </c:pt>
                <c:pt idx="498">
                  <c:v>-208.14399830209268</c:v>
                </c:pt>
                <c:pt idx="499">
                  <c:v>-208.34854284804254</c:v>
                </c:pt>
                <c:pt idx="500">
                  <c:v>-208.55176557641306</c:v>
                </c:pt>
                <c:pt idx="501">
                  <c:v>-208.75841283628171</c:v>
                </c:pt>
                <c:pt idx="502">
                  <c:v>-208.96371409145371</c:v>
                </c:pt>
                <c:pt idx="503">
                  <c:v>-209.16768845466933</c:v>
                </c:pt>
                <c:pt idx="504">
                  <c:v>-209.37035475362151</c:v>
                </c:pt>
                <c:pt idx="505">
                  <c:v>-209.57633871475335</c:v>
                </c:pt>
                <c:pt idx="506">
                  <c:v>-209.78099284126046</c:v>
                </c:pt>
                <c:pt idx="507">
                  <c:v>-209.98433639684245</c:v>
                </c:pt>
                <c:pt idx="508">
                  <c:v>-210.18638835646379</c:v>
                </c:pt>
                <c:pt idx="509">
                  <c:v>-210.39177936082439</c:v>
                </c:pt>
                <c:pt idx="510">
                  <c:v>-210.59585783063594</c:v>
                </c:pt>
                <c:pt idx="511">
                  <c:v>-210.79864318040413</c:v>
                </c:pt>
                <c:pt idx="512">
                  <c:v>-211.00015453174913</c:v>
                </c:pt>
                <c:pt idx="513">
                  <c:v>-211.2051438583139</c:v>
                </c:pt>
                <c:pt idx="514">
                  <c:v>-211.40883769207846</c:v>
                </c:pt>
                <c:pt idx="515">
                  <c:v>-211.61125562911045</c:v>
                </c:pt>
                <c:pt idx="516">
                  <c:v>-211.81241696732923</c:v>
                </c:pt>
                <c:pt idx="517">
                  <c:v>-212.01695674210822</c:v>
                </c:pt>
                <c:pt idx="518">
                  <c:v>-212.22022097474905</c:v>
                </c:pt>
                <c:pt idx="519">
                  <c:v>-212.42222940202296</c:v>
                </c:pt>
                <c:pt idx="520">
                  <c:v>-212.62300145759764</c:v>
                </c:pt>
                <c:pt idx="521">
                  <c:v>-212.82717228377243</c:v>
                </c:pt>
                <c:pt idx="522">
                  <c:v>-213.030088913328</c:v>
                </c:pt>
                <c:pt idx="523">
                  <c:v>-213.23177121497775</c:v>
                </c:pt>
                <c:pt idx="524">
                  <c:v>-213.4322387490231</c:v>
                </c:pt>
                <c:pt idx="525">
                  <c:v>-213.63612582381541</c:v>
                </c:pt>
                <c:pt idx="526">
                  <c:v>-213.83878150744854</c:v>
                </c:pt>
                <c:pt idx="527">
                  <c:v>-214.04022578893088</c:v>
                </c:pt>
                <c:pt idx="528">
                  <c:v>-214.24047834323835</c:v>
                </c:pt>
                <c:pt idx="529">
                  <c:v>-214.44417201844962</c:v>
                </c:pt>
                <c:pt idx="530">
                  <c:v>-214.64665862022727</c:v>
                </c:pt>
                <c:pt idx="531">
                  <c:v>-214.84795824335475</c:v>
                </c:pt>
                <c:pt idx="532">
                  <c:v>-215.0480906626984</c:v>
                </c:pt>
                <c:pt idx="533">
                  <c:v>-215.25179175266319</c:v>
                </c:pt>
                <c:pt idx="534">
                  <c:v>-215.45431042880773</c:v>
                </c:pt>
                <c:pt idx="535">
                  <c:v>-215.65566690534931</c:v>
                </c:pt>
                <c:pt idx="536">
                  <c:v>-215.85588106981839</c:v>
                </c:pt>
                <c:pt idx="537">
                  <c:v>-216.0594797409812</c:v>
                </c:pt>
                <c:pt idx="538">
                  <c:v>-216.26192469475504</c:v>
                </c:pt>
                <c:pt idx="539">
                  <c:v>-216.46323618190996</c:v>
                </c:pt>
                <c:pt idx="540">
                  <c:v>-216.66343412093974</c:v>
                </c:pt>
                <c:pt idx="541">
                  <c:v>-216.86724642069436</c:v>
                </c:pt>
                <c:pt idx="542">
                  <c:v>-217.06993293661165</c:v>
                </c:pt>
                <c:pt idx="543">
                  <c:v>-217.27151399459765</c:v>
                </c:pt>
                <c:pt idx="544">
                  <c:v>-217.47200958123631</c:v>
                </c:pt>
                <c:pt idx="545">
                  <c:v>-217.67604648980256</c:v>
                </c:pt>
                <c:pt idx="546">
                  <c:v>-217.87898832616892</c:v>
                </c:pt>
                <c:pt idx="547">
                  <c:v>-218.08085543469522</c:v>
                </c:pt>
                <c:pt idx="548">
                  <c:v>-218.28166781399111</c:v>
                </c:pt>
                <c:pt idx="549">
                  <c:v>-218.48605216367073</c:v>
                </c:pt>
                <c:pt idx="550">
                  <c:v>-218.68937371732289</c:v>
                </c:pt>
                <c:pt idx="551">
                  <c:v>-218.89165280958949</c:v>
                </c:pt>
                <c:pt idx="552">
                  <c:v>-219.09290942292813</c:v>
                </c:pt>
                <c:pt idx="553">
                  <c:v>-219.29786534171126</c:v>
                </c:pt>
                <c:pt idx="554">
                  <c:v>-219.50179133421187</c:v>
                </c:pt>
                <c:pt idx="555">
                  <c:v>-219.70470772248063</c:v>
                </c:pt>
                <c:pt idx="556">
                  <c:v>-219.90663446934522</c:v>
                </c:pt>
                <c:pt idx="557">
                  <c:v>-220.31695800465724</c:v>
                </c:pt>
                <c:pt idx="558">
                  <c:v>-220.72338054607278</c:v>
                </c:pt>
                <c:pt idx="559">
                  <c:v>-221.13524722055021</c:v>
                </c:pt>
                <c:pt idx="560">
                  <c:v>-221.5433599902378</c:v>
                </c:pt>
                <c:pt idx="561">
                  <c:v>-221.95743077138235</c:v>
                </c:pt>
                <c:pt idx="562">
                  <c:v>-222.36789387189015</c:v>
                </c:pt>
                <c:pt idx="563">
                  <c:v>-222.7836027415882</c:v>
                </c:pt>
                <c:pt idx="564">
                  <c:v>-223.19587016060765</c:v>
                </c:pt>
                <c:pt idx="565">
                  <c:v>-223.61511920406573</c:v>
                </c:pt>
                <c:pt idx="566">
                  <c:v>-224.03107209550541</c:v>
                </c:pt>
                <c:pt idx="567">
                  <c:v>-224.45399462042673</c:v>
                </c:pt>
                <c:pt idx="568">
                  <c:v>-224.87377559904135</c:v>
                </c:pt>
                <c:pt idx="569">
                  <c:v>-225.29887301350996</c:v>
                </c:pt>
                <c:pt idx="570">
                  <c:v>-225.72101404368635</c:v>
                </c:pt>
                <c:pt idx="571">
                  <c:v>-226.15181945043702</c:v>
                </c:pt>
                <c:pt idx="572">
                  <c:v>-226.57981369679504</c:v>
                </c:pt>
                <c:pt idx="573">
                  <c:v>-227.01323583403806</c:v>
                </c:pt>
                <c:pt idx="574">
                  <c:v>-227.44404000830889</c:v>
                </c:pt>
                <c:pt idx="575">
                  <c:v>-227.88356599791169</c:v>
                </c:pt>
                <c:pt idx="576">
                  <c:v>-228.32063153662784</c:v>
                </c:pt>
                <c:pt idx="577">
                  <c:v>-230.1468300805393</c:v>
                </c:pt>
                <c:pt idx="578">
                  <c:v>-231.94069741346044</c:v>
                </c:pt>
                <c:pt idx="579">
                  <c:v>-235.79391427872994</c:v>
                </c:pt>
                <c:pt idx="580">
                  <c:v>-239.9516391152377</c:v>
                </c:pt>
                <c:pt idx="581">
                  <c:v>-244.46989205458294</c:v>
                </c:pt>
                <c:pt idx="582">
                  <c:v>-249.40232690939115</c:v>
                </c:pt>
                <c:pt idx="583">
                  <c:v>-254.77485296493967</c:v>
                </c:pt>
                <c:pt idx="584">
                  <c:v>-260.58833021841656</c:v>
                </c:pt>
                <c:pt idx="585">
                  <c:v>-266.79313185900156</c:v>
                </c:pt>
                <c:pt idx="586">
                  <c:v>-273.29552427563885</c:v>
                </c:pt>
                <c:pt idx="587">
                  <c:v>-279.96178934738498</c:v>
                </c:pt>
                <c:pt idx="588">
                  <c:v>-286.62260305062608</c:v>
                </c:pt>
                <c:pt idx="589">
                  <c:v>-293.11967767695603</c:v>
                </c:pt>
                <c:pt idx="590">
                  <c:v>-299.31064298187408</c:v>
                </c:pt>
                <c:pt idx="591">
                  <c:v>-305.09577318705561</c:v>
                </c:pt>
                <c:pt idx="592">
                  <c:v>-310.41769093778612</c:v>
                </c:pt>
                <c:pt idx="593">
                  <c:v>-315.25950846459409</c:v>
                </c:pt>
                <c:pt idx="594">
                  <c:v>-319.6296785408872</c:v>
                </c:pt>
                <c:pt idx="595">
                  <c:v>-323.55662302087347</c:v>
                </c:pt>
                <c:pt idx="596">
                  <c:v>-327.07626050899216</c:v>
                </c:pt>
                <c:pt idx="597">
                  <c:v>-330.2292133295299</c:v>
                </c:pt>
                <c:pt idx="598">
                  <c:v>-333.05400572437605</c:v>
                </c:pt>
                <c:pt idx="599">
                  <c:v>-335.5880580099622</c:v>
                </c:pt>
                <c:pt idx="600">
                  <c:v>-337.86412898358685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08-48B6-A860-793AEC41F97D}"/>
            </c:ext>
          </c:extLst>
        </c:ser>
        <c:ser>
          <c:idx val="1"/>
          <c:order val="7"/>
          <c:tx>
            <c:v>Fc1</c:v>
          </c:tx>
          <c:spPr>
            <a:ln w="2540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ymbol val="plus"/>
            <c:size val="10"/>
            <c:spPr>
              <a:noFill/>
              <a:ln w="28575">
                <a:solidFill>
                  <a:schemeClr val="tx1"/>
                </a:solidFill>
              </a:ln>
            </c:spPr>
          </c:marker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9108-48B6-A860-793AEC41F97D}"/>
              </c:ext>
            </c:extLst>
          </c:dPt>
          <c:xVal>
            <c:numRef>
              <c:f>'Stability Calculations'!$A$617:$A$618</c:f>
              <c:numCache>
                <c:formatCode>General</c:formatCode>
                <c:ptCount val="2"/>
                <c:pt idx="0">
                  <c:v>6839.55</c:v>
                </c:pt>
                <c:pt idx="1">
                  <c:v>6839.55</c:v>
                </c:pt>
              </c:numCache>
            </c:numRef>
          </c:xVal>
          <c:yVal>
            <c:numRef>
              <c:f>'Stability Calculations'!$R$617:$R$618</c:f>
              <c:numCache>
                <c:formatCode>0.00</c:formatCode>
                <c:ptCount val="2"/>
                <c:pt idx="0">
                  <c:v>-122.52771833163706</c:v>
                </c:pt>
                <c:pt idx="1">
                  <c:v>-90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08-48B6-A860-793AEC41F97D}"/>
            </c:ext>
          </c:extLst>
        </c:ser>
        <c:ser>
          <c:idx val="0"/>
          <c:order val="8"/>
          <c:tx>
            <c:v>Fc2</c:v>
          </c:tx>
          <c:spPr>
            <a:ln w="22225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'Stability Calculations'!$A$619:$A$620</c:f>
              <c:numCache>
                <c:formatCode>General</c:formatCode>
                <c:ptCount val="2"/>
                <c:pt idx="0">
                  <c:v>6839.55</c:v>
                </c:pt>
                <c:pt idx="1">
                  <c:v>1000000</c:v>
                </c:pt>
              </c:numCache>
            </c:numRef>
          </c:xVal>
          <c:yVal>
            <c:numRef>
              <c:f>'Stability Calculations'!$R$619:$R$620</c:f>
              <c:numCache>
                <c:formatCode>0.00</c:formatCode>
                <c:ptCount val="2"/>
                <c:pt idx="0">
                  <c:v>-122.52771833163706</c:v>
                </c:pt>
                <c:pt idx="1">
                  <c:v>-122.52771833163706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08-48B6-A860-793AEC41F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13760"/>
        <c:axId val="137415296"/>
      </c:scatterChart>
      <c:valAx>
        <c:axId val="137377280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minorGridlines>
          <c:spPr>
            <a:ln w="3175">
              <a:solidFill>
                <a:srgbClr val="969696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>
                    <a:latin typeface="Arial" pitchFamily="34" charset="0"/>
                    <a:cs typeface="Arial" pitchFamily="34" charset="0"/>
                  </a:rPr>
                  <a:t>Frequency (Hz)</a:t>
                </a:r>
              </a:p>
            </c:rich>
          </c:tx>
          <c:layout>
            <c:manualLayout>
              <c:xMode val="edge"/>
              <c:yMode val="edge"/>
              <c:x val="0.43129335258697837"/>
              <c:y val="0.938287088475307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39720192"/>
        <c:crossesAt val="-80"/>
        <c:crossBetween val="midCat"/>
      </c:valAx>
      <c:valAx>
        <c:axId val="139720192"/>
        <c:scaling>
          <c:orientation val="minMax"/>
          <c:max val="80"/>
          <c:min val="-8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 u="none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Loop Gain (dB)</a:t>
                </a:r>
              </a:p>
            </c:rich>
          </c:tx>
          <c:layout>
            <c:manualLayout>
              <c:xMode val="edge"/>
              <c:yMode val="edge"/>
              <c:x val="1.8000828843762959E-2"/>
              <c:y val="0.37415033227229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37377280"/>
        <c:crossesAt val="1.0000000000000005E-2"/>
        <c:crossBetween val="midCat"/>
        <c:majorUnit val="20"/>
      </c:valAx>
      <c:valAx>
        <c:axId val="137413760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37415296"/>
        <c:crosses val="autoZero"/>
        <c:crossBetween val="midCat"/>
      </c:valAx>
      <c:valAx>
        <c:axId val="137415296"/>
        <c:scaling>
          <c:orientation val="minMax"/>
          <c:max val="0"/>
          <c:min val="-18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206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200" b="1">
                    <a:solidFill>
                      <a:srgbClr val="002060"/>
                    </a:solidFill>
                    <a:latin typeface="Arial" pitchFamily="34" charset="0"/>
                    <a:cs typeface="Arial" pitchFamily="34" charset="0"/>
                  </a:rPr>
                  <a:t>Loop Phase  (°)</a:t>
                </a:r>
              </a:p>
            </c:rich>
          </c:tx>
          <c:layout>
            <c:manualLayout>
              <c:xMode val="edge"/>
              <c:yMode val="edge"/>
              <c:x val="0.9649302942395358"/>
              <c:y val="0.36763779527559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206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37413760"/>
        <c:crosses val="max"/>
        <c:crossBetween val="midCat"/>
        <c:majorUnit val="4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span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88" r="0.75000000000000688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>
                <a:latin typeface="Arial" pitchFamily="34" charset="0"/>
                <a:cs typeface="Arial" pitchFamily="34" charset="0"/>
                <a:sym typeface="Symbol"/>
              </a:rPr>
              <a:t></a:t>
            </a:r>
            <a:r>
              <a:rPr lang="en-US" sz="2000" b="1" i="0" u="none" strike="noStrike" baseline="0"/>
              <a:t>,  V</a:t>
            </a:r>
            <a:r>
              <a:rPr lang="en-US" sz="2000" b="1" i="0" u="none" strike="noStrike" baseline="-25000"/>
              <a:t>IN</a:t>
            </a:r>
            <a:r>
              <a:rPr lang="en-US" sz="2000" b="1" i="0" u="none" strike="noStrike" baseline="0"/>
              <a:t> = V</a:t>
            </a:r>
            <a:r>
              <a:rPr lang="en-US" sz="2000" b="1" i="0" u="none" strike="noStrike" baseline="-25000"/>
              <a:t>IN(nom)</a:t>
            </a:r>
            <a:endParaRPr lang="en-US" sz="20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7.7082846781954192E-2"/>
          <c:y val="1.41099694661579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99604911965282E-2"/>
          <c:y val="0.12372903654825702"/>
          <c:w val="0.82579990228506228"/>
          <c:h val="0.76068566810117366"/>
        </c:manualLayout>
      </c:layout>
      <c:lineChart>
        <c:grouping val="standard"/>
        <c:varyColors val="0"/>
        <c:ser>
          <c:idx val="0"/>
          <c:order val="0"/>
          <c:tx>
            <c:v>Efficiency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'Efficiency vs Load Calculations'!$BH$9:$BH$109</c:f>
              <c:numCache>
                <c:formatCode>0.00</c:formatCode>
                <c:ptCount val="101"/>
                <c:pt idx="0">
                  <c:v>0</c:v>
                </c:pt>
                <c:pt idx="1">
                  <c:v>55.449938231583587</c:v>
                </c:pt>
                <c:pt idx="2">
                  <c:v>71.085708739770297</c:v>
                </c:pt>
                <c:pt idx="3">
                  <c:v>78.431221928138569</c:v>
                </c:pt>
                <c:pt idx="4">
                  <c:v>82.679764430429842</c:v>
                </c:pt>
                <c:pt idx="5">
                  <c:v>85.436168454319613</c:v>
                </c:pt>
                <c:pt idx="6">
                  <c:v>87.308989133402264</c:v>
                </c:pt>
                <c:pt idx="7">
                  <c:v>88.675927257467251</c:v>
                </c:pt>
                <c:pt idx="8">
                  <c:v>89.714538805690296</c:v>
                </c:pt>
                <c:pt idx="9">
                  <c:v>90.525549388187159</c:v>
                </c:pt>
                <c:pt idx="10">
                  <c:v>91.172228834083455</c:v>
                </c:pt>
                <c:pt idx="11">
                  <c:v>91.696311465556704</c:v>
                </c:pt>
                <c:pt idx="12">
                  <c:v>92.126431983807393</c:v>
                </c:pt>
                <c:pt idx="13">
                  <c:v>92.482883596058002</c:v>
                </c:pt>
                <c:pt idx="14">
                  <c:v>92.780442215057391</c:v>
                </c:pt>
                <c:pt idx="15">
                  <c:v>93.030115535015028</c:v>
                </c:pt>
                <c:pt idx="16">
                  <c:v>93.240265928843655</c:v>
                </c:pt>
                <c:pt idx="17">
                  <c:v>93.417353916173226</c:v>
                </c:pt>
                <c:pt idx="18">
                  <c:v>93.566443742483784</c:v>
                </c:pt>
                <c:pt idx="19">
                  <c:v>93.691555312114062</c:v>
                </c:pt>
                <c:pt idx="20">
                  <c:v>93.795914256311363</c:v>
                </c:pt>
                <c:pt idx="21">
                  <c:v>93.882132879774872</c:v>
                </c:pt>
                <c:pt idx="22">
                  <c:v>93.952343217965478</c:v>
                </c:pt>
                <c:pt idx="23">
                  <c:v>94.008296285352571</c:v>
                </c:pt>
                <c:pt idx="24">
                  <c:v>94.051437041272905</c:v>
                </c:pt>
                <c:pt idx="25">
                  <c:v>94.082961636352309</c:v>
                </c:pt>
                <c:pt idx="26">
                  <c:v>94.103861534246292</c:v>
                </c:pt>
                <c:pt idx="27">
                  <c:v>94.11495777194547</c:v>
                </c:pt>
                <c:pt idx="28">
                  <c:v>94.116927705375005</c:v>
                </c:pt>
                <c:pt idx="29">
                  <c:v>94.110325945651425</c:v>
                </c:pt>
                <c:pt idx="30">
                  <c:v>94.095600735186522</c:v>
                </c:pt>
                <c:pt idx="31">
                  <c:v>94.073106682889446</c:v>
                </c:pt>
                <c:pt idx="32">
                  <c:v>94.043114534655857</c:v>
                </c:pt>
                <c:pt idx="33">
                  <c:v>94.005818472354136</c:v>
                </c:pt>
                <c:pt idx="34">
                  <c:v>93.961341292961279</c:v>
                </c:pt>
                <c:pt idx="35">
                  <c:v>93.909737705993464</c:v>
                </c:pt>
                <c:pt idx="36">
                  <c:v>93.850995891924356</c:v>
                </c:pt>
                <c:pt idx="37">
                  <c:v>93.785037378972817</c:v>
                </c:pt>
                <c:pt idx="38">
                  <c:v>93.711715213643956</c:v>
                </c:pt>
                <c:pt idx="39">
                  <c:v>93.630810315181492</c:v>
                </c:pt>
                <c:pt idx="40">
                  <c:v>93.542025808599888</c:v>
                </c:pt>
                <c:pt idx="41">
                  <c:v>93.444979016808432</c:v>
                </c:pt>
                <c:pt idx="42">
                  <c:v>93.339190648626385</c:v>
                </c:pt>
                <c:pt idx="43">
                  <c:v>93.224070531260068</c:v>
                </c:pt>
                <c:pt idx="44">
                  <c:v>93.098898981669294</c:v>
                </c:pt>
                <c:pt idx="45">
                  <c:v>92.962802559663544</c:v>
                </c:pt>
                <c:pt idx="46">
                  <c:v>92.814722448966265</c:v>
                </c:pt>
                <c:pt idx="47">
                  <c:v>92.653372997543372</c:v>
                </c:pt>
                <c:pt idx="48">
                  <c:v>92.477186899854928</c:v>
                </c:pt>
                <c:pt idx="49">
                  <c:v>92.284241935956743</c:v>
                </c:pt>
                <c:pt idx="50">
                  <c:v>92.072161790826414</c:v>
                </c:pt>
                <c:pt idx="51">
                  <c:v>91.8379797486526</c:v>
                </c:pt>
                <c:pt idx="52">
                  <c:v>91.577948103152892</c:v>
                </c:pt>
                <c:pt idx="53">
                  <c:v>91.287266363846015</c:v>
                </c:pt>
                <c:pt idx="54">
                  <c:v>90.959684854671067</c:v>
                </c:pt>
                <c:pt idx="55">
                  <c:v>90.586911522305257</c:v>
                </c:pt>
                <c:pt idx="56">
                  <c:v>90.157697582010826</c:v>
                </c:pt>
                <c:pt idx="57">
                  <c:v>89.656378762564685</c:v>
                </c:pt>
                <c:pt idx="58">
                  <c:v>89.060451859700024</c:v>
                </c:pt>
                <c:pt idx="59">
                  <c:v>88.33634927732659</c:v>
                </c:pt>
                <c:pt idx="60">
                  <c:v>87.431625718563012</c:v>
                </c:pt>
                <c:pt idx="61">
                  <c:v>86.259414382264595</c:v>
                </c:pt>
                <c:pt idx="62">
                  <c:v>84.66446264431481</c:v>
                </c:pt>
                <c:pt idx="63">
                  <c:v>82.339001788281806</c:v>
                </c:pt>
                <c:pt idx="64">
                  <c:v>78.573755138247321</c:v>
                </c:pt>
                <c:pt idx="65">
                  <c:v>71.284320099566912</c:v>
                </c:pt>
                <c:pt idx="66">
                  <c:v>50.534976117172405</c:v>
                </c:pt>
                <c:pt idx="67">
                  <c:v>-638.51562607145399</c:v>
                </c:pt>
                <c:pt idx="68">
                  <c:v>140.66112448279807</c:v>
                </c:pt>
                <c:pt idx="69">
                  <c:v>115.69335335079171</c:v>
                </c:pt>
                <c:pt idx="70">
                  <c:v>107.57588255963245</c:v>
                </c:pt>
                <c:pt idx="71">
                  <c:v>103.46163633812293</c:v>
                </c:pt>
                <c:pt idx="72">
                  <c:v>100.9080212059723</c:v>
                </c:pt>
                <c:pt idx="73">
                  <c:v>99.116300017066493</c:v>
                </c:pt>
                <c:pt idx="74">
                  <c:v>97.746706423963332</c:v>
                </c:pt>
                <c:pt idx="75">
                  <c:v>96.629054754859794</c:v>
                </c:pt>
                <c:pt idx="76">
                  <c:v>95.667526733891648</c:v>
                </c:pt>
                <c:pt idx="77">
                  <c:v>94.802842438878216</c:v>
                </c:pt>
                <c:pt idx="78">
                  <c:v>93.995058540816743</c:v>
                </c:pt>
                <c:pt idx="79">
                  <c:v>93.214853599500159</c:v>
                </c:pt>
                <c:pt idx="80">
                  <c:v>92.438646072502664</c:v>
                </c:pt>
                <c:pt idx="81">
                  <c:v>91.645531702029487</c:v>
                </c:pt>
                <c:pt idx="82">
                  <c:v>90.81505898070732</c:v>
                </c:pt>
                <c:pt idx="83">
                  <c:v>89.925281398245076</c:v>
                </c:pt>
                <c:pt idx="84">
                  <c:v>88.950672084013277</c:v>
                </c:pt>
                <c:pt idx="85">
                  <c:v>87.859470822930362</c:v>
                </c:pt>
                <c:pt idx="86">
                  <c:v>86.609859406039234</c:v>
                </c:pt>
                <c:pt idx="87">
                  <c:v>85.143939061712246</c:v>
                </c:pt>
                <c:pt idx="88">
                  <c:v>83.377557194681188</c:v>
                </c:pt>
                <c:pt idx="89">
                  <c:v>81.181933723139949</c:v>
                </c:pt>
                <c:pt idx="90">
                  <c:v>78.347928246955306</c:v>
                </c:pt>
                <c:pt idx="91">
                  <c:v>74.509999668272826</c:v>
                </c:pt>
                <c:pt idx="92">
                  <c:v>68.964282592091891</c:v>
                </c:pt>
                <c:pt idx="93">
                  <c:v>60.156491668006375</c:v>
                </c:pt>
                <c:pt idx="94">
                  <c:v>43.836957571138264</c:v>
                </c:pt>
                <c:pt idx="95">
                  <c:v>2.7336155318619828</c:v>
                </c:pt>
                <c:pt idx="96">
                  <c:v>-306.88680290730838</c:v>
                </c:pt>
                <c:pt idx="97">
                  <c:v>274.14694963791908</c:v>
                </c:pt>
                <c:pt idx="98">
                  <c:v>169.39507075013972</c:v>
                </c:pt>
                <c:pt idx="99">
                  <c:v>142.27086969900972</c:v>
                </c:pt>
                <c:pt idx="100">
                  <c:v>129.74425467730532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C2-4F15-A46E-B2CB0B1D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98336"/>
        <c:axId val="142008704"/>
      </c:lineChart>
      <c:lineChart>
        <c:grouping val="standard"/>
        <c:varyColors val="0"/>
        <c:ser>
          <c:idx val="2"/>
          <c:order val="1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ln w="38100">
              <a:solidFill>
                <a:srgbClr val="808000"/>
              </a:solidFill>
              <a:prstDash val="sysDash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'Efficiency vs Load Calculations'!$BK$9:$BK$109</c:f>
              <c:numCache>
                <c:formatCode>0.000</c:formatCode>
                <c:ptCount val="101"/>
                <c:pt idx="0">
                  <c:v>0.6842909502080049</c:v>
                </c:pt>
                <c:pt idx="1">
                  <c:v>0.71282708944591877</c:v>
                </c:pt>
                <c:pt idx="2">
                  <c:v>0.74194288448153722</c:v>
                </c:pt>
                <c:pt idx="3">
                  <c:v>0.7716487170077897</c:v>
                </c:pt>
                <c:pt idx="4">
                  <c:v>0.80195538307046388</c:v>
                </c:pt>
                <c:pt idx="5">
                  <c:v>0.83287410612186363</c:v>
                </c:pt>
                <c:pt idx="6">
                  <c:v>0.87399451392795657</c:v>
                </c:pt>
                <c:pt idx="7">
                  <c:v>0.91689791615302829</c:v>
                </c:pt>
                <c:pt idx="8">
                  <c:v>0.96046905581120301</c:v>
                </c:pt>
                <c:pt idx="9">
                  <c:v>1.0047247216733965</c:v>
                </c:pt>
                <c:pt idx="10">
                  <c:v>1.0496822385356208</c:v>
                </c:pt>
                <c:pt idx="11">
                  <c:v>1.0953594898521182</c:v>
                </c:pt>
                <c:pt idx="12">
                  <c:v>1.1417749414793663</c:v>
                </c:pt>
                <c:pt idx="13">
                  <c:v>1.1889476665972394</c:v>
                </c:pt>
                <c:pt idx="14">
                  <c:v>1.2368973718780567</c:v>
                </c:pt>
                <c:pt idx="15">
                  <c:v>1.2856444249790404</c:v>
                </c:pt>
                <c:pt idx="16">
                  <c:v>1.3352098834388451</c:v>
                </c:pt>
                <c:pt idx="17">
                  <c:v>1.3856155250644067</c:v>
                </c:pt>
                <c:pt idx="18">
                  <c:v>1.4368838799003514</c:v>
                </c:pt>
                <c:pt idx="19">
                  <c:v>1.4890382638796913</c:v>
                </c:pt>
                <c:pt idx="20">
                  <c:v>1.542102814261562</c:v>
                </c:pt>
                <c:pt idx="21">
                  <c:v>1.5961025269693065</c:v>
                </c:pt>
                <c:pt idx="22">
                  <c:v>1.6510632959504496</c:v>
                </c:pt>
                <c:pt idx="23">
                  <c:v>1.7070119546889604</c:v>
                </c:pt>
                <c:pt idx="24">
                  <c:v>1.7639763200098382</c:v>
                </c:pt>
                <c:pt idx="25">
                  <c:v>1.8219852383264867</c:v>
                </c:pt>
                <c:pt idx="26">
                  <c:v>1.8810686344926713</c:v>
                </c:pt>
                <c:pt idx="27">
                  <c:v>1.9412575634331346</c:v>
                </c:pt>
                <c:pt idx="28">
                  <c:v>2.0025842647403156</c:v>
                </c:pt>
                <c:pt idx="29">
                  <c:v>2.0650822204391481</c:v>
                </c:pt>
                <c:pt idx="30">
                  <c:v>2.1287862161376951</c:v>
                </c:pt>
                <c:pt idx="31">
                  <c:v>2.193732405798638</c:v>
                </c:pt>
                <c:pt idx="32">
                  <c:v>2.2599583803853758</c:v>
                </c:pt>
                <c:pt idx="33">
                  <c:v>2.3275032406569705</c:v>
                </c:pt>
                <c:pt idx="34">
                  <c:v>2.3964076744085459</c:v>
                </c:pt>
                <c:pt idx="35">
                  <c:v>2.4667140384781554</c:v>
                </c:pt>
                <c:pt idx="36">
                  <c:v>2.5384664458678738</c:v>
                </c:pt>
                <c:pt idx="37">
                  <c:v>2.6117108583561142</c:v>
                </c:pt>
                <c:pt idx="38">
                  <c:v>2.6864951850102039</c:v>
                </c:pt>
                <c:pt idx="39">
                  <c:v>2.7628693870434571</c:v>
                </c:pt>
                <c:pt idx="40">
                  <c:v>2.8408855894994889</c:v>
                </c:pt>
                <c:pt idx="41">
                  <c:v>2.9205982002890236</c:v>
                </c:pt>
                <c:pt idx="42">
                  <c:v>3.0020640371510052</c:v>
                </c:pt>
                <c:pt idx="43">
                  <c:v>3.0853424631612261</c:v>
                </c:pt>
                <c:pt idx="44">
                  <c:v>3.1704955314683052</c:v>
                </c:pt>
                <c:pt idx="45">
                  <c:v>3.2575881399992626</c:v>
                </c:pt>
                <c:pt idx="46">
                  <c:v>3.3466881969460145</c:v>
                </c:pt>
                <c:pt idx="47">
                  <c:v>3.4378667979203223</c:v>
                </c:pt>
                <c:pt idx="48">
                  <c:v>3.5311984157492762</c:v>
                </c:pt>
                <c:pt idx="49">
                  <c:v>3.6267611039769814</c:v>
                </c:pt>
                <c:pt idx="50">
                  <c:v>3.7246367152420086</c:v>
                </c:pt>
                <c:pt idx="51">
                  <c:v>3.8249111358156456</c:v>
                </c:pt>
                <c:pt idx="52">
                  <c:v>3.9276745377143207</c:v>
                </c:pt>
                <c:pt idx="53">
                  <c:v>4.0330216499427074</c:v>
                </c:pt>
                <c:pt idx="54">
                  <c:v>4.1410520505834425</c:v>
                </c:pt>
                <c:pt idx="55">
                  <c:v>4.2518704816276225</c:v>
                </c:pt>
                <c:pt idx="56">
                  <c:v>4.3655871886394859</c:v>
                </c:pt>
                <c:pt idx="57">
                  <c:v>4.4823182875717764</c:v>
                </c:pt>
                <c:pt idx="58">
                  <c:v>4.602186161298591</c:v>
                </c:pt>
                <c:pt idx="59">
                  <c:v>4.7253198887136509</c:v>
                </c:pt>
                <c:pt idx="60">
                  <c:v>4.8518557095580181</c:v>
                </c:pt>
                <c:pt idx="61">
                  <c:v>4.9819375284977205</c:v>
                </c:pt>
                <c:pt idx="62">
                  <c:v>5.1157174623736257</c:v>
                </c:pt>
                <c:pt idx="63">
                  <c:v>5.2533564350004225</c:v>
                </c:pt>
                <c:pt idx="64">
                  <c:v>5.3950248244062067</c:v>
                </c:pt>
                <c:pt idx="65">
                  <c:v>5.5409031679875573</c:v>
                </c:pt>
                <c:pt idx="66">
                  <c:v>5.6911829317183997</c:v>
                </c:pt>
                <c:pt idx="67">
                  <c:v>5.8460673503056118</c:v>
                </c:pt>
                <c:pt idx="68">
                  <c:v>6.0057723460454735</c:v>
                </c:pt>
                <c:pt idx="69">
                  <c:v>6.1705275351188638</c:v>
                </c:pt>
                <c:pt idx="70">
                  <c:v>6.3405773311896212</c:v>
                </c:pt>
                <c:pt idx="71">
                  <c:v>6.5161821574633052</c:v>
                </c:pt>
                <c:pt idx="72">
                  <c:v>6.6976197798498687</c:v>
                </c:pt>
                <c:pt idx="73">
                  <c:v>6.88518677558673</c:v>
                </c:pt>
                <c:pt idx="74">
                  <c:v>7.0792001536573874</c:v>
                </c:pt>
                <c:pt idx="75">
                  <c:v>7.2799991456311872</c:v>
                </c:pt>
                <c:pt idx="76">
                  <c:v>7.4879471882086133</c:v>
                </c:pt>
                <c:pt idx="77">
                  <c:v>7.7034341218493321</c:v>
                </c:pt>
                <c:pt idx="78">
                  <c:v>7.9268786334686547</c:v>
                </c:pt>
                <c:pt idx="79">
                  <c:v>8.158730975408341</c:v>
                </c:pt>
                <c:pt idx="80">
                  <c:v>8.3994759978376781</c:v>
                </c:pt>
                <c:pt idx="81">
                  <c:v>8.6496365375638149</c:v>
                </c:pt>
                <c:pt idx="82">
                  <c:v>8.9097772131000408</c:v>
                </c:pt>
                <c:pt idx="83">
                  <c:v>9.1805086839712757</c:v>
                </c:pt>
                <c:pt idx="84">
                  <c:v>9.4624924418893919</c:v>
                </c:pt>
                <c:pt idx="85">
                  <c:v>9.75644621293109</c:v>
                </c:pt>
                <c:pt idx="86">
                  <c:v>10.063150063598517</c:v>
                </c:pt>
                <c:pt idx="87">
                  <c:v>10.383453320137063</c:v>
                </c:pt>
                <c:pt idx="88">
                  <c:v>10.718282430349044</c:v>
                </c:pt>
                <c:pt idx="89">
                  <c:v>11.068649921159132</c:v>
                </c:pt>
                <c:pt idx="90">
                  <c:v>11.435664634345049</c:v>
                </c:pt>
                <c:pt idx="91">
                  <c:v>11.82054345839769</c:v>
                </c:pt>
                <c:pt idx="92">
                  <c:v>12.224624818014654</c:v>
                </c:pt>
                <c:pt idx="93">
                  <c:v>12.649384236305854</c:v>
                </c:pt>
                <c:pt idx="94">
                  <c:v>13.096452351037311</c:v>
                </c:pt>
                <c:pt idx="95">
                  <c:v>13.567635848579714</c:v>
                </c:pt>
                <c:pt idx="96">
                  <c:v>14.064941882125481</c:v>
                </c:pt>
                <c:pt idx="97">
                  <c:v>14.590606670058911</c:v>
                </c:pt>
                <c:pt idx="98">
                  <c:v>15.147129133866059</c:v>
                </c:pt>
                <c:pt idx="99">
                  <c:v>15.737310643000901</c:v>
                </c:pt>
                <c:pt idx="100">
                  <c:v>16.364302200571149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C2-4F15-A46E-B2CB0B1D0CAE}"/>
            </c:ext>
          </c:extLst>
        </c:ser>
        <c:ser>
          <c:idx val="3"/>
          <c:order val="2"/>
          <c:tx>
            <c:v>Inductor Loss</c:v>
          </c:tx>
          <c:spPr>
            <a:ln w="38100">
              <a:solidFill>
                <a:srgbClr val="800080"/>
              </a:solidFill>
              <a:prstDash val="dash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'Efficiency vs Load Calculations'!$BI$9:$BI$109</c:f>
              <c:numCache>
                <c:formatCode>0.000</c:formatCode>
                <c:ptCount val="101"/>
                <c:pt idx="0">
                  <c:v>1.064425909489191</c:v>
                </c:pt>
                <c:pt idx="1">
                  <c:v>1.0650692588183663</c:v>
                </c:pt>
                <c:pt idx="2">
                  <c:v>1.0684855341537574</c:v>
                </c:pt>
                <c:pt idx="3">
                  <c:v>1.0746802574296965</c:v>
                </c:pt>
                <c:pt idx="4">
                  <c:v>1.0836626585809164</c:v>
                </c:pt>
                <c:pt idx="5">
                  <c:v>1.0954457063198382</c:v>
                </c:pt>
                <c:pt idx="6">
                  <c:v>1.1100461515057307</c:v>
                </c:pt>
                <c:pt idx="7">
                  <c:v>1.1274845833772034</c:v>
                </c:pt>
                <c:pt idx="8">
                  <c:v>1.1477854990017031</c:v>
                </c:pt>
                <c:pt idx="9">
                  <c:v>1.1709773863815276</c:v>
                </c:pt>
                <c:pt idx="10">
                  <c:v>1.1970928217463022</c:v>
                </c:pt>
                <c:pt idx="11">
                  <c:v>1.2261685816575516</c:v>
                </c:pt>
                <c:pt idx="12">
                  <c:v>1.2582457706534746</c:v>
                </c:pt>
                <c:pt idx="13">
                  <c:v>1.2933699652719293</c:v>
                </c:pt>
                <c:pt idx="14">
                  <c:v>1.3315913754086957</c:v>
                </c:pt>
                <c:pt idx="15">
                  <c:v>1.3729650240974152</c:v>
                </c:pt>
                <c:pt idx="16">
                  <c:v>1.4175509469389078</c:v>
                </c:pt>
                <c:pt idx="17">
                  <c:v>1.465414412562648</c:v>
                </c:pt>
                <c:pt idx="18">
                  <c:v>1.5166261656740132</c:v>
                </c:pt>
                <c:pt idx="19">
                  <c:v>1.5712626944297949</c:v>
                </c:pt>
                <c:pt idx="20">
                  <c:v>1.6294065240939251</c:v>
                </c:pt>
                <c:pt idx="21">
                  <c:v>1.6911465391585421</c:v>
                </c:pt>
                <c:pt idx="22">
                  <c:v>1.7565783363755874</c:v>
                </c:pt>
                <c:pt idx="23">
                  <c:v>1.8258046114351347</c:v>
                </c:pt>
                <c:pt idx="24">
                  <c:v>1.8989355823530083</c:v>
                </c:pt>
                <c:pt idx="25">
                  <c:v>1.9760894529972273</c:v>
                </c:pt>
                <c:pt idx="26">
                  <c:v>2.0573929205961861</c:v>
                </c:pt>
                <c:pt idx="27">
                  <c:v>2.1429817315385993</c:v>
                </c:pt>
                <c:pt idx="28">
                  <c:v>2.2330012903035801</c:v>
                </c:pt>
                <c:pt idx="29">
                  <c:v>2.3276073269589626</c:v>
                </c:pt>
                <c:pt idx="30">
                  <c:v>2.4269666293472767</c:v>
                </c:pt>
                <c:pt idx="31">
                  <c:v>2.5312578468553504</c:v>
                </c:pt>
                <c:pt idx="32">
                  <c:v>2.6406723735497595</c:v>
                </c:pt>
                <c:pt idx="33">
                  <c:v>2.7554153194745696</c:v>
                </c:pt>
                <c:pt idx="34">
                  <c:v>2.8757065800707551</c:v>
                </c:pt>
                <c:pt idx="35">
                  <c:v>3.0017820150132435</c:v>
                </c:pt>
                <c:pt idx="36">
                  <c:v>3.1338947493012657</c:v>
                </c:pt>
                <c:pt idx="37">
                  <c:v>3.2723166112154622</c:v>
                </c:pt>
                <c:pt idx="38">
                  <c:v>3.4173397238129781</c:v>
                </c:pt>
                <c:pt idx="39">
                  <c:v>3.5692782690195397</c:v>
                </c:pt>
                <c:pt idx="40">
                  <c:v>3.7284704461550611</c:v>
                </c:pt>
                <c:pt idx="41">
                  <c:v>3.8952806499692221</c:v>
                </c:pt>
                <c:pt idx="42">
                  <c:v>4.0701018970524458</c:v>
                </c:pt>
                <c:pt idx="43">
                  <c:v>4.253358533931789</c:v>
                </c:pt>
                <c:pt idx="44">
                  <c:v>4.4455092653885036</c:v>
                </c:pt>
                <c:pt idx="45">
                  <c:v>4.6470505477009647</c:v>
                </c:pt>
                <c:pt idx="46">
                  <c:v>4.8585203988155463</c:v>
                </c:pt>
                <c:pt idx="47">
                  <c:v>5.0805026861133609</c:v>
                </c:pt>
                <c:pt idx="48">
                  <c:v>5.313631962764445</c:v>
                </c:pt>
                <c:pt idx="49">
                  <c:v>5.5585989360022303</c:v>
                </c:pt>
                <c:pt idx="50">
                  <c:v>5.8161566654582764</c:v>
                </c:pt>
                <c:pt idx="51">
                  <c:v>6.0871276075306948</c:v>
                </c:pt>
                <c:pt idx="52">
                  <c:v>6.3724116433216329</c:v>
                </c:pt>
                <c:pt idx="53">
                  <c:v>6.6729952538580033</c:v>
                </c:pt>
                <c:pt idx="54">
                  <c:v>6.9899620382289669</c:v>
                </c:pt>
                <c:pt idx="55">
                  <c:v>7.324504809368495</c:v>
                </c:pt>
                <c:pt idx="56">
                  <c:v>7.6779395503191434</c:v>
                </c:pt>
                <c:pt idx="57">
                  <c:v>8.0517215733036345</c:v>
                </c:pt>
                <c:pt idx="58">
                  <c:v>8.4474642978776977</c:v>
                </c:pt>
                <c:pt idx="59">
                  <c:v>8.866961156852021</c:v>
                </c:pt>
                <c:pt idx="60">
                  <c:v>9.312211254823989</c:v>
                </c:pt>
                <c:pt idx="61">
                  <c:v>9.7854495510264261</c:v>
                </c:pt>
                <c:pt idx="62">
                  <c:v>10.28918252507593</c:v>
                </c:pt>
                <c:pt idx="63">
                  <c:v>10.826230523578273</c:v>
                </c:pt>
                <c:pt idx="64">
                  <c:v>11.399778294336324</c:v>
                </c:pt>
                <c:pt idx="65">
                  <c:v>12.013435616216622</c:v>
                </c:pt>
                <c:pt idx="66">
                  <c:v>12.671310458430277</c:v>
                </c:pt>
                <c:pt idx="67">
                  <c:v>13.378097797435061</c:v>
                </c:pt>
                <c:pt idx="68">
                  <c:v>14.139188145288639</c:v>
                </c:pt>
                <c:pt idx="69">
                  <c:v>14.960801088861155</c:v>
                </c:pt>
                <c:pt idx="70">
                  <c:v>15.85015083264553</c:v>
                </c:pt>
                <c:pt idx="71">
                  <c:v>16.815653065265597</c:v>
                </c:pt>
                <c:pt idx="72">
                  <c:v>17.867185706399106</c:v>
                </c:pt>
                <c:pt idx="73">
                  <c:v>19.01642064931961</c:v>
                </c:pt>
                <c:pt idx="74">
                  <c:v>20.27725012298124</c:v>
                </c:pt>
                <c:pt idx="75">
                  <c:v>21.666340729853417</c:v>
                </c:pt>
                <c:pt idx="76">
                  <c:v>23.203862107320667</c:v>
                </c:pt>
                <c:pt idx="77">
                  <c:v>24.914457983754545</c:v>
                </c:pt>
                <c:pt idx="78">
                  <c:v>26.828559224036155</c:v>
                </c:pt>
                <c:pt idx="79">
                  <c:v>28.984188142878942</c:v>
                </c:pt>
                <c:pt idx="80">
                  <c:v>31.429482785343129</c:v>
                </c:pt>
                <c:pt idx="81">
                  <c:v>34.226300218038013</c:v>
                </c:pt>
                <c:pt idx="82">
                  <c:v>37.45547820311161</c:v>
                </c:pt>
                <c:pt idx="83">
                  <c:v>41.224719698969771</c:v>
                </c:pt>
                <c:pt idx="84">
                  <c:v>45.680763715909386</c:v>
                </c:pt>
                <c:pt idx="85">
                  <c:v>51.028832017111206</c:v>
                </c:pt>
                <c:pt idx="86">
                  <c:v>57.564987701517175</c:v>
                </c:pt>
                <c:pt idx="87">
                  <c:v>65.732652035907492</c:v>
                </c:pt>
                <c:pt idx="88">
                  <c:v>76.227311941775696</c:v>
                </c:pt>
                <c:pt idx="89">
                  <c:v>90.205299182111901</c:v>
                </c:pt>
                <c:pt idx="90">
                  <c:v>109.74128127560304</c:v>
                </c:pt>
                <c:pt idx="91">
                  <c:v>138.96575741145807</c:v>
                </c:pt>
                <c:pt idx="92">
                  <c:v>187.45008521437092</c:v>
                </c:pt>
                <c:pt idx="93">
                  <c:v>283.56382088729873</c:v>
                </c:pt>
                <c:pt idx="94">
                  <c:v>565.14230332071895</c:v>
                </c:pt>
                <c:pt idx="95">
                  <c:v>16211.443066629026</c:v>
                </c:pt>
                <c:pt idx="96">
                  <c:v>-625.56348511414319</c:v>
                </c:pt>
                <c:pt idx="97">
                  <c:v>-311.24055570983518</c:v>
                </c:pt>
                <c:pt idx="98">
                  <c:v>-209.06950587640628</c:v>
                </c:pt>
                <c:pt idx="99">
                  <c:v>-158.46474153900431</c:v>
                </c:pt>
                <c:pt idx="100">
                  <c:v>-128.25790025293088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C2-4F15-A46E-B2CB0B1D0CAE}"/>
            </c:ext>
          </c:extLst>
        </c:ser>
        <c:ser>
          <c:idx val="1"/>
          <c:order val="3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ysDot"/>
            </a:ln>
          </c:spPr>
          <c:marker>
            <c:symbol val="none"/>
          </c:marker>
          <c:cat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'Efficiency vs Load Calculations'!$BL$9:$BL$109</c:f>
              <c:numCache>
                <c:formatCode>0.000</c:formatCode>
                <c:ptCount val="101"/>
                <c:pt idx="0">
                  <c:v>0.3690043491273538</c:v>
                </c:pt>
                <c:pt idx="1">
                  <c:v>0.37975042272633686</c:v>
                </c:pt>
                <c:pt idx="2">
                  <c:v>0.39068723852617104</c:v>
                </c:pt>
                <c:pt idx="3">
                  <c:v>0.40181582221332851</c:v>
                </c:pt>
                <c:pt idx="4">
                  <c:v>0.41313724079790137</c:v>
                </c:pt>
                <c:pt idx="5">
                  <c:v>0.42465260294260987</c:v>
                </c:pt>
                <c:pt idx="6">
                  <c:v>0.44592490633869697</c:v>
                </c:pt>
                <c:pt idx="7">
                  <c:v>0.46852875542299094</c:v>
                </c:pt>
                <c:pt idx="8">
                  <c:v>0.4913364886969418</c:v>
                </c:pt>
                <c:pt idx="9">
                  <c:v>0.51435058527359789</c:v>
                </c:pt>
                <c:pt idx="10">
                  <c:v>0.53757356903517983</c:v>
                </c:pt>
                <c:pt idx="11">
                  <c:v>0.56100800954630636</c:v>
                </c:pt>
                <c:pt idx="12">
                  <c:v>0.58465652299217319</c:v>
                </c:pt>
                <c:pt idx="13">
                  <c:v>0.60852177314240707</c:v>
                </c:pt>
                <c:pt idx="14">
                  <c:v>0.63260647234133627</c:v>
                </c:pt>
                <c:pt idx="15">
                  <c:v>0.65691338252545584</c:v>
                </c:pt>
                <c:pt idx="16">
                  <c:v>0.68144531626888483</c:v>
                </c:pt>
                <c:pt idx="17">
                  <c:v>0.70620513785764849</c:v>
                </c:pt>
                <c:pt idx="18">
                  <c:v>0.73119576439364753</c:v>
                </c:pt>
                <c:pt idx="19">
                  <c:v>0.75642016692920622</c:v>
                </c:pt>
                <c:pt idx="20">
                  <c:v>0.78188137163312732</c:v>
                </c:pt>
                <c:pt idx="21">
                  <c:v>0.80758246098921438</c:v>
                </c:pt>
                <c:pt idx="22">
                  <c:v>0.83352657502825611</c:v>
                </c:pt>
                <c:pt idx="23">
                  <c:v>0.85971691259451166</c:v>
                </c:pt>
                <c:pt idx="24">
                  <c:v>0.88615673264776262</c:v>
                </c:pt>
                <c:pt idx="25">
                  <c:v>0.91284935560204894</c:v>
                </c:pt>
                <c:pt idx="26">
                  <c:v>0.93979816470223954</c:v>
                </c:pt>
                <c:pt idx="27">
                  <c:v>0.96700660743964195</c:v>
                </c:pt>
                <c:pt idx="28">
                  <c:v>0.99447819700788309</c:v>
                </c:pt>
                <c:pt idx="29">
                  <c:v>1.0222165138003654</c:v>
                </c:pt>
                <c:pt idx="30">
                  <c:v>1.050225206950623</c:v>
                </c:pt>
                <c:pt idx="31">
                  <c:v>1.0785079959169821</c:v>
                </c:pt>
                <c:pt idx="32">
                  <c:v>1.1070686721129579</c:v>
                </c:pt>
                <c:pt idx="33">
                  <c:v>1.1359111005848983</c:v>
                </c:pt>
                <c:pt idx="34">
                  <c:v>1.1650392217384229</c:v>
                </c:pt>
                <c:pt idx="35">
                  <c:v>1.1944570531152796</c:v>
                </c:pt>
                <c:pt idx="36">
                  <c:v>1.2241686912222982</c:v>
                </c:pt>
                <c:pt idx="37">
                  <c:v>1.2541783134141924</c:v>
                </c:pt>
                <c:pt idx="38">
                  <c:v>1.2844901798320152</c:v>
                </c:pt>
                <c:pt idx="39">
                  <c:v>1.3151086353991674</c:v>
                </c:pt>
                <c:pt idx="40">
                  <c:v>1.3460381118769087</c:v>
                </c:pt>
                <c:pt idx="41">
                  <c:v>1.3772831299814208</c:v>
                </c:pt>
                <c:pt idx="42">
                  <c:v>1.4088483015645383</c:v>
                </c:pt>
                <c:pt idx="43">
                  <c:v>1.4407383318603537</c:v>
                </c:pt>
                <c:pt idx="44">
                  <c:v>1.4729580217999978</c:v>
                </c:pt>
                <c:pt idx="45">
                  <c:v>1.5055122703969719</c:v>
                </c:pt>
                <c:pt idx="46">
                  <c:v>1.538406077205533</c:v>
                </c:pt>
                <c:pt idx="47">
                  <c:v>1.5716445448547081</c:v>
                </c:pt>
                <c:pt idx="48">
                  <c:v>1.6052328816606289</c:v>
                </c:pt>
                <c:pt idx="49">
                  <c:v>1.6391764043200101</c:v>
                </c:pt>
                <c:pt idx="50">
                  <c:v>1.6734805406876629</c:v>
                </c:pt>
                <c:pt idx="51">
                  <c:v>1.7081508326411199</c:v>
                </c:pt>
                <c:pt idx="52">
                  <c:v>1.7431929390355136</c:v>
                </c:pt>
                <c:pt idx="53">
                  <c:v>1.7786126387520296</c:v>
                </c:pt>
                <c:pt idx="54">
                  <c:v>1.8144158338433751</c:v>
                </c:pt>
                <c:pt idx="55">
                  <c:v>1.8506085527798466</c:v>
                </c:pt>
                <c:pt idx="56">
                  <c:v>1.8871969537997517</c:v>
                </c:pt>
                <c:pt idx="57">
                  <c:v>1.924187328368083</c:v>
                </c:pt>
                <c:pt idx="58">
                  <c:v>1.961586104747514</c:v>
                </c:pt>
                <c:pt idx="59">
                  <c:v>1.999399851685985</c:v>
                </c:pt>
                <c:pt idx="60">
                  <c:v>2.0376352822252874</c:v>
                </c:pt>
                <c:pt idx="61">
                  <c:v>2.0762992576353159</c:v>
                </c:pt>
                <c:pt idx="62">
                  <c:v>2.1153987914787833</c:v>
                </c:pt>
                <c:pt idx="63">
                  <c:v>2.1549410538114739</c:v>
                </c:pt>
                <c:pt idx="64">
                  <c:v>2.1949333755233158</c:v>
                </c:pt>
                <c:pt idx="65">
                  <c:v>2.2353832528257556</c:v>
                </c:pt>
                <c:pt idx="66">
                  <c:v>2.2762983518912332</c:v>
                </c:pt>
                <c:pt idx="67">
                  <c:v>2.3176865136507518</c:v>
                </c:pt>
                <c:pt idx="68">
                  <c:v>2.35955575875585</c:v>
                </c:pt>
                <c:pt idx="69">
                  <c:v>2.401914292711572</c:v>
                </c:pt>
                <c:pt idx="70">
                  <c:v>2.4447705111873068</c:v>
                </c:pt>
                <c:pt idx="71">
                  <c:v>2.4881330055127311</c:v>
                </c:pt>
                <c:pt idx="72">
                  <c:v>2.5320105683663781</c:v>
                </c:pt>
                <c:pt idx="73">
                  <c:v>2.5764121996647447</c:v>
                </c:pt>
                <c:pt idx="74">
                  <c:v>2.6213471126602301</c:v>
                </c:pt>
                <c:pt idx="75">
                  <c:v>2.6668247402565299</c:v>
                </c:pt>
                <c:pt idx="76">
                  <c:v>2.7128547415506166</c:v>
                </c:pt>
                <c:pt idx="77">
                  <c:v>2.7594470086107901</c:v>
                </c:pt>
                <c:pt idx="78">
                  <c:v>2.806611673500782</c:v>
                </c:pt>
                <c:pt idx="79">
                  <c:v>2.8543591155604124</c:v>
                </c:pt>
                <c:pt idx="80">
                  <c:v>2.9026999689537112</c:v>
                </c:pt>
                <c:pt idx="81">
                  <c:v>2.9516451304960976</c:v>
                </c:pt>
                <c:pt idx="82">
                  <c:v>3.0012057677726336</c:v>
                </c:pt>
                <c:pt idx="83">
                  <c:v>3.0513933275601022</c:v>
                </c:pt>
                <c:pt idx="84">
                  <c:v>3.1022195445661911</c:v>
                </c:pt>
                <c:pt idx="85">
                  <c:v>3.1536964504998197</c:v>
                </c:pt>
                <c:pt idx="86">
                  <c:v>3.2058363834872976</c:v>
                </c:pt>
                <c:pt idx="87">
                  <c:v>3.2586519978497877</c:v>
                </c:pt>
                <c:pt idx="88">
                  <c:v>3.3121562742583275</c:v>
                </c:pt>
                <c:pt idx="89">
                  <c:v>3.3663625302835252</c:v>
                </c:pt>
                <c:pt idx="90">
                  <c:v>3.4212844313579129</c:v>
                </c:pt>
                <c:pt idx="91">
                  <c:v>3.476936002169889</c:v>
                </c:pt>
                <c:pt idx="92">
                  <c:v>3.5333316385092135</c:v>
                </c:pt>
                <c:pt idx="93">
                  <c:v>3.5904861195850133</c:v>
                </c:pt>
                <c:pt idx="94">
                  <c:v>3.6484146208384725</c:v>
                </c:pt>
                <c:pt idx="95">
                  <c:v>3.7071327272734718</c:v>
                </c:pt>
                <c:pt idx="96">
                  <c:v>3.7666564473297961</c:v>
                </c:pt>
                <c:pt idx="97">
                  <c:v>3.8270022273247961</c:v>
                </c:pt>
                <c:pt idx="98">
                  <c:v>3.8881869664908808</c:v>
                </c:pt>
                <c:pt idx="99">
                  <c:v>3.9502280326376935</c:v>
                </c:pt>
                <c:pt idx="100">
                  <c:v>4.0131432784694283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C2-4F15-A46E-B2CB0B1D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012800"/>
        <c:axId val="142010624"/>
      </c:lineChart>
      <c:catAx>
        <c:axId val="141998336"/>
        <c:scaling>
          <c:orientation val="minMax"/>
        </c:scaling>
        <c:delete val="0"/>
        <c:axPos val="b"/>
        <c:majorGridlines>
          <c:spPr>
            <a:ln w="158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FF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>
                    <a:solidFill>
                      <a:srgbClr val="0000FF"/>
                    </a:solidFill>
                    <a:latin typeface="Arial" pitchFamily="34" charset="0"/>
                    <a:cs typeface="Arial" pitchFamily="34" charset="0"/>
                  </a:rPr>
                  <a:t>Load Current (A)</a:t>
                </a:r>
              </a:p>
            </c:rich>
          </c:tx>
          <c:layout>
            <c:manualLayout>
              <c:xMode val="edge"/>
              <c:yMode val="edge"/>
              <c:x val="0.41625343343709942"/>
              <c:y val="0.9457191357373133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FF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42008704"/>
        <c:crosses val="autoZero"/>
        <c:auto val="1"/>
        <c:lblAlgn val="ctr"/>
        <c:lblOffset val="100"/>
        <c:tickLblSkip val="20"/>
        <c:tickMarkSkip val="20"/>
        <c:noMultiLvlLbl val="1"/>
      </c:catAx>
      <c:valAx>
        <c:axId val="142008704"/>
        <c:scaling>
          <c:orientation val="minMax"/>
          <c:max val="100"/>
          <c:min val="75"/>
        </c:scaling>
        <c:delete val="0"/>
        <c:axPos val="l"/>
        <c:majorGridlines>
          <c:spPr>
            <a:ln w="15875">
              <a:solidFill>
                <a:srgbClr val="80808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 b="1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1.2871858674081443E-2"/>
              <c:y val="0.376381779156883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41998336"/>
        <c:crosses val="autoZero"/>
        <c:crossBetween val="between"/>
        <c:majorUnit val="5"/>
        <c:minorUnit val="2.5"/>
      </c:valAx>
      <c:valAx>
        <c:axId val="14201062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 b="1"/>
                </a:pPr>
                <a:r>
                  <a:rPr lang="en-US" sz="1400" b="1"/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4291793250197"/>
              <c:y val="0.37048873366731228"/>
            </c:manualLayout>
          </c:layout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1100" b="1">
                <a:solidFill>
                  <a:sysClr val="windowText" lastClr="000000"/>
                </a:solidFill>
              </a:defRPr>
            </a:pPr>
            <a:endParaRPr lang="zh-CN"/>
          </a:p>
        </c:txPr>
        <c:crossAx val="142012800"/>
        <c:crosses val="max"/>
        <c:crossBetween val="between"/>
      </c:valAx>
      <c:catAx>
        <c:axId val="14201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2010624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6120408747265326"/>
          <c:y val="1.1892626175886978E-2"/>
          <c:w val="0.61417999772302789"/>
          <c:h val="9.0576560908423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 pitchFamily="34" charset="0"/>
              <a:ea typeface="Calibri"/>
              <a:cs typeface="Arial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 paperSize="5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r>
              <a:rPr lang="en-US" sz="2000">
                <a:latin typeface="Arial" pitchFamily="34" charset="0"/>
                <a:cs typeface="Arial" pitchFamily="34" charset="0"/>
                <a:sym typeface="Symbol"/>
              </a:rPr>
              <a:t></a:t>
            </a:r>
            <a:r>
              <a:rPr lang="en-US" sz="2000" b="1" i="0" u="none" strike="noStrike" baseline="0"/>
              <a:t>,  I</a:t>
            </a:r>
            <a:r>
              <a:rPr lang="en-US" sz="2000" b="1" i="0" u="none" strike="noStrike" baseline="-25000"/>
              <a:t>OUT</a:t>
            </a:r>
            <a:r>
              <a:rPr lang="en-US" sz="2000" b="1" i="0" u="none" strike="noStrike" baseline="0"/>
              <a:t> = I</a:t>
            </a:r>
            <a:r>
              <a:rPr lang="en-US" sz="2000" b="1" i="0" u="none" strike="noStrike" baseline="-25000"/>
              <a:t>OUT(max)</a:t>
            </a:r>
            <a:endParaRPr lang="en-US" sz="20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7.7082846781954192E-2"/>
          <c:y val="1.41099694661579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2399604911965282E-2"/>
          <c:y val="0.12372903654825702"/>
          <c:w val="0.82579990228506228"/>
          <c:h val="0.76068566810117366"/>
        </c:manualLayout>
      </c:layout>
      <c:lineChart>
        <c:grouping val="standard"/>
        <c:varyColors val="0"/>
        <c:ser>
          <c:idx val="0"/>
          <c:order val="0"/>
          <c:tx>
            <c:v>Efficiency</c:v>
          </c:tx>
          <c:spPr>
            <a:ln w="317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cat>
          <c:val>
            <c:numRef>
              <c:f>'Efficiency vs VIN Calculations'!$BH$9:$BH$209</c:f>
              <c:numCache>
                <c:formatCode>0.00</c:formatCode>
                <c:ptCount val="201"/>
                <c:pt idx="0">
                  <c:v>96.619016977170716</c:v>
                </c:pt>
                <c:pt idx="1">
                  <c:v>96.903198199502256</c:v>
                </c:pt>
                <c:pt idx="2">
                  <c:v>97.18092367371905</c:v>
                </c:pt>
                <c:pt idx="3">
                  <c:v>97.45267055813575</c:v>
                </c:pt>
                <c:pt idx="4">
                  <c:v>97.718900460334893</c:v>
                </c:pt>
                <c:pt idx="5">
                  <c:v>97.980061540240456</c:v>
                </c:pt>
                <c:pt idx="6">
                  <c:v>98.236590528275329</c:v>
                </c:pt>
                <c:pt idx="7">
                  <c:v>98.488914688768787</c:v>
                </c:pt>
                <c:pt idx="8">
                  <c:v>98.737453756247234</c:v>
                </c:pt>
                <c:pt idx="9">
                  <c:v>98.982621870803314</c:v>
                </c:pt>
                <c:pt idx="10">
                  <c:v>99.224829538266377</c:v>
                </c:pt>
                <c:pt idx="11">
                  <c:v>99.464485641313487</c:v>
                </c:pt>
                <c:pt idx="12">
                  <c:v>99.701999528941116</c:v>
                </c:pt>
                <c:pt idx="13">
                  <c:v>99.937783213885083</c:v>
                </c:pt>
                <c:pt idx="14">
                  <c:v>100.17225371069118</c:v>
                </c:pt>
                <c:pt idx="15">
                  <c:v>100.40583555132474</c:v>
                </c:pt>
                <c:pt idx="16">
                  <c:v>100.63896352062542</c:v>
                </c:pt>
                <c:pt idx="17">
                  <c:v>100.87208566080825</c:v>
                </c:pt>
                <c:pt idx="18">
                  <c:v>101.10566660289516</c:v>
                </c:pt>
                <c:pt idx="19">
                  <c:v>101.34019129385736</c:v>
                </c:pt>
                <c:pt idx="20">
                  <c:v>101.57616920191042</c:v>
                </c:pt>
                <c:pt idx="21">
                  <c:v>101.81413909955725</c:v>
                </c:pt>
                <c:pt idx="22">
                  <c:v>102.05467454558443</c:v>
                </c:pt>
                <c:pt idx="23">
                  <c:v>102.29839021454872</c:v>
                </c:pt>
                <c:pt idx="24">
                  <c:v>102.54594925704275</c:v>
                </c:pt>
                <c:pt idx="25">
                  <c:v>102.79807191846342</c:v>
                </c:pt>
                <c:pt idx="26">
                  <c:v>103.0555457011917</c:v>
                </c:pt>
                <c:pt idx="27">
                  <c:v>103.31923742919491</c:v>
                </c:pt>
                <c:pt idx="28">
                  <c:v>103.59010767080792</c:v>
                </c:pt>
                <c:pt idx="29">
                  <c:v>103.86922810277906</c:v>
                </c:pt>
                <c:pt idx="30">
                  <c:v>104.15780256768825</c:v>
                </c:pt>
                <c:pt idx="31">
                  <c:v>104.45719280329189</c:v>
                </c:pt>
                <c:pt idx="32">
                  <c:v>104.76895012873374</c:v>
                </c:pt>
                <c:pt idx="33">
                  <c:v>105.09485479150715</c:v>
                </c:pt>
                <c:pt idx="34">
                  <c:v>105.43696525846219</c:v>
                </c:pt>
                <c:pt idx="35">
                  <c:v>105.79768054533795</c:v>
                </c:pt>
                <c:pt idx="36">
                  <c:v>106.17981983008285</c:v>
                </c:pt>
                <c:pt idx="37">
                  <c:v>106.58672525127901</c:v>
                </c:pt>
                <c:pt idx="38">
                  <c:v>107.02239621347034</c:v>
                </c:pt>
                <c:pt idx="39">
                  <c:v>107.49166711938769</c:v>
                </c:pt>
                <c:pt idx="40">
                  <c:v>108.00044589809754</c:v>
                </c:pt>
                <c:pt idx="41">
                  <c:v>108.55603911996296</c:v>
                </c:pt>
                <c:pt idx="42">
                  <c:v>109.16760280246731</c:v>
                </c:pt>
                <c:pt idx="43">
                  <c:v>109.84677958971145</c:v>
                </c:pt>
                <c:pt idx="44">
                  <c:v>110.60861895738441</c:v>
                </c:pt>
                <c:pt idx="45">
                  <c:v>111.47293897043396</c:v>
                </c:pt>
                <c:pt idx="46">
                  <c:v>112.46639843851595</c:v>
                </c:pt>
                <c:pt idx="47">
                  <c:v>113.62575322968118</c:v>
                </c:pt>
                <c:pt idx="48">
                  <c:v>115.00316963863186</c:v>
                </c:pt>
                <c:pt idx="49">
                  <c:v>116.67528967667921</c:v>
                </c:pt>
                <c:pt idx="50">
                  <c:v>118.7595520713846</c:v>
                </c:pt>
                <c:pt idx="51">
                  <c:v>121.44558806187638</c:v>
                </c:pt>
                <c:pt idx="52">
                  <c:v>125.06089349916429</c:v>
                </c:pt>
                <c:pt idx="53">
                  <c:v>130.2241486167128</c:v>
                </c:pt>
                <c:pt idx="54">
                  <c:v>138.2617041701518</c:v>
                </c:pt>
                <c:pt idx="55">
                  <c:v>152.62541648847733</c:v>
                </c:pt>
                <c:pt idx="56">
                  <c:v>185.99873183505051</c:v>
                </c:pt>
                <c:pt idx="57">
                  <c:v>353.44347184040276</c:v>
                </c:pt>
                <c:pt idx="58">
                  <c:v>-142.32945480670372</c:v>
                </c:pt>
                <c:pt idx="59">
                  <c:v>21.191376157961166</c:v>
                </c:pt>
                <c:pt idx="60">
                  <c:v>54.269260205639256</c:v>
                </c:pt>
                <c:pt idx="61">
                  <c:v>68.575304849622881</c:v>
                </c:pt>
                <c:pt idx="62">
                  <c:v>76.616235199079668</c:v>
                </c:pt>
                <c:pt idx="63">
                  <c:v>81.810819517546236</c:v>
                </c:pt>
                <c:pt idx="64">
                  <c:v>85.475863278398492</c:v>
                </c:pt>
                <c:pt idx="65">
                  <c:v>88.226738585165464</c:v>
                </c:pt>
                <c:pt idx="66">
                  <c:v>90.389831822995632</c:v>
                </c:pt>
                <c:pt idx="67">
                  <c:v>92.154629692518313</c:v>
                </c:pt>
                <c:pt idx="68">
                  <c:v>93.638946191352503</c:v>
                </c:pt>
                <c:pt idx="69">
                  <c:v>94.920142925745182</c:v>
                </c:pt>
                <c:pt idx="70">
                  <c:v>96.051382216040139</c:v>
                </c:pt>
                <c:pt idx="71">
                  <c:v>97.070674196597651</c:v>
                </c:pt>
                <c:pt idx="72">
                  <c:v>98.006199194802733</c:v>
                </c:pt>
                <c:pt idx="73">
                  <c:v>98.879591411600998</c:v>
                </c:pt>
                <c:pt idx="74">
                  <c:v>99.708053968105474</c:v>
                </c:pt>
                <c:pt idx="75">
                  <c:v>100.5057793980536</c:v>
                </c:pt>
                <c:pt idx="76">
                  <c:v>101.28494687503893</c:v>
                </c:pt>
                <c:pt idx="77">
                  <c:v>102.05645906736412</c:v>
                </c:pt>
                <c:pt idx="78">
                  <c:v>102.83052183789592</c:v>
                </c:pt>
                <c:pt idx="79">
                  <c:v>103.61713692535166</c:v>
                </c:pt>
                <c:pt idx="80">
                  <c:v>104.4265602308305</c:v>
                </c:pt>
                <c:pt idx="81">
                  <c:v>105.26977097228314</c:v>
                </c:pt>
                <c:pt idx="82">
                  <c:v>106.15899750003284</c:v>
                </c:pt>
                <c:pt idx="83">
                  <c:v>107.10835390512958</c:v>
                </c:pt>
                <c:pt idx="84">
                  <c:v>108.13465969937506</c:v>
                </c:pt>
                <c:pt idx="85">
                  <c:v>109.25854760367923</c:v>
                </c:pt>
                <c:pt idx="86">
                  <c:v>110.50602135195176</c:v>
                </c:pt>
                <c:pt idx="87">
                  <c:v>111.91072474199235</c:v>
                </c:pt>
                <c:pt idx="88">
                  <c:v>113.5173610826256</c:v>
                </c:pt>
                <c:pt idx="89">
                  <c:v>115.38703273036108</c:v>
                </c:pt>
                <c:pt idx="90">
                  <c:v>117.60591300034835</c:v>
                </c:pt>
                <c:pt idx="91">
                  <c:v>120.29998189397408</c:v>
                </c:pt>
                <c:pt idx="92">
                  <c:v>123.6614481457694</c:v>
                </c:pt>
                <c:pt idx="93">
                  <c:v>127.9993409221866</c:v>
                </c:pt>
                <c:pt idx="94">
                  <c:v>133.84473124964947</c:v>
                </c:pt>
                <c:pt idx="95">
                  <c:v>142.19453942282325</c:v>
                </c:pt>
                <c:pt idx="96">
                  <c:v>155.16681337618004</c:v>
                </c:pt>
                <c:pt idx="97">
                  <c:v>178.19478715417216</c:v>
                </c:pt>
                <c:pt idx="98">
                  <c:v>230.68658488357153</c:v>
                </c:pt>
                <c:pt idx="99">
                  <c:v>471.91914087080971</c:v>
                </c:pt>
                <c:pt idx="100">
                  <c:v>-370.61997658644611</c:v>
                </c:pt>
                <c:pt idx="101">
                  <c:v>-46.848881543170243</c:v>
                </c:pt>
                <c:pt idx="102">
                  <c:v>12.157322991086158</c:v>
                </c:pt>
                <c:pt idx="103">
                  <c:v>36.962878484789158</c:v>
                </c:pt>
                <c:pt idx="104">
                  <c:v>50.649040304456392</c:v>
                </c:pt>
                <c:pt idx="105">
                  <c:v>59.34119590692395</c:v>
                </c:pt>
                <c:pt idx="106">
                  <c:v>65.363193342129676</c:v>
                </c:pt>
                <c:pt idx="107">
                  <c:v>69.790426398279365</c:v>
                </c:pt>
                <c:pt idx="108">
                  <c:v>73.188999864381216</c:v>
                </c:pt>
                <c:pt idx="109">
                  <c:v>75.885334434658574</c:v>
                </c:pt>
                <c:pt idx="110">
                  <c:v>78.080900634585177</c:v>
                </c:pt>
                <c:pt idx="111">
                  <c:v>79.90680426159058</c:v>
                </c:pt>
                <c:pt idx="112">
                  <c:v>81.452055393934586</c:v>
                </c:pt>
                <c:pt idx="113">
                  <c:v>82.779222349306593</c:v>
                </c:pt>
                <c:pt idx="114">
                  <c:v>83.933583800917646</c:v>
                </c:pt>
                <c:pt idx="115">
                  <c:v>84.948725818937717</c:v>
                </c:pt>
                <c:pt idx="116">
                  <c:v>85.850097093306871</c:v>
                </c:pt>
                <c:pt idx="117">
                  <c:v>86.657341642139201</c:v>
                </c:pt>
                <c:pt idx="118">
                  <c:v>87.385872963449486</c:v>
                </c:pt>
                <c:pt idx="119">
                  <c:v>88.047962711733049</c:v>
                </c:pt>
                <c:pt idx="120">
                  <c:v>88.653510129767326</c:v>
                </c:pt>
                <c:pt idx="121">
                  <c:v>89.210596458295299</c:v>
                </c:pt>
                <c:pt idx="122">
                  <c:v>89.725891402826747</c:v>
                </c:pt>
                <c:pt idx="123">
                  <c:v>90.204955852385581</c:v>
                </c:pt>
                <c:pt idx="124">
                  <c:v>90.652470586679399</c:v>
                </c:pt>
                <c:pt idx="125">
                  <c:v>91.072411364537317</c:v>
                </c:pt>
                <c:pt idx="126">
                  <c:v>91.468184623636745</c:v>
                </c:pt>
                <c:pt idx="127">
                  <c:v>91.84273388075313</c:v>
                </c:pt>
                <c:pt idx="128">
                  <c:v>92.198624092409375</c:v>
                </c:pt>
                <c:pt idx="129">
                  <c:v>92.53810927278974</c:v>
                </c:pt>
                <c:pt idx="130">
                  <c:v>92.863187284917473</c:v>
                </c:pt>
                <c:pt idx="131">
                  <c:v>93.175644737686341</c:v>
                </c:pt>
                <c:pt idx="132">
                  <c:v>93.477094213423328</c:v>
                </c:pt>
                <c:pt idx="133">
                  <c:v>93.769005536542196</c:v>
                </c:pt>
                <c:pt idx="134">
                  <c:v>94.052732418096241</c:v>
                </c:pt>
                <c:pt idx="135">
                  <c:v>94.329535535669308</c:v>
                </c:pt>
                <c:pt idx="136">
                  <c:v>94.600602906834922</c:v>
                </c:pt>
                <c:pt idx="137">
                  <c:v>94.867068269250993</c:v>
                </c:pt>
                <c:pt idx="138">
                  <c:v>95.130028078929783</c:v>
                </c:pt>
                <c:pt idx="139">
                  <c:v>95.390557672068439</c:v>
                </c:pt>
                <c:pt idx="140">
                  <c:v>95.649727099957943</c:v>
                </c:pt>
                <c:pt idx="141">
                  <c:v>95.908617138404935</c:v>
                </c:pt>
                <c:pt idx="142">
                  <c:v>96.168335992642568</c:v>
                </c:pt>
                <c:pt idx="143">
                  <c:v>96.430037268067508</c:v>
                </c:pt>
                <c:pt idx="144">
                  <c:v>96.694939861187692</c:v>
                </c:pt>
                <c:pt idx="145">
                  <c:v>96.964350552107163</c:v>
                </c:pt>
                <c:pt idx="146">
                  <c:v>97.239690262371099</c:v>
                </c:pt>
                <c:pt idx="147">
                  <c:v>97.522525198998636</c:v>
                </c:pt>
                <c:pt idx="148">
                  <c:v>97.814604465105404</c:v>
                </c:pt>
                <c:pt idx="149">
                  <c:v>98.117906221333115</c:v>
                </c:pt>
                <c:pt idx="150">
                  <c:v>98.43469519271612</c:v>
                </c:pt>
                <c:pt idx="151">
                  <c:v>98.767595327074474</c:v>
                </c:pt>
                <c:pt idx="152">
                  <c:v>99.11968286867733</c:v>
                </c:pt>
                <c:pt idx="153">
                  <c:v>99.494607241608861</c:v>
                </c:pt>
                <c:pt idx="154">
                  <c:v>99.896750302171171</c:v>
                </c:pt>
                <c:pt idx="155">
                  <c:v>100.33143930586321</c:v>
                </c:pt>
                <c:pt idx="156">
                  <c:v>100.80523631827585</c:v>
                </c:pt>
                <c:pt idx="157">
                  <c:v>101.3263384455354</c:v>
                </c:pt>
                <c:pt idx="158">
                  <c:v>101.90514208822883</c:v>
                </c:pt>
                <c:pt idx="159">
                  <c:v>102.55505571435519</c:v>
                </c:pt>
                <c:pt idx="160">
                  <c:v>103.2936992945136</c:v>
                </c:pt>
                <c:pt idx="161">
                  <c:v>104.14472382163669</c:v>
                </c:pt>
                <c:pt idx="162">
                  <c:v>105.14066052995996</c:v>
                </c:pt>
                <c:pt idx="163">
                  <c:v>106.32755083492074</c:v>
                </c:pt>
                <c:pt idx="164">
                  <c:v>107.77280679012284</c:v>
                </c:pt>
                <c:pt idx="165">
                  <c:v>109.57927833860057</c:v>
                </c:pt>
                <c:pt idx="166">
                  <c:v>111.91211228987652</c:v>
                </c:pt>
                <c:pt idx="167">
                  <c:v>115.05439822592216</c:v>
                </c:pt>
                <c:pt idx="168">
                  <c:v>119.53542591723985</c:v>
                </c:pt>
                <c:pt idx="169">
                  <c:v>126.47281886015307</c:v>
                </c:pt>
                <c:pt idx="170">
                  <c:v>138.70479078528646</c:v>
                </c:pt>
                <c:pt idx="171">
                  <c:v>166.1734752918054</c:v>
                </c:pt>
                <c:pt idx="172">
                  <c:v>285.31474079572109</c:v>
                </c:pt>
                <c:pt idx="173">
                  <c:v>-188.13449232930307</c:v>
                </c:pt>
                <c:pt idx="174">
                  <c:v>13.916956753904497</c:v>
                </c:pt>
                <c:pt idx="175">
                  <c:v>47.768104975510838</c:v>
                </c:pt>
                <c:pt idx="176">
                  <c:v>61.746008756166816</c:v>
                </c:pt>
                <c:pt idx="177">
                  <c:v>69.393925428803428</c:v>
                </c:pt>
                <c:pt idx="178">
                  <c:v>74.226672708844433</c:v>
                </c:pt>
                <c:pt idx="179">
                  <c:v>77.562990908641154</c:v>
                </c:pt>
                <c:pt idx="180">
                  <c:v>80.008992105948849</c:v>
                </c:pt>
                <c:pt idx="181">
                  <c:v>81.882245498250455</c:v>
                </c:pt>
                <c:pt idx="182">
                  <c:v>83.365225436941728</c:v>
                </c:pt>
                <c:pt idx="183">
                  <c:v>84.570248176124295</c:v>
                </c:pt>
                <c:pt idx="184">
                  <c:v>85.570237195502898</c:v>
                </c:pt>
                <c:pt idx="185">
                  <c:v>86.414604422470646</c:v>
                </c:pt>
                <c:pt idx="186">
                  <c:v>87.138021510969139</c:v>
                </c:pt>
                <c:pt idx="187">
                  <c:v>87.765536935520984</c:v>
                </c:pt>
                <c:pt idx="188">
                  <c:v>88.315699684119977</c:v>
                </c:pt>
                <c:pt idx="189">
                  <c:v>88.802540290478021</c:v>
                </c:pt>
                <c:pt idx="190">
                  <c:v>89.23686884445469</c:v>
                </c:pt>
                <c:pt idx="191">
                  <c:v>89.627149797536859</c:v>
                </c:pt>
                <c:pt idx="192">
                  <c:v>89.980106249986022</c:v>
                </c:pt>
                <c:pt idx="193">
                  <c:v>90.301146534894485</c:v>
                </c:pt>
                <c:pt idx="194">
                  <c:v>90.594671220301279</c:v>
                </c:pt>
                <c:pt idx="195">
                  <c:v>90.864297894808431</c:v>
                </c:pt>
                <c:pt idx="196">
                  <c:v>91.11302832873524</c:v>
                </c:pt>
                <c:pt idx="197">
                  <c:v>91.343374540568917</c:v>
                </c:pt>
                <c:pt idx="198">
                  <c:v>91.557455092682758</c:v>
                </c:pt>
                <c:pt idx="199">
                  <c:v>91.757069509073034</c:v>
                </c:pt>
                <c:pt idx="200">
                  <c:v>91.943756403608319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1-4995-8D1B-32BA3094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45856"/>
        <c:axId val="157947776"/>
      </c:lineChart>
      <c:lineChart>
        <c:grouping val="standard"/>
        <c:varyColors val="0"/>
        <c:ser>
          <c:idx val="3"/>
          <c:order val="1"/>
          <c:tx>
            <c:v>Inductor Loss</c:v>
          </c:tx>
          <c:spPr>
            <a:ln w="38100">
              <a:solidFill>
                <a:srgbClr val="800080"/>
              </a:solidFill>
              <a:prstDash val="dash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cat>
          <c:val>
            <c:numRef>
              <c:f>'Efficiency vs VIN Calculations'!$BI$9:$BI$209</c:f>
              <c:numCache>
                <c:formatCode>0.000</c:formatCode>
                <c:ptCount val="201"/>
                <c:pt idx="0">
                  <c:v>-14.712338520305073</c:v>
                </c:pt>
                <c:pt idx="1">
                  <c:v>-14.790077480850043</c:v>
                </c:pt>
                <c:pt idx="2">
                  <c:v>-14.869925586853787</c:v>
                </c:pt>
                <c:pt idx="3">
                  <c:v>-14.951945894621792</c:v>
                </c:pt>
                <c:pt idx="4">
                  <c:v>-15.036203988667237</c:v>
                </c:pt>
                <c:pt idx="5">
                  <c:v>-15.122768119597529</c:v>
                </c:pt>
                <c:pt idx="6">
                  <c:v>-15.211709349875873</c:v>
                </c:pt>
                <c:pt idx="7">
                  <c:v>-15.303101708114015</c:v>
                </c:pt>
                <c:pt idx="8">
                  <c:v>-15.397022352601338</c:v>
                </c:pt>
                <c:pt idx="9">
                  <c:v>-15.493551744830214</c:v>
                </c:pt>
                <c:pt idx="10">
                  <c:v>-15.592773833837935</c:v>
                </c:pt>
                <c:pt idx="11">
                  <c:v>-15.694776252252444</c:v>
                </c:pt>
                <c:pt idx="12">
                  <c:v>-15.799650525003285</c:v>
                </c:pt>
                <c:pt idx="13">
                  <c:v>-15.907492291741271</c:v>
                </c:pt>
                <c:pt idx="14">
                  <c:v>-16.018401544101348</c:v>
                </c:pt>
                <c:pt idx="15">
                  <c:v>-16.132482879043945</c:v>
                </c:pt>
                <c:pt idx="16">
                  <c:v>-16.249845769621967</c:v>
                </c:pt>
                <c:pt idx="17">
                  <c:v>-16.370604854644338</c:v>
                </c:pt>
                <c:pt idx="18">
                  <c:v>-16.494880248844947</c:v>
                </c:pt>
                <c:pt idx="19">
                  <c:v>-16.622797875318653</c:v>
                </c:pt>
                <c:pt idx="20">
                  <c:v>-16.754489822155779</c:v>
                </c:pt>
                <c:pt idx="21">
                  <c:v>-16.890094725396235</c:v>
                </c:pt>
                <c:pt idx="22">
                  <c:v>-17.029758180634861</c:v>
                </c:pt>
                <c:pt idx="23">
                  <c:v>-17.173633185844743</c:v>
                </c:pt>
                <c:pt idx="24">
                  <c:v>-17.321880618248102</c:v>
                </c:pt>
                <c:pt idx="25">
                  <c:v>-17.474669748357524</c:v>
                </c:pt>
                <c:pt idx="26">
                  <c:v>-17.632178794639156</c:v>
                </c:pt>
                <c:pt idx="27">
                  <c:v>-17.794595522617726</c:v>
                </c:pt>
                <c:pt idx="28">
                  <c:v>-17.962117892656682</c:v>
                </c:pt>
                <c:pt idx="29">
                  <c:v>-18.134954761111516</c:v>
                </c:pt>
                <c:pt idx="30">
                  <c:v>-18.313326640077591</c:v>
                </c:pt>
                <c:pt idx="31">
                  <c:v>-18.497466521543501</c:v>
                </c:pt>
                <c:pt idx="32">
                  <c:v>-18.687620772427405</c:v>
                </c:pt>
                <c:pt idx="33">
                  <c:v>-18.884050107727127</c:v>
                </c:pt>
                <c:pt idx="34">
                  <c:v>-19.087030649868712</c:v>
                </c:pt>
                <c:pt idx="35">
                  <c:v>-19.296855083306976</c:v>
                </c:pt>
                <c:pt idx="36">
                  <c:v>-19.513833914533986</c:v>
                </c:pt>
                <c:pt idx="37">
                  <c:v>-19.738296848905737</c:v>
                </c:pt>
                <c:pt idx="38">
                  <c:v>-19.9705942971311</c:v>
                </c:pt>
                <c:pt idx="39">
                  <c:v>-20.211099025904392</c:v>
                </c:pt>
                <c:pt idx="40">
                  <c:v>-20.460207969041019</c:v>
                </c:pt>
                <c:pt idx="41">
                  <c:v>-20.718344217631202</c:v>
                </c:pt>
                <c:pt idx="42">
                  <c:v>-20.985959210207682</c:v>
                </c:pt>
                <c:pt idx="43">
                  <c:v>-21.263535146784708</c:v>
                </c:pt>
                <c:pt idx="44">
                  <c:v>-21.551587653933471</c:v>
                </c:pt>
                <c:pt idx="45">
                  <c:v>-21.850668731891417</c:v>
                </c:pt>
                <c:pt idx="46">
                  <c:v>-22.161370019155935</c:v>
                </c:pt>
                <c:pt idx="47">
                  <c:v>-22.484326415197025</c:v>
                </c:pt>
                <c:pt idx="48">
                  <c:v>-22.82022010797774</c:v>
                </c:pt>
                <c:pt idx="49">
                  <c:v>-23.169785060059418</c:v>
                </c:pt>
                <c:pt idx="50">
                  <c:v>-23.53381201538992</c:v>
                </c:pt>
                <c:pt idx="51">
                  <c:v>-23.91315409867336</c:v>
                </c:pt>
                <c:pt idx="52">
                  <c:v>-24.30873309079287</c:v>
                </c:pt>
                <c:pt idx="53">
                  <c:v>-24.721546477472312</c:v>
                </c:pt>
                <c:pt idx="54">
                  <c:v>-25.152675384662654</c:v>
                </c:pt>
                <c:pt idx="55">
                  <c:v>-25.603293533582473</c:v>
                </c:pt>
                <c:pt idx="56">
                  <c:v>-26.074677371613749</c:v>
                </c:pt>
                <c:pt idx="57">
                  <c:v>-26.568217563212531</c:v>
                </c:pt>
                <c:pt idx="58">
                  <c:v>-27.085432058711511</c:v>
                </c:pt>
                <c:pt idx="59">
                  <c:v>-27.627980999715589</c:v>
                </c:pt>
                <c:pt idx="60">
                  <c:v>-28.19768376942892</c:v>
                </c:pt>
                <c:pt idx="61">
                  <c:v>-28.796538556865492</c:v>
                </c:pt>
                <c:pt idx="62">
                  <c:v>-29.426744878252546</c:v>
                </c:pt>
                <c:pt idx="63">
                  <c:v>-30.090729590588388</c:v>
                </c:pt>
                <c:pt idx="64">
                  <c:v>-30.791177045849793</c:v>
                </c:pt>
                <c:pt idx="65">
                  <c:v>-31.531064175724588</c:v>
                </c:pt>
                <c:pt idx="66">
                  <c:v>-32.313701473772632</c:v>
                </c:pt>
                <c:pt idx="67">
                  <c:v>-33.142781064866675</c:v>
                </c:pt>
                <c:pt idx="68">
                  <c:v>-34.022433334262047</c:v>
                </c:pt>
                <c:pt idx="69">
                  <c:v>-34.957293948908031</c:v>
                </c:pt>
                <c:pt idx="70">
                  <c:v>-35.952583566171981</c:v>
                </c:pt>
                <c:pt idx="71">
                  <c:v>-37.014203123334191</c:v>
                </c:pt>
                <c:pt idx="72">
                  <c:v>-38.148848380695689</c:v>
                </c:pt>
                <c:pt idx="73">
                  <c:v>-39.364148415104495</c:v>
                </c:pt>
                <c:pt idx="74">
                  <c:v>-40.668834117424758</c:v>
                </c:pt>
                <c:pt idx="75">
                  <c:v>-42.072944561595392</c:v>
                </c:pt>
                <c:pt idx="76">
                  <c:v>-43.588081562466712</c:v>
                </c:pt>
                <c:pt idx="77">
                  <c:v>-45.227726081864581</c:v>
                </c:pt>
                <c:pt idx="78">
                  <c:v>-47.007634754072015</c:v>
                </c:pt>
                <c:pt idx="79">
                  <c:v>-48.946341242495599</c:v>
                </c:pt>
                <c:pt idx="80">
                  <c:v>-51.065796251670136</c:v>
                </c:pt>
                <c:pt idx="81">
                  <c:v>-53.392193093992603</c:v>
                </c:pt>
                <c:pt idx="82">
                  <c:v>-55.957044760752822</c:v>
                </c:pt>
                <c:pt idx="83">
                  <c:v>-58.798606668150931</c:v>
                </c:pt>
                <c:pt idx="84">
                  <c:v>-61.963781823810407</c:v>
                </c:pt>
                <c:pt idx="85">
                  <c:v>-65.510710685365311</c:v>
                </c:pt>
                <c:pt idx="86">
                  <c:v>-69.512351083231877</c:v>
                </c:pt>
                <c:pt idx="87">
                  <c:v>-74.061519824026533</c:v>
                </c:pt>
                <c:pt idx="88">
                  <c:v>-79.27814308619331</c:v>
                </c:pt>
                <c:pt idx="89">
                  <c:v>-85.319933522652491</c:v>
                </c:pt>
                <c:pt idx="90">
                  <c:v>-92.398545096735987</c:v>
                </c:pt>
                <c:pt idx="91">
                  <c:v>-100.8047908584104</c:v>
                </c:pt>
                <c:pt idx="92">
                  <c:v>-110.94946723518257</c:v>
                </c:pt>
                <c:pt idx="93">
                  <c:v>-123.43234888559455</c:v>
                </c:pt>
                <c:pt idx="94">
                  <c:v>-139.16498003837114</c:v>
                </c:pt>
                <c:pt idx="95">
                  <c:v>-159.6035087697507</c:v>
                </c:pt>
                <c:pt idx="96">
                  <c:v>-187.22682103761483</c:v>
                </c:pt>
                <c:pt idx="97">
                  <c:v>-226.62569613098285</c:v>
                </c:pt>
                <c:pt idx="98">
                  <c:v>-287.3605041792643</c:v>
                </c:pt>
                <c:pt idx="99">
                  <c:v>-393.18089782858914</c:v>
                </c:pt>
                <c:pt idx="100">
                  <c:v>-623.87973226408599</c:v>
                </c:pt>
                <c:pt idx="101">
                  <c:v>-1518.4258858972569</c:v>
                </c:pt>
                <c:pt idx="102">
                  <c:v>3454.8816755938883</c:v>
                </c:pt>
                <c:pt idx="103">
                  <c:v>805.73147320816804</c:v>
                </c:pt>
                <c:pt idx="104">
                  <c:v>455.30595768773401</c:v>
                </c:pt>
                <c:pt idx="105">
                  <c:v>316.9562323682332</c:v>
                </c:pt>
                <c:pt idx="106">
                  <c:v>242.89094356691706</c:v>
                </c:pt>
                <c:pt idx="107">
                  <c:v>196.75627034663566</c:v>
                </c:pt>
                <c:pt idx="108">
                  <c:v>165.262229361735</c:v>
                </c:pt>
                <c:pt idx="109">
                  <c:v>142.396130911688</c:v>
                </c:pt>
                <c:pt idx="110">
                  <c:v>125.04125578029402</c:v>
                </c:pt>
                <c:pt idx="111">
                  <c:v>111.42070243411641</c:v>
                </c:pt>
                <c:pt idx="112">
                  <c:v>100.44729960624869</c:v>
                </c:pt>
                <c:pt idx="113">
                  <c:v>91.41854830264694</c:v>
                </c:pt>
                <c:pt idx="114">
                  <c:v>83.860313279664652</c:v>
                </c:pt>
                <c:pt idx="115">
                  <c:v>77.441003653686465</c:v>
                </c:pt>
                <c:pt idx="116">
                  <c:v>71.921749302343116</c:v>
                </c:pt>
                <c:pt idx="117">
                  <c:v>67.126109671368638</c:v>
                </c:pt>
                <c:pt idx="118">
                  <c:v>62.920929360338718</c:v>
                </c:pt>
                <c:pt idx="119">
                  <c:v>59.203831508080071</c:v>
                </c:pt>
                <c:pt idx="120">
                  <c:v>55.894810608925816</c:v>
                </c:pt>
                <c:pt idx="121">
                  <c:v>52.930438297316741</c:v>
                </c:pt>
                <c:pt idx="122">
                  <c:v>50.259781294786855</c:v>
                </c:pt>
                <c:pt idx="123">
                  <c:v>47.841468966384255</c:v>
                </c:pt>
                <c:pt idx="124">
                  <c:v>45.64154970191521</c:v>
                </c:pt>
                <c:pt idx="125">
                  <c:v>43.631899185883753</c:v>
                </c:pt>
                <c:pt idx="126">
                  <c:v>41.789021607918421</c:v>
                </c:pt>
                <c:pt idx="127">
                  <c:v>40.093135116045673</c:v>
                </c:pt>
                <c:pt idx="128">
                  <c:v>38.527465872923344</c:v>
                </c:pt>
                <c:pt idx="129">
                  <c:v>37.077697236701127</c:v>
                </c:pt>
                <c:pt idx="130">
                  <c:v>35.731535703107923</c:v>
                </c:pt>
                <c:pt idx="131">
                  <c:v>34.478365718259184</c:v>
                </c:pt>
                <c:pt idx="132">
                  <c:v>33.308972834317771</c:v>
                </c:pt>
                <c:pt idx="133">
                  <c:v>32.215319926057063</c:v>
                </c:pt>
                <c:pt idx="134">
                  <c:v>31.190364970806698</c:v>
                </c:pt>
                <c:pt idx="135">
                  <c:v>30.227911656018321</c:v>
                </c:pt>
                <c:pt idx="136">
                  <c:v>29.322486115894989</c:v>
                </c:pt>
                <c:pt idx="137">
                  <c:v>28.469234616403508</c:v>
                </c:pt>
                <c:pt idx="138">
                  <c:v>27.663838149581522</c:v>
                </c:pt>
                <c:pt idx="139">
                  <c:v>26.9024407642308</c:v>
                </c:pt>
                <c:pt idx="140">
                  <c:v>26.181589122750609</c:v>
                </c:pt>
                <c:pt idx="141">
                  <c:v>25.498181284794143</c:v>
                </c:pt>
                <c:pt idx="142">
                  <c:v>24.849423115268817</c:v>
                </c:pt>
                <c:pt idx="143">
                  <c:v>24.232791024571632</c:v>
                </c:pt>
                <c:pt idx="144">
                  <c:v>23.645999993293746</c:v>
                </c:pt>
                <c:pt idx="145">
                  <c:v>23.086976027188459</c:v>
                </c:pt>
                <c:pt idx="146">
                  <c:v>22.553832342438604</c:v>
                </c:pt>
                <c:pt idx="147">
                  <c:v>22.044848704859238</c:v>
                </c:pt>
                <c:pt idx="148">
                  <c:v>21.558453446249462</c:v>
                </c:pt>
                <c:pt idx="149">
                  <c:v>21.093207761738928</c:v>
                </c:pt>
                <c:pt idx="150">
                  <c:v>20.647791957583113</c:v>
                </c:pt>
                <c:pt idx="151">
                  <c:v>20.220993372495528</c:v>
                </c:pt>
                <c:pt idx="152">
                  <c:v>19.811695739640729</c:v>
                </c:pt>
                <c:pt idx="153">
                  <c:v>19.41886979272655</c:v>
                </c:pt>
                <c:pt idx="154">
                  <c:v>19.041564949695825</c:v>
                </c:pt>
                <c:pt idx="155">
                  <c:v>18.678901932507554</c:v>
                </c:pt>
                <c:pt idx="156">
                  <c:v>18.330066202343978</c:v>
                </c:pt>
                <c:pt idx="157">
                  <c:v>17.994302107033985</c:v>
                </c:pt>
                <c:pt idx="158">
                  <c:v>17.67090765214747</c:v>
                </c:pt>
                <c:pt idx="159">
                  <c:v>17.359229819577806</c:v>
                </c:pt>
                <c:pt idx="160">
                  <c:v>17.058660367880652</c:v>
                </c:pt>
                <c:pt idx="161">
                  <c:v>16.768632057506203</c:v>
                </c:pt>
                <c:pt idx="162">
                  <c:v>16.488615251604159</c:v>
                </c:pt>
                <c:pt idx="163">
                  <c:v>16.218114849517114</c:v>
                </c:pt>
                <c:pt idx="164">
                  <c:v>15.956667515584851</c:v>
                </c:pt>
                <c:pt idx="165">
                  <c:v>15.703839170604741</c:v>
                </c:pt>
                <c:pt idx="166">
                  <c:v>15.459222717356871</c:v>
                </c:pt>
                <c:pt idx="167">
                  <c:v>15.222435975104059</c:v>
                </c:pt>
                <c:pt idx="168">
                  <c:v>14.993119801004983</c:v>
                </c:pt>
                <c:pt idx="169">
                  <c:v>14.770936379000505</c:v>
                </c:pt>
                <c:pt idx="170">
                  <c:v>14.555567659009929</c:v>
                </c:pt>
                <c:pt idx="171">
                  <c:v>14.346713931255945</c:v>
                </c:pt>
                <c:pt idx="172">
                  <c:v>14.144092522263284</c:v>
                </c:pt>
                <c:pt idx="173">
                  <c:v>13.947436600586801</c:v>
                </c:pt>
                <c:pt idx="174">
                  <c:v>13.756494081645656</c:v>
                </c:pt>
                <c:pt idx="175">
                  <c:v>13.571026622199545</c:v>
                </c:pt>
                <c:pt idx="176">
                  <c:v>13.390808696022399</c:v>
                </c:pt>
                <c:pt idx="177">
                  <c:v>13.215626743225478</c:v>
                </c:pt>
                <c:pt idx="178">
                  <c:v>13.045278386473591</c:v>
                </c:pt>
                <c:pt idx="179">
                  <c:v>12.879571708037117</c:v>
                </c:pt>
                <c:pt idx="180">
                  <c:v>12.718324582241356</c:v>
                </c:pt>
                <c:pt idx="181">
                  <c:v>12.561364058423591</c:v>
                </c:pt>
                <c:pt idx="182">
                  <c:v>12.408525789995014</c:v>
                </c:pt>
                <c:pt idx="183">
                  <c:v>12.259653505637971</c:v>
                </c:pt>
                <c:pt idx="184">
                  <c:v>12.114598519055273</c:v>
                </c:pt>
                <c:pt idx="185">
                  <c:v>11.973219274031527</c:v>
                </c:pt>
                <c:pt idx="186">
                  <c:v>11.835380921874846</c:v>
                </c:pt>
                <c:pt idx="187">
                  <c:v>11.700954928581593</c:v>
                </c:pt>
                <c:pt idx="188">
                  <c:v>11.569818709313379</c:v>
                </c:pt>
                <c:pt idx="189">
                  <c:v>11.441855287996548</c:v>
                </c:pt>
                <c:pt idx="190">
                  <c:v>11.316952980052365</c:v>
                </c:pt>
                <c:pt idx="191">
                  <c:v>11.195005096445165</c:v>
                </c:pt>
                <c:pt idx="192">
                  <c:v>11.075909667395576</c:v>
                </c:pt>
                <c:pt idx="193">
                  <c:v>10.959569184251517</c:v>
                </c:pt>
                <c:pt idx="194">
                  <c:v>10.845890358139624</c:v>
                </c:pt>
                <c:pt idx="195">
                  <c:v>10.734783894138292</c:v>
                </c:pt>
                <c:pt idx="196">
                  <c:v>10.626164279820246</c:v>
                </c:pt>
                <c:pt idx="197">
                  <c:v>10.519949587108986</c:v>
                </c:pt>
                <c:pt idx="198">
                  <c:v>10.41606128648154</c:v>
                </c:pt>
                <c:pt idx="199">
                  <c:v>10.314424072629235</c:v>
                </c:pt>
                <c:pt idx="200">
                  <c:v>10.214965700760521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01-4995-8D1B-32BA3094CE07}"/>
            </c:ext>
          </c:extLst>
        </c:ser>
        <c:ser>
          <c:idx val="2"/>
          <c:order val="2"/>
          <c:tx>
            <c:v>Total MOSFET Loss</c:v>
          </c:tx>
          <c:spPr>
            <a:ln w="38100">
              <a:solidFill>
                <a:srgbClr val="808000"/>
              </a:solidFill>
              <a:prstDash val="sysDash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cat>
          <c:val>
            <c:numRef>
              <c:f>'Efficiency vs VIN Calculations'!$BJ$9:$BJ$209</c:f>
              <c:numCache>
                <c:formatCode>0.000</c:formatCode>
                <c:ptCount val="201"/>
                <c:pt idx="0">
                  <c:v>-3.9770940455692809</c:v>
                </c:pt>
                <c:pt idx="1">
                  <c:v>-4.3060774603613048</c:v>
                </c:pt>
                <c:pt idx="2">
                  <c:v>-4.6390992485311422</c:v>
                </c:pt>
                <c:pt idx="3">
                  <c:v>-4.9763031793182417</c:v>
                </c:pt>
                <c:pt idx="4">
                  <c:v>-5.3178891773233428</c:v>
                </c:pt>
                <c:pt idx="5">
                  <c:v>-5.6641110930353413</c:v>
                </c:pt>
                <c:pt idx="6">
                  <c:v>-6.0152752172088011</c:v>
                </c:pt>
                <c:pt idx="7">
                  <c:v>-6.3717395212020307</c:v>
                </c:pt>
                <c:pt idx="8">
                  <c:v>-6.73391361390307</c:v>
                </c:pt>
                <c:pt idx="9">
                  <c:v>-7.102259415582008</c:v>
                </c:pt>
                <c:pt idx="10">
                  <c:v>-7.4772925599199827</c:v>
                </c:pt>
                <c:pt idx="11">
                  <c:v>-7.8595845476844808</c:v>
                </c:pt>
                <c:pt idx="12">
                  <c:v>-8.2497656892513991</c:v>
                </c:pt>
                <c:pt idx="13">
                  <c:v>-8.6485288887239609</c:v>
                </c:pt>
                <c:pt idx="14">
                  <c:v>-9.0566343401828817</c:v>
                </c:pt>
                <c:pt idx="15">
                  <c:v>-9.4749152271723656</c:v>
                </c:pt>
                <c:pt idx="16">
                  <c:v>-9.9042845405872821</c:v>
                </c:pt>
                <c:pt idx="17">
                  <c:v>-10.345743158578347</c:v>
                </c:pt>
                <c:pt idx="18">
                  <c:v>-10.800389366085849</c:v>
                </c:pt>
                <c:pt idx="19">
                  <c:v>-11.269430032614006</c:v>
                </c:pt>
                <c:pt idx="20">
                  <c:v>-11.754193716751617</c:v>
                </c:pt>
                <c:pt idx="21">
                  <c:v>-12.256146027160208</c:v>
                </c:pt>
                <c:pt idx="22">
                  <c:v>-12.776907645438749</c:v>
                </c:pt>
                <c:pt idx="23">
                  <c:v>-13.318275510555544</c:v>
                </c:pt>
                <c:pt idx="24">
                  <c:v>-13.882247782828538</c:v>
                </c:pt>
                <c:pt idx="25">
                  <c:v>-14.47105335491967</c:v>
                </c:pt>
                <c:pt idx="26">
                  <c:v>-15.087186867575747</c:v>
                </c:pt>
                <c:pt idx="27">
                  <c:v>-15.733450431816662</c:v>
                </c:pt>
                <c:pt idx="28">
                  <c:v>-16.413003574476264</c:v>
                </c:pt>
                <c:pt idx="29">
                  <c:v>-17.129423334477185</c:v>
                </c:pt>
                <c:pt idx="30">
                  <c:v>-17.886776976203077</c:v>
                </c:pt>
                <c:pt idx="31">
                  <c:v>-18.689710500260709</c:v>
                </c:pt>
                <c:pt idx="32">
                  <c:v>-19.543557086368182</c:v>
                </c:pt>
                <c:pt idx="33">
                  <c:v>-20.454470891702979</c:v>
                </c:pt>
                <c:pt idx="34">
                  <c:v>-21.429593386143569</c:v>
                </c:pt>
                <c:pt idx="35">
                  <c:v>-22.477261831625754</c:v>
                </c:pt>
                <c:pt idx="36">
                  <c:v>-23.607272900555952</c:v>
                </c:pt>
                <c:pt idx="37">
                  <c:v>-24.83121922133078</c:v>
                </c:pt>
                <c:pt idx="38">
                  <c:v>-26.162923516691674</c:v>
                </c:pt>
                <c:pt idx="39">
                  <c:v>-27.619005021441826</c:v>
                </c:pt>
                <c:pt idx="40">
                  <c:v>-29.219627711451356</c:v>
                </c:pt>
                <c:pt idx="41">
                  <c:v>-30.989502272743948</c:v>
                </c:pt>
                <c:pt idx="42">
                  <c:v>-32.959248211577155</c:v>
                </c:pt>
                <c:pt idx="43">
                  <c:v>-35.167276748561775</c:v>
                </c:pt>
                <c:pt idx="44">
                  <c:v>-37.66244260753971</c:v>
                </c:pt>
                <c:pt idx="45">
                  <c:v>-40.507857768038811</c:v>
                </c:pt>
                <c:pt idx="46">
                  <c:v>-43.7865079921865</c:v>
                </c:pt>
                <c:pt idx="47">
                  <c:v>-47.609751366179388</c:v>
                </c:pt>
                <c:pt idx="48">
                  <c:v>-52.130585544138157</c:v>
                </c:pt>
                <c:pt idx="49">
                  <c:v>-57.565127560189545</c:v>
                </c:pt>
                <c:pt idx="50">
                  <c:v>-64.228919449902307</c:v>
                </c:pt>
                <c:pt idx="51">
                  <c:v>-72.601550201351984</c:v>
                </c:pt>
                <c:pt idx="52">
                  <c:v>-83.449209829668021</c:v>
                </c:pt>
                <c:pt idx="53">
                  <c:v>-98.076409543684775</c:v>
                </c:pt>
                <c:pt idx="54">
                  <c:v>-118.8995358139917</c:v>
                </c:pt>
                <c:pt idx="55">
                  <c:v>-150.95229088388888</c:v>
                </c:pt>
                <c:pt idx="56">
                  <c:v>-206.74542948754029</c:v>
                </c:pt>
                <c:pt idx="57">
                  <c:v>-328.35087175069663</c:v>
                </c:pt>
                <c:pt idx="58">
                  <c:v>-800.72949121156194</c:v>
                </c:pt>
                <c:pt idx="59">
                  <c:v>1802.2839085204823</c:v>
                </c:pt>
                <c:pt idx="60">
                  <c:v>422.40896500055482</c:v>
                </c:pt>
                <c:pt idx="61">
                  <c:v>238.63513336282509</c:v>
                </c:pt>
                <c:pt idx="62">
                  <c:v>165.94599788701527</c:v>
                </c:pt>
                <c:pt idx="63">
                  <c:v>126.96903265852055</c:v>
                </c:pt>
                <c:pt idx="64">
                  <c:v>102.64745361747644</c:v>
                </c:pt>
                <c:pt idx="65">
                  <c:v>86.010293366315082</c:v>
                </c:pt>
                <c:pt idx="66">
                  <c:v>73.902535358102455</c:v>
                </c:pt>
                <c:pt idx="67">
                  <c:v>64.688324441221539</c:v>
                </c:pt>
                <c:pt idx="68">
                  <c:v>57.434839899133969</c:v>
                </c:pt>
                <c:pt idx="69">
                  <c:v>51.571252784560677</c:v>
                </c:pt>
                <c:pt idx="70">
                  <c:v>46.728653436274818</c:v>
                </c:pt>
                <c:pt idx="71">
                  <c:v>42.658017784813275</c:v>
                </c:pt>
                <c:pt idx="72">
                  <c:v>39.185161443431184</c:v>
                </c:pt>
                <c:pt idx="73">
                  <c:v>36.184584712453514</c:v>
                </c:pt>
                <c:pt idx="74">
                  <c:v>33.563569626612754</c:v>
                </c:pt>
                <c:pt idx="75">
                  <c:v>31.252128254220022</c:v>
                </c:pt>
                <c:pt idx="76">
                  <c:v>29.196435664999314</c:v>
                </c:pt>
                <c:pt idx="77">
                  <c:v>27.354415151524194</c:v>
                </c:pt>
                <c:pt idx="78">
                  <c:v>25.692695381135611</c:v>
                </c:pt>
                <c:pt idx="79">
                  <c:v>24.184466563403102</c:v>
                </c:pt>
                <c:pt idx="80">
                  <c:v>22.80794027912339</c:v>
                </c:pt>
                <c:pt idx="81">
                  <c:v>21.545223539345454</c:v>
                </c:pt>
                <c:pt idx="82">
                  <c:v>20.381482663660805</c:v>
                </c:pt>
                <c:pt idx="83">
                  <c:v>19.30431351304728</c:v>
                </c:pt>
                <c:pt idx="84">
                  <c:v>18.303260996908726</c:v>
                </c:pt>
                <c:pt idx="85">
                  <c:v>17.369448131872698</c:v>
                </c:pt>
                <c:pt idx="86">
                  <c:v>16.495286566911851</c:v>
                </c:pt>
                <c:pt idx="87">
                  <c:v>15.674248426458957</c:v>
                </c:pt>
                <c:pt idx="88">
                  <c:v>14.900684822837635</c:v>
                </c:pt>
                <c:pt idx="89">
                  <c:v>14.169680255784883</c:v>
                </c:pt>
                <c:pt idx="90">
                  <c:v>13.476934871761021</c:v>
                </c:pt>
                <c:pt idx="91">
                  <c:v>12.818668543174647</c:v>
                </c:pt>
                <c:pt idx="92">
                  <c:v>12.191542178023221</c:v>
                </c:pt>
                <c:pt idx="93">
                  <c:v>11.592592740299756</c:v>
                </c:pt>
                <c:pt idx="94">
                  <c:v>11.019179258615553</c:v>
                </c:pt>
                <c:pt idx="95">
                  <c:v>10.468937699956562</c:v>
                </c:pt>
                <c:pt idx="96">
                  <c:v>9.9397430402945322</c:v>
                </c:pt>
                <c:pt idx="97">
                  <c:v>9.4296772116719367</c:v>
                </c:pt>
                <c:pt idx="98">
                  <c:v>8.9370018735633572</c:v>
                </c:pt>
                <c:pt idx="99">
                  <c:v>8.4601351645539129</c:v>
                </c:pt>
                <c:pt idx="100">
                  <c:v>7.997631753171305</c:v>
                </c:pt>
                <c:pt idx="101">
                  <c:v>7.5481656347939374</c:v>
                </c:pt>
                <c:pt idx="102">
                  <c:v>7.1105152229364776</c:v>
                </c:pt>
                <c:pt idx="103">
                  <c:v>6.6835503639040148</c:v>
                </c:pt>
                <c:pt idx="104">
                  <c:v>6.2662209683556362</c:v>
                </c:pt>
                <c:pt idx="105">
                  <c:v>5.8575470052014449</c:v>
                </c:pt>
                <c:pt idx="106">
                  <c:v>5.4566096451318344</c:v>
                </c:pt>
                <c:pt idx="107">
                  <c:v>5.0625433749944193</c:v>
                </c:pt>
                <c:pt idx="108">
                  <c:v>4.6745289317872434</c:v>
                </c:pt>
                <c:pt idx="109">
                  <c:v>4.2917869274603184</c:v>
                </c:pt>
                <c:pt idx="110">
                  <c:v>3.9135720539848435</c:v>
                </c:pt>
                <c:pt idx="111">
                  <c:v>3.5391677730170965</c:v>
                </c:pt>
                <c:pt idx="112">
                  <c:v>3.167881406551273</c:v>
                </c:pt>
                <c:pt idx="113">
                  <c:v>2.7990395546887399</c:v>
                </c:pt>
                <c:pt idx="114">
                  <c:v>2.4319837744209476</c:v>
                </c:pt>
                <c:pt idx="115">
                  <c:v>2.0660664594106501</c:v>
                </c:pt>
                <c:pt idx="116">
                  <c:v>1.7006468653840516</c:v>
                </c:pt>
                <c:pt idx="117">
                  <c:v>1.3350872290739362</c:v>
                </c:pt>
                <c:pt idx="118">
                  <c:v>0.96874893080151137</c:v>
                </c:pt>
                <c:pt idx="119">
                  <c:v>0.60098865182199712</c:v>
                </c:pt>
                <c:pt idx="120">
                  <c:v>0.23115447752685525</c:v>
                </c:pt>
                <c:pt idx="121">
                  <c:v>-0.14141810350716466</c:v>
                </c:pt>
                <c:pt idx="122">
                  <c:v>-0.51741035684187753</c:v>
                </c:pt>
                <c:pt idx="123">
                  <c:v>-0.89752467147988013</c:v>
                </c:pt>
                <c:pt idx="124">
                  <c:v>-1.2824892014310689</c:v>
                </c:pt>
                <c:pt idx="125">
                  <c:v>-1.6730628459600816</c:v>
                </c:pt>
                <c:pt idx="126">
                  <c:v>-2.0700406427304952</c:v>
                </c:pt>
                <c:pt idx="127">
                  <c:v>-2.4742596578055567</c:v>
                </c:pt>
                <c:pt idx="128">
                  <c:v>-2.8866054685159526</c:v>
                </c:pt>
                <c:pt idx="129">
                  <c:v>-3.3080193500191353</c:v>
                </c:pt>
                <c:pt idx="130">
                  <c:v>-3.7395062945334052</c:v>
                </c:pt>
                <c:pt idx="131">
                  <c:v>-4.1821440144741935</c:v>
                </c:pt>
                <c:pt idx="132">
                  <c:v>-4.637093107987905</c:v>
                </c:pt>
                <c:pt idx="133">
                  <c:v>-5.1056085988719282</c:v>
                </c:pt>
                <c:pt idx="134">
                  <c:v>-5.5890531041200937</c:v>
                </c:pt>
                <c:pt idx="135">
                  <c:v>-6.0889119333217909</c:v>
                </c:pt>
                <c:pt idx="136">
                  <c:v>-6.6068104874175599</c:v>
                </c:pt>
                <c:pt idx="137">
                  <c:v>-7.1445344031996303</c:v>
                </c:pt>
                <c:pt idx="138">
                  <c:v>-7.7040529887844329</c:v>
                </c:pt>
                <c:pt idx="139">
                  <c:v>-8.2875466197939112</c:v>
                </c:pt>
                <c:pt idx="140">
                  <c:v>-8.8974389237486022</c:v>
                </c:pt>
                <c:pt idx="141">
                  <c:v>-9.5364347813235959</c:v>
                </c:pt>
                <c:pt idx="142">
                  <c:v>-10.207565431284777</c:v>
                </c:pt>
                <c:pt idx="143">
                  <c:v>-10.914242299611596</c:v>
                </c:pt>
                <c:pt idx="144">
                  <c:v>-11.660321607861427</c:v>
                </c:pt>
                <c:pt idx="145">
                  <c:v>-12.45018238626235</c:v>
                </c:pt>
                <c:pt idx="146">
                  <c:v>-13.288821272210493</c:v>
                </c:pt>
                <c:pt idx="147">
                  <c:v>-14.181968483747616</c:v>
                </c:pt>
                <c:pt idx="148">
                  <c:v>-15.136230718547525</c:v>
                </c:pt>
                <c:pt idx="149">
                  <c:v>-16.159268583933208</c:v>
                </c:pt>
                <c:pt idx="150">
                  <c:v>-17.260018720095058</c:v>
                </c:pt>
                <c:pt idx="151">
                  <c:v>-18.448974344790244</c:v>
                </c:pt>
                <c:pt idx="152">
                  <c:v>-19.738542986538466</c:v>
                </c:pt>
                <c:pt idx="153">
                  <c:v>-21.143507392837325</c:v>
                </c:pt>
                <c:pt idx="154">
                  <c:v>-22.681626101895741</c:v>
                </c:pt>
                <c:pt idx="155">
                  <c:v>-24.374425697261657</c:v>
                </c:pt>
                <c:pt idx="156">
                  <c:v>-26.24826015053381</c:v>
                </c:pt>
                <c:pt idx="157">
                  <c:v>-28.33574857504442</c:v>
                </c:pt>
                <c:pt idx="158">
                  <c:v>-30.677759097066026</c:v>
                </c:pt>
                <c:pt idx="159">
                  <c:v>-33.326197233764759</c:v>
                </c:pt>
                <c:pt idx="160">
                  <c:v>-36.348007012210864</c:v>
                </c:pt>
                <c:pt idx="161">
                  <c:v>-39.831048309964665</c:v>
                </c:pt>
                <c:pt idx="162">
                  <c:v>-43.892963906109316</c:v>
                </c:pt>
                <c:pt idx="163">
                  <c:v>-48.694974921153161</c:v>
                </c:pt>
                <c:pt idx="164">
                  <c:v>-54.464126728982379</c:v>
                </c:pt>
                <c:pt idx="165">
                  <c:v>-61.530711143566428</c:v>
                </c:pt>
                <c:pt idx="166">
                  <c:v>-70.394493380563532</c:v>
                </c:pt>
                <c:pt idx="167">
                  <c:v>-81.84941765801004</c:v>
                </c:pt>
                <c:pt idx="168">
                  <c:v>-97.237430191959973</c:v>
                </c:pt>
                <c:pt idx="169">
                  <c:v>-119.01991274840366</c:v>
                </c:pt>
                <c:pt idx="170">
                  <c:v>-152.25257207488377</c:v>
                </c:pt>
                <c:pt idx="171">
                  <c:v>-209.22647797886972</c:v>
                </c:pt>
                <c:pt idx="172">
                  <c:v>-329.62245458353567</c:v>
                </c:pt>
                <c:pt idx="173">
                  <c:v>-752.77705347542701</c:v>
                </c:pt>
                <c:pt idx="174">
                  <c:v>2951.600789202565</c:v>
                </c:pt>
                <c:pt idx="175">
                  <c:v>507.6310618760109</c:v>
                </c:pt>
                <c:pt idx="176">
                  <c:v>280.35471350657963</c:v>
                </c:pt>
                <c:pt idx="177">
                  <c:v>194.87450959679327</c:v>
                </c:pt>
                <c:pt idx="178">
                  <c:v>150.02882517486952</c:v>
                </c:pt>
                <c:pt idx="179">
                  <c:v>122.39767268570529</c:v>
                </c:pt>
                <c:pt idx="180">
                  <c:v>103.65850985348902</c:v>
                </c:pt>
                <c:pt idx="181">
                  <c:v>90.109201356799247</c:v>
                </c:pt>
                <c:pt idx="182">
                  <c:v>79.852419984416159</c:v>
                </c:pt>
                <c:pt idx="183">
                  <c:v>71.815307374633889</c:v>
                </c:pt>
                <c:pt idx="184">
                  <c:v>65.345521477322947</c:v>
                </c:pt>
                <c:pt idx="185">
                  <c:v>60.023590286636775</c:v>
                </c:pt>
                <c:pt idx="186">
                  <c:v>55.567512691275553</c:v>
                </c:pt>
                <c:pt idx="187">
                  <c:v>51.780706097084078</c:v>
                </c:pt>
                <c:pt idx="188">
                  <c:v>48.52194023981744</c:v>
                </c:pt>
                <c:pt idx="189">
                  <c:v>45.687135309139677</c:v>
                </c:pt>
                <c:pt idx="190">
                  <c:v>43.197899416586175</c:v>
                </c:pt>
                <c:pt idx="191">
                  <c:v>40.994063451036659</c:v>
                </c:pt>
                <c:pt idx="192">
                  <c:v>39.028676288751619</c:v>
                </c:pt>
                <c:pt idx="193">
                  <c:v>37.264563588168016</c:v>
                </c:pt>
                <c:pt idx="194">
                  <c:v>35.671908467825219</c:v>
                </c:pt>
                <c:pt idx="195">
                  <c:v>34.226516733148181</c:v>
                </c:pt>
                <c:pt idx="196">
                  <c:v>32.908550852248162</c:v>
                </c:pt>
                <c:pt idx="197">
                  <c:v>31.701591278543702</c:v>
                </c:pt>
                <c:pt idx="198">
                  <c:v>30.591930452843972</c:v>
                </c:pt>
                <c:pt idx="199">
                  <c:v>29.568034864677845</c:v>
                </c:pt>
                <c:pt idx="200">
                  <c:v>28.620130280232171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01-4995-8D1B-32BA3094CE07}"/>
            </c:ext>
          </c:extLst>
        </c:ser>
        <c:ser>
          <c:idx val="1"/>
          <c:order val="3"/>
          <c:tx>
            <c:v>Shunt Loss</c:v>
          </c:tx>
          <c:spPr>
            <a:ln w="38100">
              <a:solidFill>
                <a:srgbClr val="002060"/>
              </a:solidFill>
              <a:prstDash val="sysDot"/>
            </a:ln>
          </c:spPr>
          <c:marker>
            <c:symbol val="none"/>
          </c:marker>
          <c:cat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cat>
          <c:val>
            <c:numRef>
              <c:f>'Efficiency vs VIN Calculations'!$BL$9:$BL$209</c:f>
              <c:numCache>
                <c:formatCode>0.000</c:formatCode>
                <c:ptCount val="201"/>
                <c:pt idx="0">
                  <c:v>31.463305065923326</c:v>
                </c:pt>
                <c:pt idx="1">
                  <c:v>30.47539031721821</c:v>
                </c:pt>
                <c:pt idx="2">
                  <c:v>29.531635026122224</c:v>
                </c:pt>
                <c:pt idx="3">
                  <c:v>28.629468899015762</c:v>
                </c:pt>
                <c:pt idx="4">
                  <c:v>27.766505315626638</c:v>
                </c:pt>
                <c:pt idx="5">
                  <c:v>26.940525828274438</c:v>
                </c:pt>
                <c:pt idx="6">
                  <c:v>26.149466164550805</c:v>
                </c:pt>
                <c:pt idx="7">
                  <c:v>25.391403569173789</c:v>
                </c:pt>
                <c:pt idx="8">
                  <c:v>24.664545340663512</c:v>
                </c:pt>
                <c:pt idx="9">
                  <c:v>23.967218435749921</c:v>
                </c:pt>
                <c:pt idx="10">
                  <c:v>23.297860029424758</c:v>
                </c:pt>
                <c:pt idx="11">
                  <c:v>22.655008931609373</c:v>
                </c:pt>
                <c:pt idx="12">
                  <c:v>22.037297772801249</c:v>
                </c:pt>
                <c:pt idx="13">
                  <c:v>21.443445881016217</c:v>
                </c:pt>
                <c:pt idx="14">
                  <c:v>20.872252781057725</c:v>
                </c:pt>
                <c:pt idx="15">
                  <c:v>20.322592254785881</c:v>
                </c:pt>
                <c:pt idx="16">
                  <c:v>19.793406907771665</c:v>
                </c:pt>
                <c:pt idx="17">
                  <c:v>19.283703193628707</c:v>
                </c:pt>
                <c:pt idx="18">
                  <c:v>18.792546852519642</c:v>
                </c:pt>
                <c:pt idx="19">
                  <c:v>18.319058724929462</c:v>
                </c:pt>
                <c:pt idx="20">
                  <c:v>17.86241090586001</c:v>
                </c:pt>
                <c:pt idx="21">
                  <c:v>17.421823208196077</c:v>
                </c:pt>
                <c:pt idx="22">
                  <c:v>16.996559907182647</c:v>
                </c:pt>
                <c:pt idx="23">
                  <c:v>16.585926740783954</c:v>
                </c:pt>
                <c:pt idx="24">
                  <c:v>16.189268143213123</c:v>
                </c:pt>
                <c:pt idx="25">
                  <c:v>15.805964691162103</c:v>
                </c:pt>
                <c:pt idx="26">
                  <c:v>15.435430744261115</c:v>
                </c:pt>
                <c:pt idx="27">
                  <c:v>15.077112263080117</c:v>
                </c:pt>
                <c:pt idx="28">
                  <c:v>14.730484789580336</c:v>
                </c:pt>
                <c:pt idx="29">
                  <c:v>14.395051576350657</c:v>
                </c:pt>
                <c:pt idx="30">
                  <c:v>14.070341852243047</c:v>
                </c:pt>
                <c:pt idx="31">
                  <c:v>13.7559092131683</c:v>
                </c:pt>
                <c:pt idx="32">
                  <c:v>13.451330127843919</c:v>
                </c:pt>
                <c:pt idx="33">
                  <c:v>13.156202549212745</c:v>
                </c:pt>
                <c:pt idx="34">
                  <c:v>12.87014462308505</c:v>
                </c:pt>
                <c:pt idx="35">
                  <c:v>12.592793486308322</c:v>
                </c:pt>
                <c:pt idx="36">
                  <c:v>12.323804147447339</c:v>
                </c:pt>
                <c:pt idx="37">
                  <c:v>12.062848443569656</c:v>
                </c:pt>
                <c:pt idx="38">
                  <c:v>11.809614067284775</c:v>
                </c:pt>
                <c:pt idx="39">
                  <c:v>11.563803658686808</c:v>
                </c:pt>
                <c:pt idx="40">
                  <c:v>11.325133957303967</c:v>
                </c:pt>
                <c:pt idx="41">
                  <c:v>11.093335009569602</c:v>
                </c:pt>
                <c:pt idx="42">
                  <c:v>10.868149427703205</c:v>
                </c:pt>
                <c:pt idx="43">
                  <c:v>10.649331696228641</c:v>
                </c:pt>
                <c:pt idx="44">
                  <c:v>10.436647522665531</c:v>
                </c:pt>
                <c:pt idx="45">
                  <c:v>10.229873229210403</c:v>
                </c:pt>
                <c:pt idx="46">
                  <c:v>10.028795182479517</c:v>
                </c:pt>
                <c:pt idx="47">
                  <c:v>9.8332092586187336</c:v>
                </c:pt>
                <c:pt idx="48">
                  <c:v>9.6429203412981668</c:v>
                </c:pt>
                <c:pt idx="49">
                  <c:v>9.4577418503034654</c:v>
                </c:pt>
                <c:pt idx="50">
                  <c:v>9.2774952986132497</c:v>
                </c:pt>
                <c:pt idx="51">
                  <c:v>9.1020098760142076</c:v>
                </c:pt>
                <c:pt idx="52">
                  <c:v>8.9311220574541945</c:v>
                </c:pt>
                <c:pt idx="53">
                  <c:v>8.7646752344693972</c:v>
                </c:pt>
                <c:pt idx="54">
                  <c:v>8.6025193681468277</c:v>
                </c:pt>
                <c:pt idx="55">
                  <c:v>8.4445106621972954</c:v>
                </c:pt>
                <c:pt idx="56">
                  <c:v>8.2905112548196378</c:v>
                </c:pt>
                <c:pt idx="57">
                  <c:v>8.1403889281330635</c:v>
                </c:pt>
                <c:pt idx="58">
                  <c:v>7.9940168340434745</c:v>
                </c:pt>
                <c:pt idx="59">
                  <c:v>7.8512732354912833</c:v>
                </c:pt>
                <c:pt idx="60">
                  <c:v>7.7120412621031935</c:v>
                </c:pt>
                <c:pt idx="61">
                  <c:v>7.5762086793399721</c:v>
                </c:pt>
                <c:pt idx="62">
                  <c:v>7.4436676702959286</c:v>
                </c:pt>
                <c:pt idx="63">
                  <c:v>7.3143146293647519</c:v>
                </c:pt>
                <c:pt idx="64">
                  <c:v>7.1880499670407163</c:v>
                </c:pt>
                <c:pt idx="65">
                  <c:v>7.0647779251745604</c:v>
                </c:pt>
                <c:pt idx="66">
                  <c:v>6.9444064020497169</c:v>
                </c:pt>
                <c:pt idx="67">
                  <c:v>6.8268467866874794</c:v>
                </c:pt>
                <c:pt idx="68">
                  <c:v>6.7120138018295261</c:v>
                </c:pt>
                <c:pt idx="69">
                  <c:v>6.599825355082916</c:v>
                </c:pt>
                <c:pt idx="70">
                  <c:v>6.4902023977467564</c:v>
                </c:pt>
                <c:pt idx="71">
                  <c:v>6.3830687908714365</c:v>
                </c:pt>
                <c:pt idx="72">
                  <c:v>6.2783511781305226</c:v>
                </c:pt>
                <c:pt idx="73">
                  <c:v>6.1759788651126497</c:v>
                </c:pt>
                <c:pt idx="74">
                  <c:v>6.075883704666051</c:v>
                </c:pt>
                <c:pt idx="75">
                  <c:v>5.9779999879517147</c:v>
                </c:pt>
                <c:pt idx="76">
                  <c:v>5.8822643408831086</c:v>
                </c:pt>
                <c:pt idx="77">
                  <c:v>5.7886156256505883</c:v>
                </c:pt>
                <c:pt idx="78">
                  <c:v>5.6969948470475913</c:v>
                </c:pt>
                <c:pt idx="79">
                  <c:v>5.6073450633331445</c:v>
                </c:pt>
                <c:pt idx="80">
                  <c:v>5.5196113013817545</c:v>
                </c:pt>
                <c:pt idx="81">
                  <c:v>5.433740475886907</c:v>
                </c:pt>
                <c:pt idx="82">
                  <c:v>5.3496813123986335</c:v>
                </c:pt>
                <c:pt idx="83">
                  <c:v>5.2673842739889309</c:v>
                </c:pt>
                <c:pt idx="84">
                  <c:v>5.1868014913511216</c:v>
                </c:pt>
                <c:pt idx="85">
                  <c:v>5.1078866961509304</c:v>
                </c:pt>
                <c:pt idx="86">
                  <c:v>5.0305951574576833</c:v>
                </c:pt>
                <c:pt idx="87">
                  <c:v>4.954883621094341</c:v>
                </c:pt>
                <c:pt idx="88">
                  <c:v>4.8807102517543761</c:v>
                </c:pt>
                <c:pt idx="89">
                  <c:v>4.8080345777423252</c:v>
                </c:pt>
                <c:pt idx="90">
                  <c:v>4.7368174382032757</c:v>
                </c:pt>
                <c:pt idx="91">
                  <c:v>4.6670209327140739</c:v>
                </c:pt>
                <c:pt idx="92">
                  <c:v>4.5986083731164422</c:v>
                </c:pt>
                <c:pt idx="93">
                  <c:v>4.5315442374789638</c:v>
                </c:pt>
                <c:pt idx="94">
                  <c:v>4.4657941260811747</c:v>
                </c:pt>
                <c:pt idx="95">
                  <c:v>4.4013247193190841</c:v>
                </c:pt>
                <c:pt idx="96">
                  <c:v>4.3381037374369935</c:v>
                </c:pt>
                <c:pt idx="97">
                  <c:v>4.2760999019957433</c:v>
                </c:pt>
                <c:pt idx="98">
                  <c:v>4.2152828989924762</c:v>
                </c:pt>
                <c:pt idx="99">
                  <c:v>4.155623343551623</c:v>
                </c:pt>
                <c:pt idx="100">
                  <c:v>4.0970927461111879</c:v>
                </c:pt>
                <c:pt idx="101">
                  <c:v>4.0396634800325524</c:v>
                </c:pt>
                <c:pt idx="102">
                  <c:v>3.9833087505657176</c:v>
                </c:pt>
                <c:pt idx="103">
                  <c:v>3.9280025651057779</c:v>
                </c:pt>
                <c:pt idx="104">
                  <c:v>3.8737197046795999</c:v>
                </c:pt>
                <c:pt idx="105">
                  <c:v>3.8204356966049966</c:v>
                </c:pt>
                <c:pt idx="106">
                  <c:v>3.7681267882677556</c:v>
                </c:pt>
                <c:pt idx="107">
                  <c:v>3.7167699219645964</c:v>
                </c:pt>
                <c:pt idx="108">
                  <c:v>3.6663427107629909</c:v>
                </c:pt>
                <c:pt idx="109">
                  <c:v>3.6168234153311429</c:v>
                </c:pt>
                <c:pt idx="110">
                  <c:v>3.5681909216939331</c:v>
                </c:pt>
                <c:pt idx="111">
                  <c:v>3.5204247198728336</c:v>
                </c:pt>
                <c:pt idx="112">
                  <c:v>3.4735048833699662</c:v>
                </c:pt>
                <c:pt idx="113">
                  <c:v>3.4274120494584004</c:v>
                </c:pt>
                <c:pt idx="114">
                  <c:v>3.3821274002427977</c:v>
                </c:pt>
                <c:pt idx="115">
                  <c:v>3.3376326444562032</c:v>
                </c:pt>
                <c:pt idx="116">
                  <c:v>3.2939099999605572</c:v>
                </c:pt>
                <c:pt idx="117">
                  <c:v>3.2509421769200015</c:v>
                </c:pt>
                <c:pt idx="118">
                  <c:v>3.2087123616176987</c:v>
                </c:pt>
                <c:pt idx="119">
                  <c:v>3.1672042008881935</c:v>
                </c:pt>
                <c:pt idx="120">
                  <c:v>3.1264017871387431</c:v>
                </c:pt>
                <c:pt idx="121">
                  <c:v>3.0862896439343857</c:v>
                </c:pt>
                <c:pt idx="122">
                  <c:v>3.0468527121226074</c:v>
                </c:pt>
                <c:pt idx="123">
                  <c:v>3.0080763364747294</c:v>
                </c:pt>
                <c:pt idx="124">
                  <c:v>2.9699462528221514</c:v>
                </c:pt>
                <c:pt idx="125">
                  <c:v>2.9324485756666792</c:v>
                </c:pt>
                <c:pt idx="126">
                  <c:v>2.895569786245078</c:v>
                </c:pt>
                <c:pt idx="127">
                  <c:v>2.8592967210289633</c:v>
                </c:pt>
                <c:pt idx="128">
                  <c:v>2.8236165606420243</c:v>
                </c:pt>
                <c:pt idx="129">
                  <c:v>2.7885168191773713</c:v>
                </c:pt>
                <c:pt idx="130">
                  <c:v>2.7539853338986164</c:v>
                </c:pt>
                <c:pt idx="131">
                  <c:v>2.7200102553090573</c:v>
                </c:pt>
                <c:pt idx="132">
                  <c:v>2.6865800375740201</c:v>
                </c:pt>
                <c:pt idx="133">
                  <c:v>2.6536834292820921</c:v>
                </c:pt>
                <c:pt idx="134">
                  <c:v>2.6213094645316879</c:v>
                </c:pt>
                <c:pt idx="135">
                  <c:v>2.5894474543298771</c:v>
                </c:pt>
                <c:pt idx="136">
                  <c:v>2.5580869782911004</c:v>
                </c:pt>
                <c:pt idx="137">
                  <c:v>2.5272178766239066</c:v>
                </c:pt>
                <c:pt idx="138">
                  <c:v>2.4968302423943411</c:v>
                </c:pt>
                <c:pt idx="139">
                  <c:v>2.466914414055176</c:v>
                </c:pt>
                <c:pt idx="140">
                  <c:v>2.437460968230583</c:v>
                </c:pt>
                <c:pt idx="141">
                  <c:v>2.4084607127463675</c:v>
                </c:pt>
                <c:pt idx="142">
                  <c:v>2.3799046798962453</c:v>
                </c:pt>
                <c:pt idx="143">
                  <c:v>2.3517841199351066</c:v>
                </c:pt>
                <c:pt idx="144">
                  <c:v>2.3240904947905836</c:v>
                </c:pt>
                <c:pt idx="145">
                  <c:v>2.2968154719845923</c:v>
                </c:pt>
                <c:pt idx="146">
                  <c:v>2.2699509187569116</c:v>
                </c:pt>
                <c:pt idx="147">
                  <c:v>2.2434888963831479</c:v>
                </c:pt>
                <c:pt idx="148">
                  <c:v>2.2174216546798147</c:v>
                </c:pt>
                <c:pt idx="149">
                  <c:v>2.191741626689518</c:v>
                </c:pt>
                <c:pt idx="150">
                  <c:v>2.1664414235395348</c:v>
                </c:pt>
                <c:pt idx="151">
                  <c:v>2.1415138294673977</c:v>
                </c:pt>
                <c:pt idx="152">
                  <c:v>2.1169517970072751</c:v>
                </c:pt>
                <c:pt idx="153">
                  <c:v>2.0927484423313096</c:v>
                </c:pt>
                <c:pt idx="154">
                  <c:v>2.0688970407401932</c:v>
                </c:pt>
                <c:pt idx="155">
                  <c:v>2.0453910222975784</c:v>
                </c:pt>
                <c:pt idx="156">
                  <c:v>2.0222239676031273</c:v>
                </c:pt>
                <c:pt idx="157">
                  <c:v>1.9993896036991803</c:v>
                </c:pt>
                <c:pt idx="158">
                  <c:v>1.9768818001062471</c:v>
                </c:pt>
                <c:pt idx="159">
                  <c:v>1.9546945649827461</c:v>
                </c:pt>
                <c:pt idx="160">
                  <c:v>1.9328220414045298</c:v>
                </c:pt>
                <c:pt idx="161">
                  <c:v>1.9112585037599901</c:v>
                </c:pt>
                <c:pt idx="162">
                  <c:v>1.8899983542566487</c:v>
                </c:pt>
                <c:pt idx="163">
                  <c:v>1.8690361195353111</c:v>
                </c:pt>
                <c:pt idx="164">
                  <c:v>1.8483664473880568</c:v>
                </c:pt>
                <c:pt idx="165">
                  <c:v>1.8279841035763968</c:v>
                </c:pt>
                <c:pt idx="166">
                  <c:v>1.807883968746191</c:v>
                </c:pt>
                <c:pt idx="167">
                  <c:v>1.7880610354359225</c:v>
                </c:pt>
                <c:pt idx="168">
                  <c:v>1.7685104051751708</c:v>
                </c:pt>
                <c:pt idx="169">
                  <c:v>1.7492272856701641</c:v>
                </c:pt>
                <c:pt idx="170">
                  <c:v>1.7302069880734536</c:v>
                </c:pt>
                <c:pt idx="171">
                  <c:v>1.7114449243348713</c:v>
                </c:pt>
                <c:pt idx="172">
                  <c:v>1.6929366046309864</c:v>
                </c:pt>
                <c:pt idx="173">
                  <c:v>1.6746776348704542</c:v>
                </c:pt>
                <c:pt idx="174">
                  <c:v>1.6566637142727041</c:v>
                </c:pt>
                <c:pt idx="175">
                  <c:v>1.6388906330174962</c:v>
                </c:pt>
                <c:pt idx="176">
                  <c:v>1.621354269963027</c:v>
                </c:pt>
                <c:pt idx="177">
                  <c:v>1.6040505904302875</c:v>
                </c:pt>
                <c:pt idx="178">
                  <c:v>1.5869756440514995</c:v>
                </c:pt>
                <c:pt idx="179">
                  <c:v>1.5701255626805297</c:v>
                </c:pt>
                <c:pt idx="180">
                  <c:v>1.5534965583632352</c:v>
                </c:pt>
                <c:pt idx="181">
                  <c:v>1.5370849213658191</c:v>
                </c:pt>
                <c:pt idx="182">
                  <c:v>1.520887018259288</c:v>
                </c:pt>
                <c:pt idx="183">
                  <c:v>1.5048992900582001</c:v>
                </c:pt>
                <c:pt idx="184">
                  <c:v>1.4891182504119835</c:v>
                </c:pt>
                <c:pt idx="185">
                  <c:v>1.4735404838470969</c:v>
                </c:pt>
                <c:pt idx="186">
                  <c:v>1.4581626440584436</c:v>
                </c:pt>
                <c:pt idx="187">
                  <c:v>1.442981452248463</c:v>
                </c:pt>
                <c:pt idx="188">
                  <c:v>1.4279936955123691</c:v>
                </c:pt>
                <c:pt idx="189">
                  <c:v>1.4131962252681156</c:v>
                </c:pt>
                <c:pt idx="190">
                  <c:v>1.3985859557296452</c:v>
                </c:pt>
                <c:pt idx="191">
                  <c:v>1.3841598624220965</c:v>
                </c:pt>
                <c:pt idx="192">
                  <c:v>1.3699149807376334</c:v>
                </c:pt>
                <c:pt idx="193">
                  <c:v>1.355848404530664</c:v>
                </c:pt>
                <c:pt idx="194">
                  <c:v>1.3419572847511951</c:v>
                </c:pt>
                <c:pt idx="195">
                  <c:v>1.3282388281151769</c:v>
                </c:pt>
                <c:pt idx="196">
                  <c:v>1.3146902958106865</c:v>
                </c:pt>
                <c:pt idx="197">
                  <c:v>1.3013090022388467</c:v>
                </c:pt>
                <c:pt idx="198">
                  <c:v>1.2880923137884392</c:v>
                </c:pt>
                <c:pt idx="199">
                  <c:v>1.2750376476431742</c:v>
                </c:pt>
                <c:pt idx="200">
                  <c:v>1.2621424706206297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01-4995-8D1B-32BA3094C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951872"/>
        <c:axId val="157949952"/>
      </c:lineChart>
      <c:catAx>
        <c:axId val="157945856"/>
        <c:scaling>
          <c:orientation val="minMax"/>
        </c:scaling>
        <c:delete val="0"/>
        <c:axPos val="b"/>
        <c:majorGridlines>
          <c:spPr>
            <a:ln w="158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0000FF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>
                    <a:solidFill>
                      <a:srgbClr val="0000FF"/>
                    </a:solidFill>
                    <a:latin typeface="Arial" pitchFamily="34" charset="0"/>
                    <a:cs typeface="Arial" pitchFamily="34" charset="0"/>
                  </a:rPr>
                  <a:t>Input Voltage (V)</a:t>
                </a:r>
              </a:p>
            </c:rich>
          </c:tx>
          <c:layout>
            <c:manualLayout>
              <c:xMode val="edge"/>
              <c:yMode val="edge"/>
              <c:x val="0.41625343343709942"/>
              <c:y val="0.9457191357373133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FF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57947776"/>
        <c:crosses val="autoZero"/>
        <c:auto val="1"/>
        <c:lblAlgn val="ctr"/>
        <c:lblOffset val="100"/>
        <c:tickLblSkip val="50"/>
        <c:tickMarkSkip val="25"/>
        <c:noMultiLvlLbl val="1"/>
      </c:catAx>
      <c:valAx>
        <c:axId val="157947776"/>
        <c:scaling>
          <c:orientation val="minMax"/>
          <c:max val="100"/>
          <c:min val="80"/>
        </c:scaling>
        <c:delete val="0"/>
        <c:axPos val="l"/>
        <c:majorGridlines>
          <c:spPr>
            <a:ln w="15875">
              <a:solidFill>
                <a:srgbClr val="80808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300" b="1" i="0" u="none" strike="noStrike" baseline="0">
                    <a:solidFill>
                      <a:srgbClr val="FF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 sz="1300" b="1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rPr>
                  <a:t>Efficiency (%)</a:t>
                </a:r>
              </a:p>
            </c:rich>
          </c:tx>
          <c:layout>
            <c:manualLayout>
              <c:xMode val="edge"/>
              <c:yMode val="edge"/>
              <c:x val="1.2871858674081443E-2"/>
              <c:y val="0.376381779156883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zh-CN"/>
          </a:p>
        </c:txPr>
        <c:crossAx val="157945856"/>
        <c:crosses val="autoZero"/>
        <c:crossBetween val="between"/>
        <c:majorUnit val="5"/>
        <c:minorUnit val="2.5"/>
      </c:valAx>
      <c:valAx>
        <c:axId val="15794995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 b="1"/>
                </a:pPr>
                <a:r>
                  <a:rPr lang="en-US" sz="1400" b="1"/>
                  <a:t>Power Loss (W)</a:t>
                </a:r>
              </a:p>
            </c:rich>
          </c:tx>
          <c:layout>
            <c:manualLayout>
              <c:xMode val="edge"/>
              <c:yMode val="edge"/>
              <c:x val="0.95594291793250197"/>
              <c:y val="0.37048873366731228"/>
            </c:manualLayout>
          </c:layout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1100" b="1">
                <a:solidFill>
                  <a:sysClr val="windowText" lastClr="000000"/>
                </a:solidFill>
              </a:defRPr>
            </a:pPr>
            <a:endParaRPr lang="zh-CN"/>
          </a:p>
        </c:txPr>
        <c:crossAx val="157951872"/>
        <c:crosses val="max"/>
        <c:crossBetween val="between"/>
      </c:valAx>
      <c:catAx>
        <c:axId val="157951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794995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37214586160317298"/>
          <c:y val="1.1892546194234431E-2"/>
          <c:w val="0.6110537765428794"/>
          <c:h val="9.05765609084236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 pitchFamily="34" charset="0"/>
              <a:ea typeface="Calibri"/>
              <a:cs typeface="Arial" pitchFamily="34" charset="0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solidFill>
        <a:srgbClr val="808080"/>
      </a:solidFill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 paperSize="5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 MOSFET Temp Rise</a:t>
            </a:r>
          </a:p>
        </c:rich>
      </c:tx>
      <c:layout>
        <c:manualLayout>
          <c:xMode val="edge"/>
          <c:yMode val="edge"/>
          <c:x val="0.42625201261607004"/>
          <c:y val="5.3971744656178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4104795743185"/>
          <c:y val="0.15757606845026328"/>
          <c:w val="0.85614122031885154"/>
          <c:h val="0.71717313204926625"/>
        </c:manualLayout>
      </c:layout>
      <c:scatterChart>
        <c:scatterStyle val="lineMarker"/>
        <c:varyColors val="0"/>
        <c:ser>
          <c:idx val="0"/>
          <c:order val="0"/>
          <c:tx>
            <c:v>High-side MOSFET</c:v>
          </c:tx>
          <c:spPr>
            <a:ln w="3175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Calculations'!$BE$9:$BE$209</c:f>
              <c:numCache>
                <c:formatCode>0.0</c:formatCode>
                <c:ptCount val="201"/>
                <c:pt idx="0">
                  <c:v>-442.66676685433151</c:v>
                </c:pt>
                <c:pt idx="1">
                  <c:v>-450.76191758160553</c:v>
                </c:pt>
                <c:pt idx="2">
                  <c:v>-459.14640091539371</c:v>
                </c:pt>
                <c:pt idx="3">
                  <c:v>-467.83574988957241</c:v>
                </c:pt>
                <c:pt idx="4">
                  <c:v>-476.84663458518378</c:v>
                </c:pt>
                <c:pt idx="5">
                  <c:v>-486.19696798564433</c:v>
                </c:pt>
                <c:pt idx="6">
                  <c:v>-495.90602388668151</c:v>
                </c:pt>
                <c:pt idx="7">
                  <c:v>-505.99456849330824</c:v>
                </c:pt>
                <c:pt idx="8">
                  <c:v>-516.48500759374872</c:v>
                </c:pt>
                <c:pt idx="9">
                  <c:v>-527.40155150449698</c:v>
                </c:pt>
                <c:pt idx="10">
                  <c:v>-538.77040034118716</c:v>
                </c:pt>
                <c:pt idx="11">
                  <c:v>-550.61995259848027</c:v>
                </c:pt>
                <c:pt idx="12">
                  <c:v>-562.9810405332978</c:v>
                </c:pt>
                <c:pt idx="13">
                  <c:v>-575.88719645754088</c:v>
                </c:pt>
                <c:pt idx="14">
                  <c:v>-589.37495478141727</c:v>
                </c:pt>
                <c:pt idx="15">
                  <c:v>-603.48419553490737</c:v>
                </c:pt>
                <c:pt idx="16">
                  <c:v>-618.25853616816437</c:v>
                </c:pt>
                <c:pt idx="17">
                  <c:v>-633.74577973655209</c:v>
                </c:pt>
                <c:pt idx="18">
                  <c:v>-649.99842916959869</c:v>
                </c:pt>
                <c:pt idx="19">
                  <c:v>-667.0742792779937</c:v>
                </c:pt>
                <c:pt idx="20">
                  <c:v>-685.03710056232319</c:v>
                </c:pt>
                <c:pt idx="21">
                  <c:v>-703.9574318721659</c:v>
                </c:pt>
                <c:pt idx="22">
                  <c:v>-723.91350268118822</c:v>
                </c:pt>
                <c:pt idx="23">
                  <c:v>-744.99231039821041</c:v>
                </c:pt>
                <c:pt idx="24">
                  <c:v>-767.29088399589421</c:v>
                </c:pt>
                <c:pt idx="25">
                  <c:v>-790.91777266624251</c:v>
                </c:pt>
                <c:pt idx="26">
                  <c:v>-815.99480768425076</c:v>
                </c:pt>
                <c:pt idx="27">
                  <c:v>-842.65919782317769</c:v>
                </c:pt>
                <c:pt idx="28">
                  <c:v>-871.06603439320304</c:v>
                </c:pt>
                <c:pt idx="29">
                  <c:v>-901.39130247090441</c:v>
                </c:pt>
                <c:pt idx="30">
                  <c:v>-933.83552181143762</c:v>
                </c:pt>
                <c:pt idx="31">
                  <c:v>-968.62817661001031</c:v>
                </c:pt>
                <c:pt idx="32">
                  <c:v>-1006.0331409824063</c:v>
                </c:pt>
                <c:pt idx="33">
                  <c:v>-1046.3553714474272</c:v>
                </c:pt>
                <c:pt idx="34">
                  <c:v>-1089.9492255844525</c:v>
                </c:pt>
                <c:pt idx="35">
                  <c:v>-1137.2288873157875</c:v>
                </c:pt>
                <c:pt idx="36">
                  <c:v>-1188.6815486381997</c:v>
                </c:pt>
                <c:pt idx="37">
                  <c:v>-1244.8842372734975</c:v>
                </c:pt>
                <c:pt idx="38">
                  <c:v>-1306.5255235832158</c:v>
                </c:pt>
                <c:pt idx="39">
                  <c:v>-1374.433841124797</c:v>
                </c:pt>
                <c:pt idx="40">
                  <c:v>-1449.6148974898294</c:v>
                </c:pt>
                <c:pt idx="41">
                  <c:v>-1533.3017719023985</c:v>
                </c:pt>
                <c:pt idx="42">
                  <c:v>-1627.0230196563493</c:v>
                </c:pt>
                <c:pt idx="43">
                  <c:v>-1732.6968155723775</c:v>
                </c:pt>
                <c:pt idx="44">
                  <c:v>-1852.7635420355484</c:v>
                </c:pt>
                <c:pt idx="45">
                  <c:v>-1990.3764750752732</c:v>
                </c:pt>
                <c:pt idx="46">
                  <c:v>-2149.6826090498198</c:v>
                </c:pt>
                <c:pt idx="47">
                  <c:v>-2336.2475819554811</c:v>
                </c:pt>
                <c:pt idx="48">
                  <c:v>-2557.7190357646723</c:v>
                </c:pt>
                <c:pt idx="49">
                  <c:v>-2824.9006050957537</c:v>
                </c:pt>
                <c:pt idx="50">
                  <c:v>-3153.5671962796932</c:v>
                </c:pt>
                <c:pt idx="51">
                  <c:v>-3567.6960828444057</c:v>
                </c:pt>
                <c:pt idx="52">
                  <c:v>-4105.5946071150338</c:v>
                </c:pt>
                <c:pt idx="53">
                  <c:v>-4832.4861863654951</c:v>
                </c:pt>
                <c:pt idx="54">
                  <c:v>-5869.1880139890836</c:v>
                </c:pt>
                <c:pt idx="55">
                  <c:v>-7467.3830827653692</c:v>
                </c:pt>
                <c:pt idx="56">
                  <c:v>-10252.607018438977</c:v>
                </c:pt>
                <c:pt idx="57">
                  <c:v>-16328.45372237885</c:v>
                </c:pt>
                <c:pt idx="58">
                  <c:v>-39942.96477019594</c:v>
                </c:pt>
                <c:pt idx="59">
                  <c:v>90212.121757796602</c:v>
                </c:pt>
                <c:pt idx="60">
                  <c:v>21222.789840895937</c:v>
                </c:pt>
                <c:pt idx="61">
                  <c:v>12038.514341321446</c:v>
                </c:pt>
                <c:pt idx="62">
                  <c:v>8408.4765851833745</c:v>
                </c:pt>
                <c:pt idx="63">
                  <c:v>6464.0523981961733</c:v>
                </c:pt>
                <c:pt idx="64">
                  <c:v>5252.404710907651</c:v>
                </c:pt>
                <c:pt idx="65">
                  <c:v>4424.9873019267543</c:v>
                </c:pt>
                <c:pt idx="66">
                  <c:v>3824.0515102707172</c:v>
                </c:pt>
                <c:pt idx="67">
                  <c:v>3367.8067656166959</c:v>
                </c:pt>
                <c:pt idx="68">
                  <c:v>3009.6142434020203</c:v>
                </c:pt>
                <c:pt idx="69">
                  <c:v>2720.9347347482812</c:v>
                </c:pt>
                <c:pt idx="70">
                  <c:v>2483.3250256278343</c:v>
                </c:pt>
                <c:pt idx="71">
                  <c:v>2284.3362155977056</c:v>
                </c:pt>
                <c:pt idx="72">
                  <c:v>2115.2614259275838</c:v>
                </c:pt>
                <c:pt idx="73">
                  <c:v>1969.8280535409399</c:v>
                </c:pt>
                <c:pt idx="74">
                  <c:v>1843.4026272609592</c:v>
                </c:pt>
                <c:pt idx="75">
                  <c:v>1732.4882268168994</c:v>
                </c:pt>
                <c:pt idx="76">
                  <c:v>1634.3961354666465</c:v>
                </c:pt>
                <c:pt idx="77">
                  <c:v>1547.025105497906</c:v>
                </c:pt>
                <c:pt idx="78">
                  <c:v>1468.709220468673</c:v>
                </c:pt>
                <c:pt idx="79">
                  <c:v>1398.1107084581904</c:v>
                </c:pt>
                <c:pt idx="80">
                  <c:v>1334.1429386476789</c:v>
                </c:pt>
                <c:pt idx="81">
                  <c:v>1275.9141296765306</c:v>
                </c:pt>
                <c:pt idx="82">
                  <c:v>1222.6855492589095</c:v>
                </c:pt>
                <c:pt idx="83">
                  <c:v>1173.8400318501951</c:v>
                </c:pt>
                <c:pt idx="84">
                  <c:v>1128.8579603725316</c:v>
                </c:pt>
                <c:pt idx="85">
                  <c:v>1087.2987259071526</c:v>
                </c:pt>
                <c:pt idx="86">
                  <c:v>1048.7862611139476</c:v>
                </c:pt>
                <c:pt idx="87">
                  <c:v>1012.9976399968415</c:v>
                </c:pt>
                <c:pt idx="88">
                  <c:v>979.65401161939542</c:v>
                </c:pt>
                <c:pt idx="89">
                  <c:v>948.513328701266</c:v>
                </c:pt>
                <c:pt idx="90">
                  <c:v>919.3644697760767</c:v>
                </c:pt>
                <c:pt idx="91">
                  <c:v>892.02245296720935</c:v>
                </c:pt>
                <c:pt idx="92">
                  <c:v>866.32451196151305</c:v>
                </c:pt>
                <c:pt idx="93">
                  <c:v>842.12685825880135</c:v>
                </c:pt>
                <c:pt idx="94">
                  <c:v>819.30199363596512</c:v>
                </c:pt>
                <c:pt idx="95">
                  <c:v>797.73646674459167</c:v>
                </c:pt>
                <c:pt idx="96">
                  <c:v>777.32899050859373</c:v>
                </c:pt>
                <c:pt idx="97">
                  <c:v>757.98885439157436</c:v>
                </c:pt>
                <c:pt idx="98">
                  <c:v>739.63457902214566</c:v>
                </c:pt>
                <c:pt idx="99">
                  <c:v>722.19277108774406</c:v>
                </c:pt>
                <c:pt idx="100">
                  <c:v>705.5971445589953</c:v>
                </c:pt>
                <c:pt idx="101">
                  <c:v>689.78768072413152</c:v>
                </c:pt>
                <c:pt idx="102">
                  <c:v>674.70990459671611</c:v>
                </c:pt>
                <c:pt idx="103">
                  <c:v>660.31425931110971</c:v>
                </c:pt>
                <c:pt idx="104">
                  <c:v>646.55556336644577</c:v>
                </c:pt>
                <c:pt idx="105">
                  <c:v>633.39253819535975</c:v>
                </c:pt>
                <c:pt idx="106">
                  <c:v>620.78739565158378</c:v>
                </c:pt>
                <c:pt idx="107">
                  <c:v>608.70547673377723</c:v>
                </c:pt>
                <c:pt idx="108">
                  <c:v>597.1149342717456</c:v>
                </c:pt>
                <c:pt idx="109">
                  <c:v>585.9864534578702</c:v>
                </c:pt>
                <c:pt idx="110">
                  <c:v>575.29300506041398</c:v>
                </c:pt>
                <c:pt idx="111">
                  <c:v>565.00962694504665</c:v>
                </c:pt>
                <c:pt idx="112">
                  <c:v>555.1132301873173</c:v>
                </c:pt>
                <c:pt idx="113">
                  <c:v>545.58242660637518</c:v>
                </c:pt>
                <c:pt idx="114">
                  <c:v>536.39737500874674</c:v>
                </c:pt>
                <c:pt idx="115">
                  <c:v>527.53964381616436</c:v>
                </c:pt>
                <c:pt idx="116">
                  <c:v>518.99208807615696</c:v>
                </c:pt>
                <c:pt idx="117">
                  <c:v>510.73873912868874</c:v>
                </c:pt>
                <c:pt idx="118">
                  <c:v>502.76470543506395</c:v>
                </c:pt>
                <c:pt idx="119">
                  <c:v>495.05608327346209</c:v>
                </c:pt>
                <c:pt idx="120">
                  <c:v>487.59987617453413</c:v>
                </c:pt>
                <c:pt idx="121">
                  <c:v>480.38392211515486</c:v>
                </c:pt>
                <c:pt idx="122">
                  <c:v>473.39682761248037</c:v>
                </c:pt>
                <c:pt idx="123">
                  <c:v>466.6279079672064</c:v>
                </c:pt>
                <c:pt idx="124">
                  <c:v>460.06713299691233</c:v>
                </c:pt>
                <c:pt idx="125">
                  <c:v>453.70507767991012</c:v>
                </c:pt>
                <c:pt idx="126">
                  <c:v>447.53287719889806</c:v>
                </c:pt>
                <c:pt idx="127">
                  <c:v>441.54218593353579</c:v>
                </c:pt>
                <c:pt idx="128">
                  <c:v>435.72514000310048</c:v>
                </c:pt>
                <c:pt idx="129">
                  <c:v>430.07432300576613</c:v>
                </c:pt>
                <c:pt idx="130">
                  <c:v>424.5827346407026</c:v>
                </c:pt>
                <c:pt idx="131">
                  <c:v>419.24376193391055</c:v>
                </c:pt>
                <c:pt idx="132">
                  <c:v>414.05115281916716</c:v>
                </c:pt>
                <c:pt idx="133">
                  <c:v>408.99899185221551</c:v>
                </c:pt>
                <c:pt idx="134">
                  <c:v>404.08167785991731</c:v>
                </c:pt>
                <c:pt idx="135">
                  <c:v>399.29390334685542</c:v>
                </c:pt>
                <c:pt idx="136">
                  <c:v>394.63063550025686</c:v>
                </c:pt>
                <c:pt idx="137">
                  <c:v>390.08709865036201</c:v>
                </c:pt>
                <c:pt idx="138">
                  <c:v>385.65875805776972</c:v>
                </c:pt>
                <c:pt idx="139">
                  <c:v>381.34130491209783</c:v>
                </c:pt>
                <c:pt idx="140">
                  <c:v>377.13064243766684</c:v>
                </c:pt>
                <c:pt idx="141">
                  <c:v>373.02287301206354</c:v>
                </c:pt>
                <c:pt idx="142">
                  <c:v>369.01428621246907</c:v>
                </c:pt>
                <c:pt idx="143">
                  <c:v>365.10134771272362</c:v>
                </c:pt>
                <c:pt idx="144">
                  <c:v>361.28068896131811</c:v>
                </c:pt>
                <c:pt idx="145">
                  <c:v>357.54909757697408</c:v>
                </c:pt>
                <c:pt idx="146">
                  <c:v>353.90350840427885</c:v>
                </c:pt>
                <c:pt idx="147">
                  <c:v>350.34099517705226</c:v>
                </c:pt>
                <c:pt idx="148">
                  <c:v>346.85876274181209</c:v>
                </c:pt>
                <c:pt idx="149">
                  <c:v>343.45413979792261</c:v>
                </c:pt>
                <c:pt idx="150">
                  <c:v>340.12457211481183</c:v>
                </c:pt>
                <c:pt idx="151">
                  <c:v>336.86761619008496</c:v>
                </c:pt>
                <c:pt idx="152">
                  <c:v>333.68093331545083</c:v>
                </c:pt>
                <c:pt idx="153">
                  <c:v>330.56228402019769</c:v>
                </c:pt>
                <c:pt idx="154">
                  <c:v>327.50952286448307</c:v>
                </c:pt>
                <c:pt idx="155">
                  <c:v>324.52059355701277</c:v>
                </c:pt>
                <c:pt idx="156">
                  <c:v>321.5935243737764</c:v>
                </c:pt>
                <c:pt idx="157">
                  <c:v>318.72642385639904</c:v>
                </c:pt>
                <c:pt idx="158">
                  <c:v>315.91747677039859</c:v>
                </c:pt>
                <c:pt idx="159">
                  <c:v>313.16494030521591</c:v>
                </c:pt>
                <c:pt idx="160">
                  <c:v>310.46714049930534</c:v>
                </c:pt>
                <c:pt idx="161">
                  <c:v>307.82246887489163</c:v>
                </c:pt>
                <c:pt idx="162">
                  <c:v>305.22937926818406</c:v>
                </c:pt>
                <c:pt idx="163">
                  <c:v>302.68638484193013</c:v>
                </c:pt>
                <c:pt idx="164">
                  <c:v>300.19205526819087</c:v>
                </c:pt>
                <c:pt idx="165">
                  <c:v>297.74501407012457</c:v>
                </c:pt>
                <c:pt idx="166">
                  <c:v>295.34393611241177</c:v>
                </c:pt>
                <c:pt idx="167">
                  <c:v>292.98754523070909</c:v>
                </c:pt>
                <c:pt idx="168">
                  <c:v>290.67461199123255</c:v>
                </c:pt>
                <c:pt idx="169">
                  <c:v>288.40395157220985</c:v>
                </c:pt>
                <c:pt idx="170">
                  <c:v>286.17442175953818</c:v>
                </c:pt>
                <c:pt idx="171">
                  <c:v>283.98492104953056</c:v>
                </c:pt>
                <c:pt idx="172">
                  <c:v>281.83438685213133</c:v>
                </c:pt>
                <c:pt idx="173">
                  <c:v>279.72179378845084</c:v>
                </c:pt>
                <c:pt idx="174">
                  <c:v>277.64615207689394</c:v>
                </c:pt>
                <c:pt idx="175">
                  <c:v>275.60650600254678</c:v>
                </c:pt>
                <c:pt idx="176">
                  <c:v>273.60193246485716</c:v>
                </c:pt>
                <c:pt idx="177">
                  <c:v>271.63153959897409</c:v>
                </c:pt>
                <c:pt idx="178">
                  <c:v>269.69446546642428</c:v>
                </c:pt>
                <c:pt idx="179">
                  <c:v>267.78987681109345</c:v>
                </c:pt>
                <c:pt idx="180">
                  <c:v>265.9169678767405</c:v>
                </c:pt>
                <c:pt idx="181">
                  <c:v>264.07495928252621</c:v>
                </c:pt>
                <c:pt idx="182">
                  <c:v>262.26309695326154</c:v>
                </c:pt>
                <c:pt idx="183">
                  <c:v>260.48065110129153</c:v>
                </c:pt>
                <c:pt idx="184">
                  <c:v>258.72691525713708</c:v>
                </c:pt>
                <c:pt idx="185">
                  <c:v>257.00120534618344</c:v>
                </c:pt>
                <c:pt idx="186">
                  <c:v>255.30285880889107</c:v>
                </c:pt>
                <c:pt idx="187">
                  <c:v>253.63123376215034</c:v>
                </c:pt>
                <c:pt idx="188">
                  <c:v>251.98570819955276</c:v>
                </c:pt>
                <c:pt idx="189">
                  <c:v>250.36567922849096</c:v>
                </c:pt>
                <c:pt idx="190">
                  <c:v>248.77056234211992</c:v>
                </c:pt>
                <c:pt idx="191">
                  <c:v>247.1997907243391</c:v>
                </c:pt>
                <c:pt idx="192">
                  <c:v>245.65281458605764</c:v>
                </c:pt>
                <c:pt idx="193">
                  <c:v>244.12910053111588</c:v>
                </c:pt>
                <c:pt idx="194">
                  <c:v>242.62813095032533</c:v>
                </c:pt>
                <c:pt idx="195">
                  <c:v>241.14940344218553</c:v>
                </c:pt>
                <c:pt idx="196">
                  <c:v>239.69243025891734</c:v>
                </c:pt>
                <c:pt idx="197">
                  <c:v>238.25673777652972</c:v>
                </c:pt>
                <c:pt idx="198">
                  <c:v>236.84186598771441</c:v>
                </c:pt>
                <c:pt idx="199">
                  <c:v>235.44736801642841</c:v>
                </c:pt>
                <c:pt idx="200">
                  <c:v>234.07280965308973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9C-4AA8-B027-F089379DDFE3}"/>
            </c:ext>
          </c:extLst>
        </c:ser>
        <c:ser>
          <c:idx val="1"/>
          <c:order val="1"/>
          <c:tx>
            <c:v>Low-side MOSFET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Calculations'!$BF$9:$BF$209</c:f>
              <c:numCache>
                <c:formatCode>0.0</c:formatCode>
                <c:ptCount val="201"/>
                <c:pt idx="0">
                  <c:v>514.6959487165484</c:v>
                </c:pt>
                <c:pt idx="1">
                  <c:v>507.02756384859367</c:v>
                </c:pt>
                <c:pt idx="2">
                  <c:v>499.46035485350205</c:v>
                </c:pt>
                <c:pt idx="3">
                  <c:v>492.00285206701091</c:v>
                </c:pt>
                <c:pt idx="4">
                  <c:v>484.66192020431913</c:v>
                </c:pt>
                <c:pt idx="5">
                  <c:v>477.44297582825004</c:v>
                </c:pt>
                <c:pt idx="6">
                  <c:v>470.35017968481918</c:v>
                </c:pt>
                <c:pt idx="7">
                  <c:v>463.38660643323249</c:v>
                </c:pt>
                <c:pt idx="8">
                  <c:v>456.55439412908703</c:v>
                </c:pt>
                <c:pt idx="9">
                  <c:v>449.85487563826848</c:v>
                </c:pt>
                <c:pt idx="10">
                  <c:v>443.28869397395289</c:v>
                </c:pt>
                <c:pt idx="11">
                  <c:v>436.85590336669611</c:v>
                </c:pt>
                <c:pt idx="12">
                  <c:v>430.55605770218949</c:v>
                </c:pt>
                <c:pt idx="13">
                  <c:v>424.38828779560305</c:v>
                </c:pt>
                <c:pt idx="14">
                  <c:v>418.35136881721348</c:v>
                </c:pt>
                <c:pt idx="15">
                  <c:v>412.4437790419405</c:v>
                </c:pt>
                <c:pt idx="16">
                  <c:v>406.66375096564468</c:v>
                </c:pt>
                <c:pt idx="17">
                  <c:v>401.00931571340021</c:v>
                </c:pt>
                <c:pt idx="18">
                  <c:v>395.47834155885965</c:v>
                </c:pt>
                <c:pt idx="19">
                  <c:v>390.06856727861623</c:v>
                </c:pt>
                <c:pt idx="20">
                  <c:v>384.77763098038372</c:v>
                </c:pt>
                <c:pt idx="21">
                  <c:v>379.60309496798061</c:v>
                </c:pt>
                <c:pt idx="22">
                  <c:v>374.54246713875284</c:v>
                </c:pt>
                <c:pt idx="23">
                  <c:v>369.59321934935127</c:v>
                </c:pt>
                <c:pt idx="24">
                  <c:v>364.75280313294627</c:v>
                </c:pt>
                <c:pt idx="25">
                  <c:v>360.01866310431831</c:v>
                </c:pt>
                <c:pt idx="26">
                  <c:v>355.38824834809162</c:v>
                </c:pt>
                <c:pt idx="27">
                  <c:v>350.85902204912259</c:v>
                </c:pt>
                <c:pt idx="28">
                  <c:v>346.42846959215717</c:v>
                </c:pt>
                <c:pt idx="29">
                  <c:v>342.09410532978171</c:v>
                </c:pt>
                <c:pt idx="30">
                  <c:v>337.85347819305736</c:v>
                </c:pt>
                <c:pt idx="31">
                  <c:v>333.70417629753695</c:v>
                </c:pt>
                <c:pt idx="32">
                  <c:v>329.6438306783682</c:v>
                </c:pt>
                <c:pt idx="33">
                  <c:v>325.6701182714811</c:v>
                </c:pt>
                <c:pt idx="34">
                  <c:v>321.78076424322245</c:v>
                </c:pt>
                <c:pt idx="35">
                  <c:v>317.97354375795896</c:v>
                </c:pt>
                <c:pt idx="36">
                  <c:v>314.24628326189548</c:v>
                </c:pt>
                <c:pt idx="37">
                  <c:v>310.59686135150571</c:v>
                </c:pt>
                <c:pt idx="38">
                  <c:v>307.02320928628347</c:v>
                </c:pt>
                <c:pt idx="39">
                  <c:v>303.52331119796776</c:v>
                </c:pt>
                <c:pt idx="40">
                  <c:v>300.09520404172281</c:v>
                </c:pt>
                <c:pt idx="41">
                  <c:v>296.73697732893436</c:v>
                </c:pt>
                <c:pt idx="42">
                  <c:v>293.44677267617948</c:v>
                </c:pt>
                <c:pt idx="43">
                  <c:v>290.22278320044535</c:v>
                </c:pt>
                <c:pt idx="44">
                  <c:v>287.06325278675752</c:v>
                </c:pt>
                <c:pt idx="45">
                  <c:v>283.96647525094767</c:v>
                </c:pt>
                <c:pt idx="46">
                  <c:v>280.93079341726803</c:v>
                </c:pt>
                <c:pt idx="47">
                  <c:v>277.9545981279461</c:v>
                </c:pt>
                <c:pt idx="48">
                  <c:v>275.03632719945119</c:v>
                </c:pt>
                <c:pt idx="49">
                  <c:v>272.17446433823204</c:v>
                </c:pt>
                <c:pt idx="50">
                  <c:v>269.36753802691982</c:v>
                </c:pt>
                <c:pt idx="51">
                  <c:v>266.61412039044205</c:v>
                </c:pt>
                <c:pt idx="52">
                  <c:v>263.91282605014106</c:v>
                </c:pt>
                <c:pt idx="53">
                  <c:v>261.26231097281629</c:v>
                </c:pt>
                <c:pt idx="54">
                  <c:v>258.66127132057181</c:v>
                </c:pt>
                <c:pt idx="55">
                  <c:v>256.10844230644886</c:v>
                </c:pt>
                <c:pt idx="56">
                  <c:v>253.60259706004561</c:v>
                </c:pt>
                <c:pt idx="57">
                  <c:v>251.14254550663321</c:v>
                </c:pt>
                <c:pt idx="58">
                  <c:v>248.72713326268698</c:v>
                </c:pt>
                <c:pt idx="59">
                  <c:v>246.35524055022739</c:v>
                </c:pt>
                <c:pt idx="60">
                  <c:v>244.02578113192197</c:v>
                </c:pt>
                <c:pt idx="61">
                  <c:v>241.73770126850152</c:v>
                </c:pt>
                <c:pt idx="62">
                  <c:v>239.48997869971186</c:v>
                </c:pt>
                <c:pt idx="63">
                  <c:v>237.28162164972505</c:v>
                </c:pt>
                <c:pt idx="64">
                  <c:v>235.11166785768393</c:v>
                </c:pt>
                <c:pt idx="65">
                  <c:v>232.97918363383849</c:v>
                </c:pt>
                <c:pt idx="66">
                  <c:v>230.88326294154368</c:v>
                </c:pt>
                <c:pt idx="67">
                  <c:v>228.823026505228</c:v>
                </c:pt>
                <c:pt idx="68">
                  <c:v>226.79762094431575</c:v>
                </c:pt>
                <c:pt idx="69">
                  <c:v>224.80621793295649</c:v>
                </c:pt>
                <c:pt idx="70">
                  <c:v>222.84801338533251</c:v>
                </c:pt>
                <c:pt idx="71">
                  <c:v>220.92222666622612</c:v>
                </c:pt>
                <c:pt idx="72">
                  <c:v>219.02809982646326</c:v>
                </c:pt>
                <c:pt idx="73">
                  <c:v>217.1648968627959</c:v>
                </c:pt>
                <c:pt idx="74">
                  <c:v>215.33190300173945</c:v>
                </c:pt>
                <c:pt idx="75">
                  <c:v>213.52842400684642</c:v>
                </c:pt>
                <c:pt idx="76">
                  <c:v>211.7537855088687</c:v>
                </c:pt>
                <c:pt idx="77">
                  <c:v>210.00733235824214</c:v>
                </c:pt>
                <c:pt idx="78">
                  <c:v>208.28842799930715</c:v>
                </c:pt>
                <c:pt idx="79">
                  <c:v>206.59645386567408</c:v>
                </c:pt>
                <c:pt idx="80">
                  <c:v>204.93080879613248</c:v>
                </c:pt>
                <c:pt idx="81">
                  <c:v>203.29090847050117</c:v>
                </c:pt>
                <c:pt idx="82">
                  <c:v>201.67618486482107</c:v>
                </c:pt>
                <c:pt idx="83">
                  <c:v>200.086085725289</c:v>
                </c:pt>
                <c:pt idx="84">
                  <c:v>198.52007406034403</c:v>
                </c:pt>
                <c:pt idx="85">
                  <c:v>196.97762765032093</c:v>
                </c:pt>
                <c:pt idx="86">
                  <c:v>195.45823857409377</c:v>
                </c:pt>
                <c:pt idx="87">
                  <c:v>193.9614127521493</c:v>
                </c:pt>
                <c:pt idx="88">
                  <c:v>192.48666950553334</c:v>
                </c:pt>
                <c:pt idx="89">
                  <c:v>191.03354113013131</c:v>
                </c:pt>
                <c:pt idx="90">
                  <c:v>189.60157248575513</c:v>
                </c:pt>
                <c:pt idx="91">
                  <c:v>188.19032059952249</c:v>
                </c:pt>
                <c:pt idx="92">
                  <c:v>186.7993542830275</c:v>
                </c:pt>
                <c:pt idx="93">
                  <c:v>185.42825376281704</c:v>
                </c:pt>
                <c:pt idx="94">
                  <c:v>184.07661032370174</c:v>
                </c:pt>
                <c:pt idx="95">
                  <c:v>182.74402596444156</c:v>
                </c:pt>
                <c:pt idx="96">
                  <c:v>181.43011306536479</c:v>
                </c:pt>
                <c:pt idx="97">
                  <c:v>180.13449406749018</c:v>
                </c:pt>
                <c:pt idx="98">
                  <c:v>178.85680116273568</c:v>
                </c:pt>
                <c:pt idx="99">
                  <c:v>177.59667599481429</c:v>
                </c:pt>
                <c:pt idx="100">
                  <c:v>176.35376937042747</c:v>
                </c:pt>
                <c:pt idx="101">
                  <c:v>175.12774098038167</c:v>
                </c:pt>
                <c:pt idx="102">
                  <c:v>173.9182591302658</c:v>
                </c:pt>
                <c:pt idx="103">
                  <c:v>172.72500048034226</c:v>
                </c:pt>
                <c:pt idx="104">
                  <c:v>171.54764979431275</c:v>
                </c:pt>
                <c:pt idx="105">
                  <c:v>170.38589969663514</c:v>
                </c:pt>
                <c:pt idx="106">
                  <c:v>169.2394504380803</c:v>
                </c:pt>
                <c:pt idx="107">
                  <c:v>168.10800966922434</c:v>
                </c:pt>
                <c:pt idx="108">
                  <c:v>166.99129222158797</c:v>
                </c:pt>
                <c:pt idx="109">
                  <c:v>165.88901989614396</c:v>
                </c:pt>
                <c:pt idx="110">
                  <c:v>164.80092125892173</c:v>
                </c:pt>
                <c:pt idx="111">
                  <c:v>163.72673144345055</c:v>
                </c:pt>
                <c:pt idx="112">
                  <c:v>162.66619195979283</c:v>
                </c:pt>
                <c:pt idx="113">
                  <c:v>161.6190505099261</c:v>
                </c:pt>
                <c:pt idx="114">
                  <c:v>160.58506080924317</c:v>
                </c:pt>
                <c:pt idx="115">
                  <c:v>159.56398241394857</c:v>
                </c:pt>
                <c:pt idx="116">
                  <c:v>158.55558055413709</c:v>
                </c:pt>
                <c:pt idx="117">
                  <c:v>157.55962597234773</c:v>
                </c:pt>
                <c:pt idx="118">
                  <c:v>156.57589476739699</c:v>
                </c:pt>
                <c:pt idx="119">
                  <c:v>155.60416824329954</c:v>
                </c:pt>
                <c:pt idx="120">
                  <c:v>154.64423276309364</c:v>
                </c:pt>
                <c:pt idx="121">
                  <c:v>153.69587960739551</c:v>
                </c:pt>
                <c:pt idx="122">
                  <c:v>152.7589048375124</c:v>
                </c:pt>
                <c:pt idx="123">
                  <c:v>151.83310916295193</c:v>
                </c:pt>
                <c:pt idx="124">
                  <c:v>150.91829781317057</c:v>
                </c:pt>
                <c:pt idx="125">
                  <c:v>150.01428041341137</c:v>
                </c:pt>
                <c:pt idx="126">
                  <c:v>149.12087086448395</c:v>
                </c:pt>
                <c:pt idx="127">
                  <c:v>148.23788722634919</c:v>
                </c:pt>
                <c:pt idx="128">
                  <c:v>147.36515160537357</c:v>
                </c:pt>
                <c:pt idx="129">
                  <c:v>146.50249004512361</c:v>
                </c:pt>
                <c:pt idx="130">
                  <c:v>145.64973242057687</c:v>
                </c:pt>
                <c:pt idx="131">
                  <c:v>144.8067123356295</c:v>
                </c:pt>
                <c:pt idx="132">
                  <c:v>143.97326702378581</c:v>
                </c:pt>
                <c:pt idx="133">
                  <c:v>143.14923725191855</c:v>
                </c:pt>
                <c:pt idx="134">
                  <c:v>142.33446722699387</c:v>
                </c:pt>
                <c:pt idx="135">
                  <c:v>141.52880450565871</c:v>
                </c:pt>
                <c:pt idx="136">
                  <c:v>140.73209990659112</c:v>
                </c:pt>
                <c:pt idx="137">
                  <c:v>139.94420742551975</c:v>
                </c:pt>
                <c:pt idx="138">
                  <c:v>139.16498415281978</c:v>
                </c:pt>
                <c:pt idx="139">
                  <c:v>138.39429019359886</c:v>
                </c:pt>
                <c:pt idx="140">
                  <c:v>137.63198859018721</c:v>
                </c:pt>
                <c:pt idx="141">
                  <c:v>136.87794524695042</c:v>
                </c:pt>
                <c:pt idx="142">
                  <c:v>136.13202885734782</c:v>
                </c:pt>
                <c:pt idx="143">
                  <c:v>135.39411083315849</c:v>
                </c:pt>
                <c:pt idx="144">
                  <c:v>134.66406523580429</c:v>
                </c:pt>
                <c:pt idx="145">
                  <c:v>133.94176870969864</c:v>
                </c:pt>
                <c:pt idx="146">
                  <c:v>133.22710041755391</c:v>
                </c:pt>
                <c:pt idx="147">
                  <c:v>132.51994197758171</c:v>
                </c:pt>
                <c:pt idx="148">
                  <c:v>131.82017740252482</c:v>
                </c:pt>
                <c:pt idx="149">
                  <c:v>131.12769304045835</c:v>
                </c:pt>
                <c:pt idx="150">
                  <c:v>130.44237751730395</c:v>
                </c:pt>
                <c:pt idx="151">
                  <c:v>129.76412168099947</c:v>
                </c:pt>
                <c:pt idx="152">
                  <c:v>129.09281854727053</c:v>
                </c:pt>
                <c:pt idx="153">
                  <c:v>128.4283632469525</c:v>
                </c:pt>
                <c:pt idx="154">
                  <c:v>127.77065297481167</c:v>
                </c:pt>
                <c:pt idx="155">
                  <c:v>127.11958693981703</c:v>
                </c:pt>
                <c:pt idx="156">
                  <c:v>126.47506631681746</c:v>
                </c:pt>
                <c:pt idx="157">
                  <c:v>125.83699419957793</c:v>
                </c:pt>
                <c:pt idx="158">
                  <c:v>125.20527555513084</c:v>
                </c:pt>
                <c:pt idx="159">
                  <c:v>124.57981717940297</c:v>
                </c:pt>
                <c:pt idx="160">
                  <c:v>123.96052765407445</c:v>
                </c:pt>
                <c:pt idx="161">
                  <c:v>123.34731730463322</c:v>
                </c:pt>
                <c:pt idx="162">
                  <c:v>122.74009815958618</c:v>
                </c:pt>
                <c:pt idx="163">
                  <c:v>122.13878391079062</c:v>
                </c:pt>
                <c:pt idx="164">
                  <c:v>121.54328987487213</c:v>
                </c:pt>
                <c:pt idx="165">
                  <c:v>120.95353295569309</c:v>
                </c:pt>
                <c:pt idx="166">
                  <c:v>120.36943160784115</c:v>
                </c:pt>
                <c:pt idx="167">
                  <c:v>119.79090580110478</c:v>
                </c:pt>
                <c:pt idx="168">
                  <c:v>119.21787698590573</c:v>
                </c:pt>
                <c:pt idx="169">
                  <c:v>118.65026805965996</c:v>
                </c:pt>
                <c:pt idx="170">
                  <c:v>118.08800333403666</c:v>
                </c:pt>
                <c:pt idx="171">
                  <c:v>117.53100850309042</c:v>
                </c:pt>
                <c:pt idx="172">
                  <c:v>116.97921061223759</c:v>
                </c:pt>
                <c:pt idx="173">
                  <c:v>116.43253802805333</c:v>
                </c:pt>
                <c:pt idx="174">
                  <c:v>115.89092040886283</c:v>
                </c:pt>
                <c:pt idx="175">
                  <c:v>115.35428867610442</c:v>
                </c:pt>
                <c:pt idx="176">
                  <c:v>114.82257498644017</c:v>
                </c:pt>
                <c:pt idx="177">
                  <c:v>114.29571270459233</c:v>
                </c:pt>
                <c:pt idx="178">
                  <c:v>113.77363637688404</c:v>
                </c:pt>
                <c:pt idx="179">
                  <c:v>113.25628170546302</c:v>
                </c:pt>
                <c:pt idx="180">
                  <c:v>112.74358552318837</c:v>
                </c:pt>
                <c:pt idx="181">
                  <c:v>112.23548576916113</c:v>
                </c:pt>
                <c:pt idx="182">
                  <c:v>111.73192146487941</c:v>
                </c:pt>
                <c:pt idx="183">
                  <c:v>111.23283269099964</c:v>
                </c:pt>
                <c:pt idx="184">
                  <c:v>110.73816056468731</c:v>
                </c:pt>
                <c:pt idx="185">
                  <c:v>110.24784721753853</c:v>
                </c:pt>
                <c:pt idx="186">
                  <c:v>109.76183577405789</c:v>
                </c:pt>
                <c:pt idx="187">
                  <c:v>109.28007033067414</c:v>
                </c:pt>
                <c:pt idx="188">
                  <c:v>108.8024959352807</c:v>
                </c:pt>
                <c:pt idx="189">
                  <c:v>108.3290585672848</c:v>
                </c:pt>
                <c:pt idx="190">
                  <c:v>107.8597051181499</c:v>
                </c:pt>
                <c:pt idx="191">
                  <c:v>107.39438337241995</c:v>
                </c:pt>
                <c:pt idx="192">
                  <c:v>106.93304198920839</c:v>
                </c:pt>
                <c:pt idx="193">
                  <c:v>106.47563048414254</c:v>
                </c:pt>
                <c:pt idx="194">
                  <c:v>106.02209921174719</c:v>
                </c:pt>
                <c:pt idx="195">
                  <c:v>105.57239934825739</c:v>
                </c:pt>
                <c:pt idx="196">
                  <c:v>105.12648287484765</c:v>
                </c:pt>
                <c:pt idx="197">
                  <c:v>104.6843025612656</c:v>
                </c:pt>
                <c:pt idx="198">
                  <c:v>104.24581194985983</c:v>
                </c:pt>
                <c:pt idx="199">
                  <c:v>103.8109653399901</c:v>
                </c:pt>
                <c:pt idx="200">
                  <c:v>103.37971777281012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9C-4AA8-B027-F089379DD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47648"/>
        <c:axId val="141949568"/>
      </c:scatterChart>
      <c:valAx>
        <c:axId val="14194764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052333022741466"/>
              <c:y val="0.937985266634570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1949568"/>
        <c:crosses val="autoZero"/>
        <c:crossBetween val="midCat"/>
      </c:valAx>
      <c:valAx>
        <c:axId val="14194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Temperature (</a:t>
                </a:r>
                <a:r>
                  <a:rPr lang="en-US" sz="1100">
                    <a:sym typeface="Symbol"/>
                  </a:rPr>
                  <a:t></a:t>
                </a:r>
                <a:r>
                  <a:rPr lang="en-US" sz="1100"/>
                  <a:t>C)</a:t>
                </a:r>
              </a:p>
            </c:rich>
          </c:tx>
          <c:layout>
            <c:manualLayout>
              <c:xMode val="edge"/>
              <c:yMode val="edge"/>
              <c:x val="1.3813487878384515E-2"/>
              <c:y val="0.40384993295956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1947648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76235382341913138"/>
          <c:y val="3.6399592062826468E-2"/>
          <c:w val="0.19862061359977062"/>
          <c:h val="8.282849492298320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MOSFET &amp;</a:t>
            </a:r>
            <a:r>
              <a:rPr lang="en-US" sz="1200" baseline="0"/>
              <a:t> Inductor</a:t>
            </a:r>
            <a:r>
              <a:rPr lang="en-US" sz="1200"/>
              <a:t> Power Dissipation</a:t>
            </a:r>
          </a:p>
        </c:rich>
      </c:tx>
      <c:layout>
        <c:manualLayout>
          <c:xMode val="edge"/>
          <c:yMode val="edge"/>
          <c:x val="0.3164215172691891"/>
          <c:y val="3.56182795698924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0636942675162"/>
          <c:y val="0.15927440521547717"/>
          <c:w val="0.8471337579617837"/>
          <c:h val="0.70362972493790654"/>
        </c:manualLayout>
      </c:layout>
      <c:scatterChart>
        <c:scatterStyle val="lineMarker"/>
        <c:varyColors val="0"/>
        <c:ser>
          <c:idx val="2"/>
          <c:order val="0"/>
          <c:tx>
            <c:v>High-side MOSFET</c:v>
          </c:tx>
          <c:spPr>
            <a:ln w="2540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Calculations'!$AE$9:$AE$209</c:f>
              <c:numCache>
                <c:formatCode>0.000</c:formatCode>
                <c:ptCount val="201"/>
                <c:pt idx="0">
                  <c:v>-5.4176776828136184</c:v>
                </c:pt>
                <c:pt idx="1">
                  <c:v>-5.4313903857010679</c:v>
                </c:pt>
                <c:pt idx="2">
                  <c:v>-5.4453783272933087</c:v>
                </c:pt>
                <c:pt idx="3">
                  <c:v>-5.459645222867012</c:v>
                </c:pt>
                <c:pt idx="4">
                  <c:v>-5.4741948897060499</c:v>
                </c:pt>
                <c:pt idx="5">
                  <c:v>-5.4890312498874572</c:v>
                </c:pt>
                <c:pt idx="6">
                  <c:v>-5.5041583331715538</c:v>
                </c:pt>
                <c:pt idx="7">
                  <c:v>-5.5195802800005129</c:v>
                </c:pt>
                <c:pt idx="8">
                  <c:v>-5.5353013446098345</c:v>
                </c:pt>
                <c:pt idx="9">
                  <c:v>-5.5513258982574376</c:v>
                </c:pt>
                <c:pt idx="10">
                  <c:v>-5.5676584325752962</c:v>
                </c:pt>
                <c:pt idx="11">
                  <c:v>-5.5843035630487954</c:v>
                </c:pt>
                <c:pt idx="12">
                  <c:v>-5.6012660326292334</c:v>
                </c:pt>
                <c:pt idx="13">
                  <c:v>-5.6185507154852052</c:v>
                </c:pt>
                <c:pt idx="14">
                  <c:v>-5.6361626208988076</c:v>
                </c:pt>
                <c:pt idx="15">
                  <c:v>-5.654106897313028</c:v>
                </c:pt>
                <c:pt idx="16">
                  <c:v>-5.6723888365368857</c:v>
                </c:pt>
                <c:pt idx="17">
                  <c:v>-5.6910138781153092</c:v>
                </c:pt>
                <c:pt idx="18">
                  <c:v>-5.7099876138710668</c:v>
                </c:pt>
                <c:pt idx="19">
                  <c:v>-5.7293157926264575</c:v>
                </c:pt>
                <c:pt idx="20">
                  <c:v>-5.7490043251128284</c:v>
                </c:pt>
                <c:pt idx="21">
                  <c:v>-5.7690592890765027</c:v>
                </c:pt>
                <c:pt idx="22">
                  <c:v>-5.7894869345900446</c:v>
                </c:pt>
                <c:pt idx="23">
                  <c:v>-5.8102936895783639</c:v>
                </c:pt>
                <c:pt idx="24">
                  <c:v>-5.8314861655695784</c:v>
                </c:pt>
                <c:pt idx="25">
                  <c:v>-5.8530711636811859</c:v>
                </c:pt>
                <c:pt idx="26">
                  <c:v>-5.8750556808525678</c:v>
                </c:pt>
                <c:pt idx="27">
                  <c:v>-5.8974469163355616</c:v>
                </c:pt>
                <c:pt idx="28">
                  <c:v>-5.9202522784553482</c:v>
                </c:pt>
                <c:pt idx="29">
                  <c:v>-5.943479391654729</c:v>
                </c:pt>
                <c:pt idx="30">
                  <c:v>-5.9671361038354709</c:v>
                </c:pt>
                <c:pt idx="31">
                  <c:v>-5.9912304940112389</c:v>
                </c:pt>
                <c:pt idx="32">
                  <c:v>-6.0157708802874197</c:v>
                </c:pt>
                <c:pt idx="33">
                  <c:v>-6.0407658281840586</c:v>
                </c:pt>
                <c:pt idx="34">
                  <c:v>-6.0662241593189705</c:v>
                </c:pt>
                <c:pt idx="35">
                  <c:v>-6.0921549604691858</c:v>
                </c:pt>
                <c:pt idx="36">
                  <c:v>-6.1185675930298649</c:v>
                </c:pt>
                <c:pt idx="37">
                  <c:v>-6.1454717028909407</c:v>
                </c:pt>
                <c:pt idx="38">
                  <c:v>-6.1728772307530244</c:v>
                </c:pt>
                <c:pt idx="39">
                  <c:v>-6.2007944229052461</c:v>
                </c:pt>
                <c:pt idx="40">
                  <c:v>-6.229233842489224</c:v>
                </c:pt>
                <c:pt idx="41">
                  <c:v>-6.2582063812746656</c:v>
                </c:pt>
                <c:pt idx="42">
                  <c:v>-6.2877232719737606</c:v>
                </c:pt>
                <c:pt idx="43">
                  <c:v>-6.3177961011231281</c:v>
                </c:pt>
                <c:pt idx="44">
                  <c:v>-6.3484368225638939</c:v>
                </c:pt>
                <c:pt idx="45">
                  <c:v>-6.3796577715523055</c:v>
                </c:pt>
                <c:pt idx="46">
                  <c:v>-6.4114716795354587</c:v>
                </c:pt>
                <c:pt idx="47">
                  <c:v>-6.4438916896286917</c:v>
                </c:pt>
                <c:pt idx="48">
                  <c:v>-6.4769313728337403</c:v>
                </c:pt>
                <c:pt idx="49">
                  <c:v>-6.5106047450391102</c:v>
                </c:pt>
                <c:pt idx="50">
                  <c:v>-6.5449262848468317</c:v>
                </c:pt>
                <c:pt idx="51">
                  <c:v>-6.5799109522727068</c:v>
                </c:pt>
                <c:pt idx="52">
                  <c:v>-6.6155742083701599</c:v>
                </c:pt>
                <c:pt idx="53">
                  <c:v>-6.6519320358311909</c:v>
                </c:pt>
                <c:pt idx="54">
                  <c:v>-6.6890009606214678</c:v>
                </c:pt>
                <c:pt idx="55">
                  <c:v>-6.7267980747104623</c:v>
                </c:pt>
                <c:pt idx="56">
                  <c:v>-6.7653410599616537</c:v>
                </c:pt>
                <c:pt idx="57">
                  <c:v>-6.8046482132522623</c:v>
                </c:pt>
                <c:pt idx="58">
                  <c:v>-6.844738472896851</c:v>
                </c:pt>
                <c:pt idx="59">
                  <c:v>-6.8856314464541768</c:v>
                </c:pt>
                <c:pt idx="60">
                  <c:v>-6.9273474400024195</c:v>
                </c:pt>
                <c:pt idx="61">
                  <c:v>-6.9699074889738455</c:v>
                </c:pt>
                <c:pt idx="62">
                  <c:v>-7.0133333906464692</c:v>
                </c:pt>
                <c:pt idx="63">
                  <c:v>-7.0576477383974172</c:v>
                </c:pt>
                <c:pt idx="64">
                  <c:v>-7.1028739578302531</c:v>
                </c:pt>
                <c:pt idx="65">
                  <c:v>-7.1490363448967651</c:v>
                </c:pt>
                <c:pt idx="66">
                  <c:v>-7.1961601061427505</c:v>
                </c:pt>
                <c:pt idx="67">
                  <c:v>-7.2442714012169418</c:v>
                </c:pt>
                <c:pt idx="68">
                  <c:v>-7.2933973877927558</c:v>
                </c:pt>
                <c:pt idx="69">
                  <c:v>-7.3435662690640759</c:v>
                </c:pt>
                <c:pt idx="70">
                  <c:v>-7.3948073439885187</c:v>
                </c:pt>
                <c:pt idx="71">
                  <c:v>-7.4471510604653561</c:v>
                </c:pt>
                <c:pt idx="72">
                  <c:v>-7.500629071649759</c:v>
                </c:pt>
                <c:pt idx="73">
                  <c:v>-7.5552742956211985</c:v>
                </c:pt>
                <c:pt idx="74">
                  <c:v>-7.6111209786412202</c:v>
                </c:pt>
                <c:pt idx="75">
                  <c:v>-7.6682047622548906</c:v>
                </c:pt>
                <c:pt idx="76">
                  <c:v>-7.7265627545109901</c:v>
                </c:pt>
                <c:pt idx="77">
                  <c:v>-7.7862336055987695</c:v>
                </c:pt>
                <c:pt idx="78">
                  <c:v>-7.847257588223993</c:v>
                </c:pt>
                <c:pt idx="79">
                  <c:v>-7.9096766830741831</c:v>
                </c:pt>
                <c:pt idx="80">
                  <c:v>-7.9735346697528424</c:v>
                </c:pt>
                <c:pt idx="81">
                  <c:v>-8.0388772235951809</c:v>
                </c:pt>
                <c:pt idx="82">
                  <c:v>-8.1057520188138081</c:v>
                </c:pt>
                <c:pt idx="83">
                  <c:v>-8.1742088384624019</c:v>
                </c:pt>
                <c:pt idx="84">
                  <c:v>-8.2442996917487843</c:v>
                </c:pt>
                <c:pt idx="85">
                  <c:v>-8.3160789392767693</c:v>
                </c:pt>
                <c:pt idx="86">
                  <c:v>-8.3896034268489768</c:v>
                </c:pt>
                <c:pt idx="87">
                  <c:v>-8.4649326285208613</c:v>
                </c:pt>
                <c:pt idx="88">
                  <c:v>-8.5421287996609436</c:v>
                </c:pt>
                <c:pt idx="89">
                  <c:v>-8.6212571408430652</c:v>
                </c:pt>
                <c:pt idx="90">
                  <c:v>-8.7023859734756179</c:v>
                </c:pt>
                <c:pt idx="91">
                  <c:v>-8.7855869281599919</c:v>
                </c:pt>
                <c:pt idx="92">
                  <c:v>-8.8709351468675912</c:v>
                </c:pt>
                <c:pt idx="93">
                  <c:v>-8.9585095001326138</c:v>
                </c:pt>
                <c:pt idx="94">
                  <c:v>-9.0483928205777833</c:v>
                </c:pt>
                <c:pt idx="95">
                  <c:v>-9.1406721542241023</c:v>
                </c:pt>
                <c:pt idx="96">
                  <c:v>-9.2354390311846402</c:v>
                </c:pt>
                <c:pt idx="97">
                  <c:v>-9.3327897575093548</c:v>
                </c:pt>
                <c:pt idx="98">
                  <c:v>-9.4328257301342688</c:v>
                </c:pt>
                <c:pt idx="99">
                  <c:v>-9.535653777097254</c:v>
                </c:pt>
                <c:pt idx="100">
                  <c:v>-9.6413865254171505</c:v>
                </c:pt>
                <c:pt idx="101">
                  <c:v>-9.7501427992963272</c:v>
                </c:pt>
                <c:pt idx="102">
                  <c:v>-9.8620480516031606</c:v>
                </c:pt>
                <c:pt idx="103">
                  <c:v>-9.9772348319250241</c:v>
                </c:pt>
                <c:pt idx="104">
                  <c:v>-10.095843294859534</c:v>
                </c:pt>
                <c:pt idx="105">
                  <c:v>-10.218021752638453</c:v>
                </c:pt>
                <c:pt idx="106">
                  <c:v>-10.343927276661448</c:v>
                </c:pt>
                <c:pt idx="107">
                  <c:v>-10.473726353065612</c:v>
                </c:pt>
                <c:pt idx="108">
                  <c:v>-10.607595598079428</c:v>
                </c:pt>
                <c:pt idx="109">
                  <c:v>-10.745722539619965</c:v>
                </c:pt>
                <c:pt idx="110">
                  <c:v>-10.888306472401871</c:v>
                </c:pt>
                <c:pt idx="111">
                  <c:v>-11.035559394752847</c:v>
                </c:pt>
                <c:pt idx="112">
                  <c:v>-11.187707036390931</c:v>
                </c:pt>
                <c:pt idx="113">
                  <c:v>-11.344989987637284</c:v>
                </c:pt>
                <c:pt idx="114">
                  <c:v>-11.507664941938851</c:v>
                </c:pt>
                <c:pt idx="115">
                  <c:v>-11.676006065191608</c:v>
                </c:pt>
                <c:pt idx="116">
                  <c:v>-11.850306507221829</c:v>
                </c:pt>
                <c:pt idx="117">
                  <c:v>-12.030880072946793</c:v>
                </c:pt>
                <c:pt idx="118">
                  <c:v>-12.218063073247707</c:v>
                </c:pt>
                <c:pt idx="119">
                  <c:v>-12.412216378513236</c:v>
                </c:pt>
                <c:pt idx="120">
                  <c:v>-12.613727701225701</c:v>
                </c:pt>
                <c:pt idx="121">
                  <c:v>-12.823014137958172</c:v>
                </c:pt>
                <c:pt idx="122">
                  <c:v>-13.040525005841733</c:v>
                </c:pt>
                <c:pt idx="123">
                  <c:v>-13.266745014083046</c:v>
                </c:pt>
                <c:pt idx="124">
                  <c:v>-13.502197817632727</c:v>
                </c:pt>
                <c:pt idx="125">
                  <c:v>-13.747450007826512</c:v>
                </c:pt>
                <c:pt idx="126">
                  <c:v>-14.003115603998134</c:v>
                </c:pt>
                <c:pt idx="127">
                  <c:v>-14.269861121003256</c:v>
                </c:pt>
                <c:pt idx="128">
                  <c:v>-14.548411300685434</c:v>
                </c:pt>
                <c:pt idx="129">
                  <c:v>-14.83955561103693</c:v>
                </c:pt>
                <c:pt idx="130">
                  <c:v>-15.144155635758995</c:v>
                </c:pt>
                <c:pt idx="131">
                  <c:v>-15.463153499864996</c:v>
                </c:pt>
                <c:pt idx="132">
                  <c:v>-15.797581504846967</c:v>
                </c:pt>
                <c:pt idx="133">
                  <c:v>-16.14857318095461</c:v>
                </c:pt>
                <c:pt idx="134">
                  <c:v>-16.517376005858317</c:v>
                </c:pt>
                <c:pt idx="135">
                  <c:v>-16.905366090372073</c:v>
                </c:pt>
                <c:pt idx="136">
                  <c:v>-17.31406519555452</c:v>
                </c:pt>
                <c:pt idx="137">
                  <c:v>-17.745160524717267</c:v>
                </c:pt>
                <c:pt idx="138">
                  <c:v>-18.200527832996222</c:v>
                </c:pt>
                <c:pt idx="139">
                  <c:v>-18.682258521907844</c:v>
                </c:pt>
                <c:pt idx="140">
                  <c:v>-19.192691544305685</c:v>
                </c:pt>
                <c:pt idx="141">
                  <c:v>-19.734451146503876</c:v>
                </c:pt>
                <c:pt idx="142">
                  <c:v>-20.310491732681115</c:v>
                </c:pt>
                <c:pt idx="143">
                  <c:v>-20.924151470529239</c:v>
                </c:pt>
                <c:pt idx="144">
                  <c:v>-21.579216691803875</c:v>
                </c:pt>
                <c:pt idx="145">
                  <c:v>-22.279999711995803</c:v>
                </c:pt>
                <c:pt idx="146">
                  <c:v>-23.031433448647146</c:v>
                </c:pt>
                <c:pt idx="147">
                  <c:v>-23.839187226840295</c:v>
                </c:pt>
                <c:pt idx="148">
                  <c:v>-24.709809521434263</c:v>
                </c:pt>
                <c:pt idx="149">
                  <c:v>-25.650905240700826</c:v>
                </c:pt>
                <c:pt idx="150">
                  <c:v>-26.671357712737368</c:v>
                </c:pt>
                <c:pt idx="151">
                  <c:v>-27.781609102211931</c:v>
                </c:pt>
                <c:pt idx="152">
                  <c:v>-28.99401802379289</c:v>
                </c:pt>
                <c:pt idx="153">
                  <c:v>-30.323320338180324</c:v>
                </c:pt>
                <c:pt idx="154">
                  <c:v>-31.787229618681632</c:v>
                </c:pt>
                <c:pt idx="155">
                  <c:v>-33.40722930719825</c:v>
                </c:pt>
                <c:pt idx="156">
                  <c:v>-35.209631964345682</c:v>
                </c:pt>
                <c:pt idx="157">
                  <c:v>-37.227016936163956</c:v>
                </c:pt>
                <c:pt idx="158">
                  <c:v>-39.500214143576613</c:v>
                </c:pt>
                <c:pt idx="159">
                  <c:v>-42.08109238345714</c:v>
                </c:pt>
                <c:pt idx="160">
                  <c:v>-45.036560375278462</c:v>
                </c:pt>
                <c:pt idx="161">
                  <c:v>-48.454444033555163</c:v>
                </c:pt>
                <c:pt idx="162">
                  <c:v>-52.452353454664724</c:v>
                </c:pt>
                <c:pt idx="163">
                  <c:v>-57.191478296207578</c:v>
                </c:pt>
                <c:pt idx="164">
                  <c:v>-62.898833631843637</c:v>
                </c:pt>
                <c:pt idx="165">
                  <c:v>-69.904682084082779</c:v>
                </c:pt>
                <c:pt idx="166">
                  <c:v>-78.708760734968592</c:v>
                </c:pt>
                <c:pt idx="167">
                  <c:v>-90.104986678646327</c:v>
                </c:pt>
                <c:pt idx="168">
                  <c:v>-105.43527997150274</c:v>
                </c:pt>
                <c:pt idx="169">
                  <c:v>-127.16099714104105</c:v>
                </c:pt>
                <c:pt idx="170">
                  <c:v>-160.33782057675529</c:v>
                </c:pt>
                <c:pt idx="171">
                  <c:v>-217.25679656992213</c:v>
                </c:pt>
                <c:pt idx="172">
                  <c:v>-337.59872653282304</c:v>
                </c:pt>
                <c:pt idx="173">
                  <c:v>-760.70014011175704</c:v>
                </c:pt>
                <c:pt idx="174">
                  <c:v>2943.7300477528497</c:v>
                </c:pt>
                <c:pt idx="175">
                  <c:v>499.81184598243789</c:v>
                </c:pt>
                <c:pt idx="176">
                  <c:v>272.58622335755371</c:v>
                </c:pt>
                <c:pt idx="177">
                  <c:v>187.15596455072196</c:v>
                </c:pt>
                <c:pt idx="178">
                  <c:v>142.35946313800335</c:v>
                </c:pt>
                <c:pt idx="179">
                  <c:v>114.77674951537415</c:v>
                </c:pt>
                <c:pt idx="180">
                  <c:v>96.085298785490451</c:v>
                </c:pt>
                <c:pt idx="181">
                  <c:v>82.582992455765492</c:v>
                </c:pt>
                <c:pt idx="182">
                  <c:v>72.372519616053339</c:v>
                </c:pt>
                <c:pt idx="183">
                  <c:v>64.381037698788063</c:v>
                </c:pt>
                <c:pt idx="184">
                  <c:v>57.956219960886457</c:v>
                </c:pt>
                <c:pt idx="185">
                  <c:v>52.678609235362337</c:v>
                </c:pt>
                <c:pt idx="186">
                  <c:v>48.266218799616574</c:v>
                </c:pt>
                <c:pt idx="187">
                  <c:v>44.522480015227593</c:v>
                </c:pt>
                <c:pt idx="188">
                  <c:v>41.306176157120767</c:v>
                </c:pt>
                <c:pt idx="189">
                  <c:v>38.513240553224158</c:v>
                </c:pt>
                <c:pt idx="190">
                  <c:v>36.065294067380776</c:v>
                </c:pt>
                <c:pt idx="191">
                  <c:v>33.902179969101475</c:v>
                </c:pt>
                <c:pt idx="192">
                  <c:v>31.976959157246299</c:v>
                </c:pt>
                <c:pt idx="193">
                  <c:v>30.25246896786285</c:v>
                </c:pt>
                <c:pt idx="194">
                  <c:v>28.698903864583766</c:v>
                </c:pt>
                <c:pt idx="195">
                  <c:v>27.292080677339321</c:v>
                </c:pt>
                <c:pt idx="196">
                  <c:v>26.012172589572859</c:v>
                </c:pt>
                <c:pt idx="197">
                  <c:v>24.842770471787798</c:v>
                </c:pt>
                <c:pt idx="198">
                  <c:v>23.77017689409249</c:v>
                </c:pt>
                <c:pt idx="199">
                  <c:v>22.782868197549476</c:v>
                </c:pt>
                <c:pt idx="200">
                  <c:v>21.871079731714175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EF-4936-9B76-59ED7816AF7E}"/>
            </c:ext>
          </c:extLst>
        </c:ser>
        <c:ser>
          <c:idx val="3"/>
          <c:order val="1"/>
          <c:tx>
            <c:v>Low-side MOSFET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Calculations'!$AI$9:$AI$209</c:f>
              <c:numCache>
                <c:formatCode>0.000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F-4936-9B76-59ED7816AF7E}"/>
            </c:ext>
          </c:extLst>
        </c:ser>
        <c:ser>
          <c:idx val="0"/>
          <c:order val="2"/>
          <c:tx>
            <c:v>Inductor Loss</c:v>
          </c:tx>
          <c:spPr>
            <a:ln w="3175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Calculations'!$T$9:$T$209</c:f>
              <c:numCache>
                <c:formatCode>0.000</c:formatCode>
                <c:ptCount val="201"/>
                <c:pt idx="0">
                  <c:v>-14.712338520305073</c:v>
                </c:pt>
                <c:pt idx="1">
                  <c:v>-14.790077480850043</c:v>
                </c:pt>
                <c:pt idx="2">
                  <c:v>-14.869925586853787</c:v>
                </c:pt>
                <c:pt idx="3">
                  <c:v>-14.951945894621792</c:v>
                </c:pt>
                <c:pt idx="4">
                  <c:v>-15.036203988667237</c:v>
                </c:pt>
                <c:pt idx="5">
                  <c:v>-15.122768119597529</c:v>
                </c:pt>
                <c:pt idx="6">
                  <c:v>-15.211709349875873</c:v>
                </c:pt>
                <c:pt idx="7">
                  <c:v>-15.303101708114015</c:v>
                </c:pt>
                <c:pt idx="8">
                  <c:v>-15.397022352601338</c:v>
                </c:pt>
                <c:pt idx="9">
                  <c:v>-15.493551744830214</c:v>
                </c:pt>
                <c:pt idx="10">
                  <c:v>-15.592773833837935</c:v>
                </c:pt>
                <c:pt idx="11">
                  <c:v>-15.694776252252444</c:v>
                </c:pt>
                <c:pt idx="12">
                  <c:v>-15.799650525003285</c:v>
                </c:pt>
                <c:pt idx="13">
                  <c:v>-15.907492291741271</c:v>
                </c:pt>
                <c:pt idx="14">
                  <c:v>-16.018401544101348</c:v>
                </c:pt>
                <c:pt idx="15">
                  <c:v>-16.132482879043945</c:v>
                </c:pt>
                <c:pt idx="16">
                  <c:v>-16.249845769621967</c:v>
                </c:pt>
                <c:pt idx="17">
                  <c:v>-16.370604854644338</c:v>
                </c:pt>
                <c:pt idx="18">
                  <c:v>-16.494880248844947</c:v>
                </c:pt>
                <c:pt idx="19">
                  <c:v>-16.622797875318653</c:v>
                </c:pt>
                <c:pt idx="20">
                  <c:v>-16.754489822155779</c:v>
                </c:pt>
                <c:pt idx="21">
                  <c:v>-16.890094725396235</c:v>
                </c:pt>
                <c:pt idx="22">
                  <c:v>-17.029758180634861</c:v>
                </c:pt>
                <c:pt idx="23">
                  <c:v>-17.173633185844743</c:v>
                </c:pt>
                <c:pt idx="24">
                  <c:v>-17.321880618248102</c:v>
                </c:pt>
                <c:pt idx="25">
                  <c:v>-17.474669748357524</c:v>
                </c:pt>
                <c:pt idx="26">
                  <c:v>-17.632178794639156</c:v>
                </c:pt>
                <c:pt idx="27">
                  <c:v>-17.794595522617726</c:v>
                </c:pt>
                <c:pt idx="28">
                  <c:v>-17.962117892656682</c:v>
                </c:pt>
                <c:pt idx="29">
                  <c:v>-18.134954761111516</c:v>
                </c:pt>
                <c:pt idx="30">
                  <c:v>-18.313326640077591</c:v>
                </c:pt>
                <c:pt idx="31">
                  <c:v>-18.497466521543501</c:v>
                </c:pt>
                <c:pt idx="32">
                  <c:v>-18.687620772427405</c:v>
                </c:pt>
                <c:pt idx="33">
                  <c:v>-18.884050107727127</c:v>
                </c:pt>
                <c:pt idx="34">
                  <c:v>-19.087030649868712</c:v>
                </c:pt>
                <c:pt idx="35">
                  <c:v>-19.296855083306976</c:v>
                </c:pt>
                <c:pt idx="36">
                  <c:v>-19.513833914533986</c:v>
                </c:pt>
                <c:pt idx="37">
                  <c:v>-19.738296848905737</c:v>
                </c:pt>
                <c:pt idx="38">
                  <c:v>-19.9705942971311</c:v>
                </c:pt>
                <c:pt idx="39">
                  <c:v>-20.211099025904392</c:v>
                </c:pt>
                <c:pt idx="40">
                  <c:v>-20.460207969041019</c:v>
                </c:pt>
                <c:pt idx="41">
                  <c:v>-20.718344217631202</c:v>
                </c:pt>
                <c:pt idx="42">
                  <c:v>-20.985959210207682</c:v>
                </c:pt>
                <c:pt idx="43">
                  <c:v>-21.263535146784708</c:v>
                </c:pt>
                <c:pt idx="44">
                  <c:v>-21.551587653933471</c:v>
                </c:pt>
                <c:pt idx="45">
                  <c:v>-21.850668731891417</c:v>
                </c:pt>
                <c:pt idx="46">
                  <c:v>-22.161370019155935</c:v>
                </c:pt>
                <c:pt idx="47">
                  <c:v>-22.484326415197025</c:v>
                </c:pt>
                <c:pt idx="48">
                  <c:v>-22.82022010797774</c:v>
                </c:pt>
                <c:pt idx="49">
                  <c:v>-23.169785060059418</c:v>
                </c:pt>
                <c:pt idx="50">
                  <c:v>-23.53381201538992</c:v>
                </c:pt>
                <c:pt idx="51">
                  <c:v>-23.91315409867336</c:v>
                </c:pt>
                <c:pt idx="52">
                  <c:v>-24.30873309079287</c:v>
                </c:pt>
                <c:pt idx="53">
                  <c:v>-24.721546477472312</c:v>
                </c:pt>
                <c:pt idx="54">
                  <c:v>-25.152675384662654</c:v>
                </c:pt>
                <c:pt idx="55">
                  <c:v>-25.603293533582473</c:v>
                </c:pt>
                <c:pt idx="56">
                  <c:v>-26.074677371613749</c:v>
                </c:pt>
                <c:pt idx="57">
                  <c:v>-26.568217563212531</c:v>
                </c:pt>
                <c:pt idx="58">
                  <c:v>-27.085432058711511</c:v>
                </c:pt>
                <c:pt idx="59">
                  <c:v>-27.627980999715589</c:v>
                </c:pt>
                <c:pt idx="60">
                  <c:v>-28.19768376942892</c:v>
                </c:pt>
                <c:pt idx="61">
                  <c:v>-28.796538556865492</c:v>
                </c:pt>
                <c:pt idx="62">
                  <c:v>-29.426744878252546</c:v>
                </c:pt>
                <c:pt idx="63">
                  <c:v>-30.090729590588388</c:v>
                </c:pt>
                <c:pt idx="64">
                  <c:v>-30.791177045849793</c:v>
                </c:pt>
                <c:pt idx="65">
                  <c:v>-31.531064175724588</c:v>
                </c:pt>
                <c:pt idx="66">
                  <c:v>-32.313701473772632</c:v>
                </c:pt>
                <c:pt idx="67">
                  <c:v>-33.142781064866675</c:v>
                </c:pt>
                <c:pt idx="68">
                  <c:v>-34.022433334262047</c:v>
                </c:pt>
                <c:pt idx="69">
                  <c:v>-34.957293948908031</c:v>
                </c:pt>
                <c:pt idx="70">
                  <c:v>-35.952583566171981</c:v>
                </c:pt>
                <c:pt idx="71">
                  <c:v>-37.014203123334191</c:v>
                </c:pt>
                <c:pt idx="72">
                  <c:v>-38.148848380695689</c:v>
                </c:pt>
                <c:pt idx="73">
                  <c:v>-39.364148415104495</c:v>
                </c:pt>
                <c:pt idx="74">
                  <c:v>-40.668834117424758</c:v>
                </c:pt>
                <c:pt idx="75">
                  <c:v>-42.072944561595392</c:v>
                </c:pt>
                <c:pt idx="76">
                  <c:v>-43.588081562466712</c:v>
                </c:pt>
                <c:pt idx="77">
                  <c:v>-45.227726081864581</c:v>
                </c:pt>
                <c:pt idx="78">
                  <c:v>-47.007634754072015</c:v>
                </c:pt>
                <c:pt idx="79">
                  <c:v>-48.946341242495599</c:v>
                </c:pt>
                <c:pt idx="80">
                  <c:v>-51.065796251670136</c:v>
                </c:pt>
                <c:pt idx="81">
                  <c:v>-53.392193093992603</c:v>
                </c:pt>
                <c:pt idx="82">
                  <c:v>-55.957044760752822</c:v>
                </c:pt>
                <c:pt idx="83">
                  <c:v>-58.798606668150931</c:v>
                </c:pt>
                <c:pt idx="84">
                  <c:v>-61.963781823810407</c:v>
                </c:pt>
                <c:pt idx="85">
                  <c:v>-65.510710685365311</c:v>
                </c:pt>
                <c:pt idx="86">
                  <c:v>-69.512351083231877</c:v>
                </c:pt>
                <c:pt idx="87">
                  <c:v>-74.061519824026533</c:v>
                </c:pt>
                <c:pt idx="88">
                  <c:v>-79.27814308619331</c:v>
                </c:pt>
                <c:pt idx="89">
                  <c:v>-85.319933522652491</c:v>
                </c:pt>
                <c:pt idx="90">
                  <c:v>-92.398545096735987</c:v>
                </c:pt>
                <c:pt idx="91">
                  <c:v>-100.8047908584104</c:v>
                </c:pt>
                <c:pt idx="92">
                  <c:v>-110.94946723518257</c:v>
                </c:pt>
                <c:pt idx="93">
                  <c:v>-123.43234888559455</c:v>
                </c:pt>
                <c:pt idx="94">
                  <c:v>-139.16498003837114</c:v>
                </c:pt>
                <c:pt idx="95">
                  <c:v>-159.6035087697507</c:v>
                </c:pt>
                <c:pt idx="96">
                  <c:v>-187.22682103761483</c:v>
                </c:pt>
                <c:pt idx="97">
                  <c:v>-226.62569613098285</c:v>
                </c:pt>
                <c:pt idx="98">
                  <c:v>-287.3605041792643</c:v>
                </c:pt>
                <c:pt idx="99">
                  <c:v>-393.18089782858914</c:v>
                </c:pt>
                <c:pt idx="100">
                  <c:v>-623.87973226408599</c:v>
                </c:pt>
                <c:pt idx="101">
                  <c:v>-1518.4258858972569</c:v>
                </c:pt>
                <c:pt idx="102">
                  <c:v>3454.8816755938883</c:v>
                </c:pt>
                <c:pt idx="103">
                  <c:v>805.73147320816804</c:v>
                </c:pt>
                <c:pt idx="104">
                  <c:v>455.30595768773401</c:v>
                </c:pt>
                <c:pt idx="105">
                  <c:v>316.9562323682332</c:v>
                </c:pt>
                <c:pt idx="106">
                  <c:v>242.89094356691706</c:v>
                </c:pt>
                <c:pt idx="107">
                  <c:v>196.75627034663566</c:v>
                </c:pt>
                <c:pt idx="108">
                  <c:v>165.262229361735</c:v>
                </c:pt>
                <c:pt idx="109">
                  <c:v>142.396130911688</c:v>
                </c:pt>
                <c:pt idx="110">
                  <c:v>125.04125578029402</c:v>
                </c:pt>
                <c:pt idx="111">
                  <c:v>111.42070243411641</c:v>
                </c:pt>
                <c:pt idx="112">
                  <c:v>100.44729960624869</c:v>
                </c:pt>
                <c:pt idx="113">
                  <c:v>91.41854830264694</c:v>
                </c:pt>
                <c:pt idx="114">
                  <c:v>83.860313279664652</c:v>
                </c:pt>
                <c:pt idx="115">
                  <c:v>77.441003653686465</c:v>
                </c:pt>
                <c:pt idx="116">
                  <c:v>71.921749302343116</c:v>
                </c:pt>
                <c:pt idx="117">
                  <c:v>67.126109671368638</c:v>
                </c:pt>
                <c:pt idx="118">
                  <c:v>62.920929360338718</c:v>
                </c:pt>
                <c:pt idx="119">
                  <c:v>59.203831508080071</c:v>
                </c:pt>
                <c:pt idx="120">
                  <c:v>55.894810608925816</c:v>
                </c:pt>
                <c:pt idx="121">
                  <c:v>52.930438297316741</c:v>
                </c:pt>
                <c:pt idx="122">
                  <c:v>50.259781294786855</c:v>
                </c:pt>
                <c:pt idx="123">
                  <c:v>47.841468966384255</c:v>
                </c:pt>
                <c:pt idx="124">
                  <c:v>45.64154970191521</c:v>
                </c:pt>
                <c:pt idx="125">
                  <c:v>43.631899185883753</c:v>
                </c:pt>
                <c:pt idx="126">
                  <c:v>41.789021607918421</c:v>
                </c:pt>
                <c:pt idx="127">
                  <c:v>40.093135116045673</c:v>
                </c:pt>
                <c:pt idx="128">
                  <c:v>38.527465872923344</c:v>
                </c:pt>
                <c:pt idx="129">
                  <c:v>37.077697236701127</c:v>
                </c:pt>
                <c:pt idx="130">
                  <c:v>35.731535703107923</c:v>
                </c:pt>
                <c:pt idx="131">
                  <c:v>34.478365718259184</c:v>
                </c:pt>
                <c:pt idx="132">
                  <c:v>33.308972834317771</c:v>
                </c:pt>
                <c:pt idx="133">
                  <c:v>32.215319926057063</c:v>
                </c:pt>
                <c:pt idx="134">
                  <c:v>31.190364970806698</c:v>
                </c:pt>
                <c:pt idx="135">
                  <c:v>30.227911656018321</c:v>
                </c:pt>
                <c:pt idx="136">
                  <c:v>29.322486115894989</c:v>
                </c:pt>
                <c:pt idx="137">
                  <c:v>28.469234616403508</c:v>
                </c:pt>
                <c:pt idx="138">
                  <c:v>27.663838149581522</c:v>
                </c:pt>
                <c:pt idx="139">
                  <c:v>26.9024407642308</c:v>
                </c:pt>
                <c:pt idx="140">
                  <c:v>26.181589122750609</c:v>
                </c:pt>
                <c:pt idx="141">
                  <c:v>25.498181284794143</c:v>
                </c:pt>
                <c:pt idx="142">
                  <c:v>24.849423115268817</c:v>
                </c:pt>
                <c:pt idx="143">
                  <c:v>24.232791024571632</c:v>
                </c:pt>
                <c:pt idx="144">
                  <c:v>23.645999993293746</c:v>
                </c:pt>
                <c:pt idx="145">
                  <c:v>23.086976027188459</c:v>
                </c:pt>
                <c:pt idx="146">
                  <c:v>22.553832342438604</c:v>
                </c:pt>
                <c:pt idx="147">
                  <c:v>22.044848704859238</c:v>
                </c:pt>
                <c:pt idx="148">
                  <c:v>21.558453446249462</c:v>
                </c:pt>
                <c:pt idx="149">
                  <c:v>21.093207761738928</c:v>
                </c:pt>
                <c:pt idx="150">
                  <c:v>20.647791957583113</c:v>
                </c:pt>
                <c:pt idx="151">
                  <c:v>20.220993372495528</c:v>
                </c:pt>
                <c:pt idx="152">
                  <c:v>19.811695739640729</c:v>
                </c:pt>
                <c:pt idx="153">
                  <c:v>19.41886979272655</c:v>
                </c:pt>
                <c:pt idx="154">
                  <c:v>19.041564949695825</c:v>
                </c:pt>
                <c:pt idx="155">
                  <c:v>18.678901932507554</c:v>
                </c:pt>
                <c:pt idx="156">
                  <c:v>18.330066202343978</c:v>
                </c:pt>
                <c:pt idx="157">
                  <c:v>17.994302107033985</c:v>
                </c:pt>
                <c:pt idx="158">
                  <c:v>17.67090765214747</c:v>
                </c:pt>
                <c:pt idx="159">
                  <c:v>17.359229819577806</c:v>
                </c:pt>
                <c:pt idx="160">
                  <c:v>17.058660367880652</c:v>
                </c:pt>
                <c:pt idx="161">
                  <c:v>16.768632057506203</c:v>
                </c:pt>
                <c:pt idx="162">
                  <c:v>16.488615251604159</c:v>
                </c:pt>
                <c:pt idx="163">
                  <c:v>16.218114849517114</c:v>
                </c:pt>
                <c:pt idx="164">
                  <c:v>15.956667515584851</c:v>
                </c:pt>
                <c:pt idx="165">
                  <c:v>15.703839170604741</c:v>
                </c:pt>
                <c:pt idx="166">
                  <c:v>15.459222717356871</c:v>
                </c:pt>
                <c:pt idx="167">
                  <c:v>15.222435975104059</c:v>
                </c:pt>
                <c:pt idx="168">
                  <c:v>14.993119801004983</c:v>
                </c:pt>
                <c:pt idx="169">
                  <c:v>14.770936379000505</c:v>
                </c:pt>
                <c:pt idx="170">
                  <c:v>14.555567659009929</c:v>
                </c:pt>
                <c:pt idx="171">
                  <c:v>14.346713931255945</c:v>
                </c:pt>
                <c:pt idx="172">
                  <c:v>14.144092522263284</c:v>
                </c:pt>
                <c:pt idx="173">
                  <c:v>13.947436600586801</c:v>
                </c:pt>
                <c:pt idx="174">
                  <c:v>13.756494081645656</c:v>
                </c:pt>
                <c:pt idx="175">
                  <c:v>13.571026622199545</c:v>
                </c:pt>
                <c:pt idx="176">
                  <c:v>13.390808696022399</c:v>
                </c:pt>
                <c:pt idx="177">
                  <c:v>13.215626743225478</c:v>
                </c:pt>
                <c:pt idx="178">
                  <c:v>13.045278386473591</c:v>
                </c:pt>
                <c:pt idx="179">
                  <c:v>12.879571708037117</c:v>
                </c:pt>
                <c:pt idx="180">
                  <c:v>12.718324582241356</c:v>
                </c:pt>
                <c:pt idx="181">
                  <c:v>12.561364058423591</c:v>
                </c:pt>
                <c:pt idx="182">
                  <c:v>12.408525789995014</c:v>
                </c:pt>
                <c:pt idx="183">
                  <c:v>12.259653505637971</c:v>
                </c:pt>
                <c:pt idx="184">
                  <c:v>12.114598519055273</c:v>
                </c:pt>
                <c:pt idx="185">
                  <c:v>11.973219274031527</c:v>
                </c:pt>
                <c:pt idx="186">
                  <c:v>11.835380921874846</c:v>
                </c:pt>
                <c:pt idx="187">
                  <c:v>11.700954928581593</c:v>
                </c:pt>
                <c:pt idx="188">
                  <c:v>11.569818709313379</c:v>
                </c:pt>
                <c:pt idx="189">
                  <c:v>11.441855287996548</c:v>
                </c:pt>
                <c:pt idx="190">
                  <c:v>11.316952980052365</c:v>
                </c:pt>
                <c:pt idx="191">
                  <c:v>11.195005096445165</c:v>
                </c:pt>
                <c:pt idx="192">
                  <c:v>11.075909667395576</c:v>
                </c:pt>
                <c:pt idx="193">
                  <c:v>10.959569184251517</c:v>
                </c:pt>
                <c:pt idx="194">
                  <c:v>10.845890358139624</c:v>
                </c:pt>
                <c:pt idx="195">
                  <c:v>10.734783894138292</c:v>
                </c:pt>
                <c:pt idx="196">
                  <c:v>10.626164279820246</c:v>
                </c:pt>
                <c:pt idx="197">
                  <c:v>10.519949587108986</c:v>
                </c:pt>
                <c:pt idx="198">
                  <c:v>10.41606128648154</c:v>
                </c:pt>
                <c:pt idx="199">
                  <c:v>10.314424072629235</c:v>
                </c:pt>
                <c:pt idx="200">
                  <c:v>10.214965700760521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F-4936-9B76-59ED7816A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47136"/>
        <c:axId val="159149056"/>
      </c:scatterChart>
      <c:valAx>
        <c:axId val="15914713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898089171975511"/>
              <c:y val="0.92540407247481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149056"/>
        <c:crosses val="autoZero"/>
        <c:crossBetween val="midCat"/>
      </c:valAx>
      <c:valAx>
        <c:axId val="159149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1.9108297737292643E-2"/>
              <c:y val="0.346102573871814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147136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115673503774995"/>
          <c:y val="1.0080645161290322E-2"/>
          <c:w val="0.20336554227017919"/>
          <c:h val="0.12903246973160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/>
              <a:t> Overall Efficiency</a:t>
            </a:r>
          </a:p>
        </c:rich>
      </c:tx>
      <c:layout>
        <c:manualLayout>
          <c:xMode val="edge"/>
          <c:yMode val="edge"/>
          <c:x val="0.41192468827576156"/>
          <c:y val="3.02419354838718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4102129638858"/>
          <c:y val="0.15927435034411094"/>
          <c:w val="0.85384629851107507"/>
          <c:h val="0.72983942815910108"/>
        </c:manualLayout>
      </c:layout>
      <c:scatterChart>
        <c:scatterStyle val="lineMarker"/>
        <c:varyColors val="0"/>
        <c:ser>
          <c:idx val="0"/>
          <c:order val="0"/>
          <c:tx>
            <c:v>Efficiency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Calculations'!$BD$9:$BD$209</c:f>
              <c:numCache>
                <c:formatCode>0.0%</c:formatCode>
                <c:ptCount val="201"/>
                <c:pt idx="0">
                  <c:v>0.96619016977170713</c:v>
                </c:pt>
                <c:pt idx="1">
                  <c:v>0.9690319819950225</c:v>
                </c:pt>
                <c:pt idx="2">
                  <c:v>0.97180923673719055</c:v>
                </c:pt>
                <c:pt idx="3">
                  <c:v>0.97452670558135746</c:v>
                </c:pt>
                <c:pt idx="4">
                  <c:v>0.9771890046033489</c:v>
                </c:pt>
                <c:pt idx="5">
                  <c:v>0.9798006154024046</c:v>
                </c:pt>
                <c:pt idx="6">
                  <c:v>0.98236590528275325</c:v>
                </c:pt>
                <c:pt idx="7">
                  <c:v>0.98488914688768792</c:v>
                </c:pt>
                <c:pt idx="8">
                  <c:v>0.9873745375624724</c:v>
                </c:pt>
                <c:pt idx="9">
                  <c:v>0.98982621870803311</c:v>
                </c:pt>
                <c:pt idx="10">
                  <c:v>0.99224829538266379</c:v>
                </c:pt>
                <c:pt idx="11">
                  <c:v>0.99464485641313483</c:v>
                </c:pt>
                <c:pt idx="12">
                  <c:v>0.99701999528941121</c:v>
                </c:pt>
                <c:pt idx="13">
                  <c:v>0.9993778321388509</c:v>
                </c:pt>
                <c:pt idx="14">
                  <c:v>1.0017225371069118</c:v>
                </c:pt>
                <c:pt idx="15">
                  <c:v>1.0040583555132474</c:v>
                </c:pt>
                <c:pt idx="16">
                  <c:v>1.0063896352062542</c:v>
                </c:pt>
                <c:pt idx="17">
                  <c:v>1.0087208566080825</c:v>
                </c:pt>
                <c:pt idx="18">
                  <c:v>1.0110566660289515</c:v>
                </c:pt>
                <c:pt idx="19">
                  <c:v>1.0134019129385736</c:v>
                </c:pt>
                <c:pt idx="20">
                  <c:v>1.0157616920191042</c:v>
                </c:pt>
                <c:pt idx="21">
                  <c:v>1.0181413909955725</c:v>
                </c:pt>
                <c:pt idx="22">
                  <c:v>1.0205467454558443</c:v>
                </c:pt>
                <c:pt idx="23">
                  <c:v>1.0229839021454872</c:v>
                </c:pt>
                <c:pt idx="24">
                  <c:v>1.0254594925704275</c:v>
                </c:pt>
                <c:pt idx="25">
                  <c:v>1.0279807191846342</c:v>
                </c:pt>
                <c:pt idx="26">
                  <c:v>1.0305554570119171</c:v>
                </c:pt>
                <c:pt idx="27">
                  <c:v>1.0331923742919491</c:v>
                </c:pt>
                <c:pt idx="28">
                  <c:v>1.0359010767080792</c:v>
                </c:pt>
                <c:pt idx="29">
                  <c:v>1.0386922810277905</c:v>
                </c:pt>
                <c:pt idx="30">
                  <c:v>1.0415780256768825</c:v>
                </c:pt>
                <c:pt idx="31">
                  <c:v>1.0445719280329189</c:v>
                </c:pt>
                <c:pt idx="32">
                  <c:v>1.0476895012873373</c:v>
                </c:pt>
                <c:pt idx="33">
                  <c:v>1.0509485479150715</c:v>
                </c:pt>
                <c:pt idx="34">
                  <c:v>1.054369652584622</c:v>
                </c:pt>
                <c:pt idx="35">
                  <c:v>1.0579768054533796</c:v>
                </c:pt>
                <c:pt idx="36">
                  <c:v>1.0617981983008284</c:v>
                </c:pt>
                <c:pt idx="37">
                  <c:v>1.0658672525127901</c:v>
                </c:pt>
                <c:pt idx="38">
                  <c:v>1.0702239621347034</c:v>
                </c:pt>
                <c:pt idx="39">
                  <c:v>1.0749166711938769</c:v>
                </c:pt>
                <c:pt idx="40">
                  <c:v>1.0800044589809754</c:v>
                </c:pt>
                <c:pt idx="41">
                  <c:v>1.0855603911996297</c:v>
                </c:pt>
                <c:pt idx="42">
                  <c:v>1.0916760280246731</c:v>
                </c:pt>
                <c:pt idx="43">
                  <c:v>1.0984677958971145</c:v>
                </c:pt>
                <c:pt idx="44">
                  <c:v>1.1060861895738441</c:v>
                </c:pt>
                <c:pt idx="45">
                  <c:v>1.1147293897043395</c:v>
                </c:pt>
                <c:pt idx="46">
                  <c:v>1.1246639843851596</c:v>
                </c:pt>
                <c:pt idx="47">
                  <c:v>1.1362575322968118</c:v>
                </c:pt>
                <c:pt idx="48">
                  <c:v>1.1500316963863186</c:v>
                </c:pt>
                <c:pt idx="49">
                  <c:v>1.1667528967667922</c:v>
                </c:pt>
                <c:pt idx="50">
                  <c:v>1.187595520713846</c:v>
                </c:pt>
                <c:pt idx="51">
                  <c:v>1.2144558806187638</c:v>
                </c:pt>
                <c:pt idx="52">
                  <c:v>1.2506089349916429</c:v>
                </c:pt>
                <c:pt idx="53">
                  <c:v>1.3022414861671279</c:v>
                </c:pt>
                <c:pt idx="54">
                  <c:v>1.382617041701518</c:v>
                </c:pt>
                <c:pt idx="55">
                  <c:v>1.5262541648847734</c:v>
                </c:pt>
                <c:pt idx="56">
                  <c:v>1.8599873183505051</c:v>
                </c:pt>
                <c:pt idx="57">
                  <c:v>3.5344347184040279</c:v>
                </c:pt>
                <c:pt idx="58">
                  <c:v>-1.4232945480670374</c:v>
                </c:pt>
                <c:pt idx="59">
                  <c:v>0.21191376157961167</c:v>
                </c:pt>
                <c:pt idx="60">
                  <c:v>0.54269260205639258</c:v>
                </c:pt>
                <c:pt idx="61">
                  <c:v>0.68575304849622876</c:v>
                </c:pt>
                <c:pt idx="62">
                  <c:v>0.76616235199079663</c:v>
                </c:pt>
                <c:pt idx="63">
                  <c:v>0.8181081951754624</c:v>
                </c:pt>
                <c:pt idx="64">
                  <c:v>0.8547586327839849</c:v>
                </c:pt>
                <c:pt idx="65">
                  <c:v>0.88226738585165465</c:v>
                </c:pt>
                <c:pt idx="66">
                  <c:v>0.90389831822995637</c:v>
                </c:pt>
                <c:pt idx="67">
                  <c:v>0.92154629692518308</c:v>
                </c:pt>
                <c:pt idx="68">
                  <c:v>0.93638946191352501</c:v>
                </c:pt>
                <c:pt idx="69">
                  <c:v>0.94920142925745188</c:v>
                </c:pt>
                <c:pt idx="70">
                  <c:v>0.96051382216040138</c:v>
                </c:pt>
                <c:pt idx="71">
                  <c:v>0.97070674196597651</c:v>
                </c:pt>
                <c:pt idx="72">
                  <c:v>0.98006199194802734</c:v>
                </c:pt>
                <c:pt idx="73">
                  <c:v>0.98879591411600998</c:v>
                </c:pt>
                <c:pt idx="74">
                  <c:v>0.99708053968105481</c:v>
                </c:pt>
                <c:pt idx="75">
                  <c:v>1.0050577939805361</c:v>
                </c:pt>
                <c:pt idx="76">
                  <c:v>1.0128494687503893</c:v>
                </c:pt>
                <c:pt idx="77">
                  <c:v>1.0205645906736411</c:v>
                </c:pt>
                <c:pt idx="78">
                  <c:v>1.0283052183789592</c:v>
                </c:pt>
                <c:pt idx="79">
                  <c:v>1.0361713692535166</c:v>
                </c:pt>
                <c:pt idx="80">
                  <c:v>1.044265602308305</c:v>
                </c:pt>
                <c:pt idx="81">
                  <c:v>1.0526977097228314</c:v>
                </c:pt>
                <c:pt idx="82">
                  <c:v>1.0615899750003284</c:v>
                </c:pt>
                <c:pt idx="83">
                  <c:v>1.0710835390512958</c:v>
                </c:pt>
                <c:pt idx="84">
                  <c:v>1.0813465969937506</c:v>
                </c:pt>
                <c:pt idx="85">
                  <c:v>1.0925854760367923</c:v>
                </c:pt>
                <c:pt idx="86">
                  <c:v>1.1050602135195176</c:v>
                </c:pt>
                <c:pt idx="87">
                  <c:v>1.1191072474199235</c:v>
                </c:pt>
                <c:pt idx="88">
                  <c:v>1.135173610826256</c:v>
                </c:pt>
                <c:pt idx="89">
                  <c:v>1.1538703273036108</c:v>
                </c:pt>
                <c:pt idx="90">
                  <c:v>1.1760591300034835</c:v>
                </c:pt>
                <c:pt idx="91">
                  <c:v>1.2029998189397408</c:v>
                </c:pt>
                <c:pt idx="92">
                  <c:v>1.236614481457694</c:v>
                </c:pt>
                <c:pt idx="93">
                  <c:v>1.2799934092218661</c:v>
                </c:pt>
                <c:pt idx="94">
                  <c:v>1.3384473124964946</c:v>
                </c:pt>
                <c:pt idx="95">
                  <c:v>1.4219453942282325</c:v>
                </c:pt>
                <c:pt idx="96">
                  <c:v>1.5516681337618006</c:v>
                </c:pt>
                <c:pt idx="97">
                  <c:v>1.7819478715417216</c:v>
                </c:pt>
                <c:pt idx="98">
                  <c:v>2.3068658488357152</c:v>
                </c:pt>
                <c:pt idx="99">
                  <c:v>4.7191914087080971</c:v>
                </c:pt>
                <c:pt idx="100">
                  <c:v>-3.706199765864461</c:v>
                </c:pt>
                <c:pt idx="101">
                  <c:v>-0.46848881543170245</c:v>
                </c:pt>
                <c:pt idx="102">
                  <c:v>0.12157322991086157</c:v>
                </c:pt>
                <c:pt idx="103">
                  <c:v>0.36962878484789158</c:v>
                </c:pt>
                <c:pt idx="104">
                  <c:v>0.50649040304456394</c:v>
                </c:pt>
                <c:pt idx="105">
                  <c:v>0.59341195906923949</c:v>
                </c:pt>
                <c:pt idx="106">
                  <c:v>0.65363193342129677</c:v>
                </c:pt>
                <c:pt idx="107">
                  <c:v>0.69790426398279359</c:v>
                </c:pt>
                <c:pt idx="108">
                  <c:v>0.73188999864381221</c:v>
                </c:pt>
                <c:pt idx="109">
                  <c:v>0.7588533443465858</c:v>
                </c:pt>
                <c:pt idx="110">
                  <c:v>0.78080900634585182</c:v>
                </c:pt>
                <c:pt idx="111">
                  <c:v>0.7990680426159058</c:v>
                </c:pt>
                <c:pt idx="112">
                  <c:v>0.81452055393934586</c:v>
                </c:pt>
                <c:pt idx="113">
                  <c:v>0.82779222349306592</c:v>
                </c:pt>
                <c:pt idx="114">
                  <c:v>0.83933583800917644</c:v>
                </c:pt>
                <c:pt idx="115">
                  <c:v>0.8494872581893772</c:v>
                </c:pt>
                <c:pt idx="116">
                  <c:v>0.85850097093306865</c:v>
                </c:pt>
                <c:pt idx="117">
                  <c:v>0.86657341642139196</c:v>
                </c:pt>
                <c:pt idx="118">
                  <c:v>0.87385872963449485</c:v>
                </c:pt>
                <c:pt idx="119">
                  <c:v>0.88047962711733052</c:v>
                </c:pt>
                <c:pt idx="120">
                  <c:v>0.88653510129767332</c:v>
                </c:pt>
                <c:pt idx="121">
                  <c:v>0.89210596458295299</c:v>
                </c:pt>
                <c:pt idx="122">
                  <c:v>0.89725891402826752</c:v>
                </c:pt>
                <c:pt idx="123">
                  <c:v>0.90204955852385582</c:v>
                </c:pt>
                <c:pt idx="124">
                  <c:v>0.90652470586679401</c:v>
                </c:pt>
                <c:pt idx="125">
                  <c:v>0.9107241136453732</c:v>
                </c:pt>
                <c:pt idx="126">
                  <c:v>0.91468184623636739</c:v>
                </c:pt>
                <c:pt idx="127">
                  <c:v>0.91842733880753136</c:v>
                </c:pt>
                <c:pt idx="128">
                  <c:v>0.92198624092409376</c:v>
                </c:pt>
                <c:pt idx="129">
                  <c:v>0.92538109272789737</c:v>
                </c:pt>
                <c:pt idx="130">
                  <c:v>0.9286318728491747</c:v>
                </c:pt>
                <c:pt idx="131">
                  <c:v>0.93175644737686347</c:v>
                </c:pt>
                <c:pt idx="132">
                  <c:v>0.93477094213423328</c:v>
                </c:pt>
                <c:pt idx="133">
                  <c:v>0.93769005536542194</c:v>
                </c:pt>
                <c:pt idx="134">
                  <c:v>0.94052732418096241</c:v>
                </c:pt>
                <c:pt idx="135">
                  <c:v>0.94329535535669307</c:v>
                </c:pt>
                <c:pt idx="136">
                  <c:v>0.94600602906834919</c:v>
                </c:pt>
                <c:pt idx="137">
                  <c:v>0.94867068269250998</c:v>
                </c:pt>
                <c:pt idx="138">
                  <c:v>0.95130028078929785</c:v>
                </c:pt>
                <c:pt idx="139">
                  <c:v>0.95390557672068443</c:v>
                </c:pt>
                <c:pt idx="140">
                  <c:v>0.95649727099957937</c:v>
                </c:pt>
                <c:pt idx="141">
                  <c:v>0.95908617138404928</c:v>
                </c:pt>
                <c:pt idx="142">
                  <c:v>0.96168335992642573</c:v>
                </c:pt>
                <c:pt idx="143">
                  <c:v>0.96430037268067503</c:v>
                </c:pt>
                <c:pt idx="144">
                  <c:v>0.9669493986118769</c:v>
                </c:pt>
                <c:pt idx="145">
                  <c:v>0.9696435055210717</c:v>
                </c:pt>
                <c:pt idx="146">
                  <c:v>0.97239690262371103</c:v>
                </c:pt>
                <c:pt idx="147">
                  <c:v>0.97522525198998633</c:v>
                </c:pt>
                <c:pt idx="148">
                  <c:v>0.97814604465105404</c:v>
                </c:pt>
                <c:pt idx="149">
                  <c:v>0.98117906221333118</c:v>
                </c:pt>
                <c:pt idx="150">
                  <c:v>0.98434695192716126</c:v>
                </c:pt>
                <c:pt idx="151">
                  <c:v>0.98767595327074476</c:v>
                </c:pt>
                <c:pt idx="152">
                  <c:v>0.99119682868677328</c:v>
                </c:pt>
                <c:pt idx="153">
                  <c:v>0.99494607241608857</c:v>
                </c:pt>
                <c:pt idx="154">
                  <c:v>0.99896750302171178</c:v>
                </c:pt>
                <c:pt idx="155">
                  <c:v>1.0033143930586321</c:v>
                </c:pt>
                <c:pt idx="156">
                  <c:v>1.0080523631827585</c:v>
                </c:pt>
                <c:pt idx="157">
                  <c:v>1.013263384455354</c:v>
                </c:pt>
                <c:pt idx="158">
                  <c:v>1.0190514208822883</c:v>
                </c:pt>
                <c:pt idx="159">
                  <c:v>1.0255505571435519</c:v>
                </c:pt>
                <c:pt idx="160">
                  <c:v>1.032936992945136</c:v>
                </c:pt>
                <c:pt idx="161">
                  <c:v>1.0414472382163669</c:v>
                </c:pt>
                <c:pt idx="162">
                  <c:v>1.0514066052995996</c:v>
                </c:pt>
                <c:pt idx="163">
                  <c:v>1.0632755083492074</c:v>
                </c:pt>
                <c:pt idx="164">
                  <c:v>1.0777280679012284</c:v>
                </c:pt>
                <c:pt idx="165">
                  <c:v>1.0957927833860057</c:v>
                </c:pt>
                <c:pt idx="166">
                  <c:v>1.1191211228987652</c:v>
                </c:pt>
                <c:pt idx="167">
                  <c:v>1.1505439822592216</c:v>
                </c:pt>
                <c:pt idx="168">
                  <c:v>1.1953542591723985</c:v>
                </c:pt>
                <c:pt idx="169">
                  <c:v>1.2647281886015307</c:v>
                </c:pt>
                <c:pt idx="170">
                  <c:v>1.3870479078528646</c:v>
                </c:pt>
                <c:pt idx="171">
                  <c:v>1.6617347529180542</c:v>
                </c:pt>
                <c:pt idx="172">
                  <c:v>2.853147407957211</c:v>
                </c:pt>
                <c:pt idx="173">
                  <c:v>-1.8813449232930308</c:v>
                </c:pt>
                <c:pt idx="174">
                  <c:v>0.13916956753904497</c:v>
                </c:pt>
                <c:pt idx="175">
                  <c:v>0.47768104975510839</c:v>
                </c:pt>
                <c:pt idx="176">
                  <c:v>0.61746008756166815</c:v>
                </c:pt>
                <c:pt idx="177">
                  <c:v>0.69393925428803427</c:v>
                </c:pt>
                <c:pt idx="178">
                  <c:v>0.74226672708844432</c:v>
                </c:pt>
                <c:pt idx="179">
                  <c:v>0.7756299090864115</c:v>
                </c:pt>
                <c:pt idx="180">
                  <c:v>0.80008992105948851</c:v>
                </c:pt>
                <c:pt idx="181">
                  <c:v>0.8188224549825045</c:v>
                </c:pt>
                <c:pt idx="182">
                  <c:v>0.83365225436941726</c:v>
                </c:pt>
                <c:pt idx="183">
                  <c:v>0.84570248176124296</c:v>
                </c:pt>
                <c:pt idx="184">
                  <c:v>0.85570237195502896</c:v>
                </c:pt>
                <c:pt idx="185">
                  <c:v>0.86414604422470642</c:v>
                </c:pt>
                <c:pt idx="186">
                  <c:v>0.87138021510969133</c:v>
                </c:pt>
                <c:pt idx="187">
                  <c:v>0.87765536935520982</c:v>
                </c:pt>
                <c:pt idx="188">
                  <c:v>0.88315699684119975</c:v>
                </c:pt>
                <c:pt idx="189">
                  <c:v>0.88802540290478016</c:v>
                </c:pt>
                <c:pt idx="190">
                  <c:v>0.89236868844454686</c:v>
                </c:pt>
                <c:pt idx="191">
                  <c:v>0.89627149797536865</c:v>
                </c:pt>
                <c:pt idx="192">
                  <c:v>0.89980106249986025</c:v>
                </c:pt>
                <c:pt idx="193">
                  <c:v>0.90301146534894483</c:v>
                </c:pt>
                <c:pt idx="194">
                  <c:v>0.90594671220301282</c:v>
                </c:pt>
                <c:pt idx="195">
                  <c:v>0.90864297894808432</c:v>
                </c:pt>
                <c:pt idx="196">
                  <c:v>0.91113028328735235</c:v>
                </c:pt>
                <c:pt idx="197">
                  <c:v>0.91343374540568922</c:v>
                </c:pt>
                <c:pt idx="198">
                  <c:v>0.9155745509268276</c:v>
                </c:pt>
                <c:pt idx="199">
                  <c:v>0.9175706950907303</c:v>
                </c:pt>
                <c:pt idx="200">
                  <c:v>0.91943756403608312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CF-4862-8F37-003557E6E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72480"/>
        <c:axId val="41816064"/>
      </c:scatterChart>
      <c:valAx>
        <c:axId val="159172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576315442322012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1816064"/>
        <c:crosses val="autoZero"/>
        <c:crossBetween val="midCat"/>
      </c:valAx>
      <c:valAx>
        <c:axId val="4181606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Efficiency (%)</a:t>
                </a:r>
              </a:p>
            </c:rich>
          </c:tx>
          <c:layout>
            <c:manualLayout>
              <c:xMode val="edge"/>
              <c:yMode val="edge"/>
              <c:x val="6.7750677506776052E-3"/>
              <c:y val="0.427419778172896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172480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36970175475957"/>
          <c:y val="3.6290322580645726E-2"/>
          <c:w val="0.11788632112042907"/>
          <c:h val="4.23387096774193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7037571498782"/>
          <c:y val="5.9812039624079237E-2"/>
          <c:w val="0.80603751224324049"/>
          <c:h val="0.81048450596901189"/>
        </c:manualLayout>
      </c:layout>
      <c:scatterChart>
        <c:scatterStyle val="lineMarker"/>
        <c:varyColors val="0"/>
        <c:ser>
          <c:idx val="1"/>
          <c:order val="1"/>
          <c:tx>
            <c:v>Boost D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Calculations'!$O$9:$O$209</c:f>
              <c:numCache>
                <c:formatCode>0.000</c:formatCode>
                <c:ptCount val="201"/>
                <c:pt idx="0">
                  <c:v>0.92175615212527973</c:v>
                </c:pt>
                <c:pt idx="1">
                  <c:v>0.91979769283746549</c:v>
                </c:pt>
                <c:pt idx="2">
                  <c:v>0.91785084147665585</c:v>
                </c:pt>
                <c:pt idx="3">
                  <c:v>0.91591509497057255</c:v>
                </c:pt>
                <c:pt idx="4">
                  <c:v>0.91398997890295364</c:v>
                </c:pt>
                <c:pt idx="5">
                  <c:v>0.91207504550182006</c:v>
                </c:pt>
                <c:pt idx="6">
                  <c:v>0.91016987179487174</c:v>
                </c:pt>
                <c:pt idx="7">
                  <c:v>0.90827405791603433</c:v>
                </c:pt>
                <c:pt idx="8">
                  <c:v>0.90638722554890216</c:v>
                </c:pt>
                <c:pt idx="9">
                  <c:v>0.9045090164943379</c:v>
                </c:pt>
                <c:pt idx="10">
                  <c:v>0.90263909135082598</c:v>
                </c:pt>
                <c:pt idx="11">
                  <c:v>0.90077712829736201</c:v>
                </c:pt>
                <c:pt idx="12">
                  <c:v>0.89892282196969697</c:v>
                </c:pt>
                <c:pt idx="13">
                  <c:v>0.89707588242169234</c:v>
                </c:pt>
                <c:pt idx="14">
                  <c:v>0.89523603416435826</c:v>
                </c:pt>
                <c:pt idx="15">
                  <c:v>0.89340301527587784</c:v>
                </c:pt>
                <c:pt idx="16">
                  <c:v>0.89157657657657652</c:v>
                </c:pt>
                <c:pt idx="17">
                  <c:v>0.88975648086337333</c:v>
                </c:pt>
                <c:pt idx="18">
                  <c:v>0.88794250219876869</c:v>
                </c:pt>
                <c:pt idx="19">
                  <c:v>0.88613442524989139</c:v>
                </c:pt>
                <c:pt idx="20">
                  <c:v>0.88433204467353943</c:v>
                </c:pt>
                <c:pt idx="21">
                  <c:v>0.88253516454352432</c:v>
                </c:pt>
                <c:pt idx="22">
                  <c:v>0.88074359781696065</c:v>
                </c:pt>
                <c:pt idx="23">
                  <c:v>0.87895716583644667</c:v>
                </c:pt>
                <c:pt idx="24">
                  <c:v>0.87717569786535299</c:v>
                </c:pt>
                <c:pt idx="25">
                  <c:v>0.87539903065367441</c:v>
                </c:pt>
                <c:pt idx="26">
                  <c:v>0.87362700803212845</c:v>
                </c:pt>
                <c:pt idx="27">
                  <c:v>0.87185948053237983</c:v>
                </c:pt>
                <c:pt idx="28">
                  <c:v>0.87009630503144642</c:v>
                </c:pt>
                <c:pt idx="29">
                  <c:v>0.86833734441851418</c:v>
                </c:pt>
                <c:pt idx="30">
                  <c:v>0.86658246728252497</c:v>
                </c:pt>
                <c:pt idx="31">
                  <c:v>0.86483154761904768</c:v>
                </c:pt>
                <c:pt idx="32">
                  <c:v>0.86308446455505294</c:v>
                </c:pt>
                <c:pt idx="33">
                  <c:v>0.86134110209033221</c:v>
                </c:pt>
                <c:pt idx="34">
                  <c:v>0.85960134885439765</c:v>
                </c:pt>
                <c:pt idx="35">
                  <c:v>0.85786509787778986</c:v>
                </c:pt>
                <c:pt idx="36">
                  <c:v>0.85613224637681162</c:v>
                </c:pt>
                <c:pt idx="37">
                  <c:v>0.85440269555077142</c:v>
                </c:pt>
                <c:pt idx="38">
                  <c:v>0.85267635039090262</c:v>
                </c:pt>
                <c:pt idx="39">
                  <c:v>0.85095311950017594</c:v>
                </c:pt>
                <c:pt idx="40">
                  <c:v>0.84923291492329156</c:v>
                </c:pt>
                <c:pt idx="41">
                  <c:v>0.84751565198618306</c:v>
                </c:pt>
                <c:pt idx="42">
                  <c:v>0.84580124914442167</c:v>
                </c:pt>
                <c:pt idx="43">
                  <c:v>0.84408962783994568</c:v>
                </c:pt>
                <c:pt idx="44">
                  <c:v>0.84238071236559142</c:v>
                </c:pt>
                <c:pt idx="45">
                  <c:v>0.84067442973692974</c:v>
                </c:pt>
                <c:pt idx="46">
                  <c:v>0.83897070957095721</c:v>
                </c:pt>
                <c:pt idx="47">
                  <c:v>0.83726948397121359</c:v>
                </c:pt>
                <c:pt idx="48">
                  <c:v>0.83557068741893636</c:v>
                </c:pt>
                <c:pt idx="49">
                  <c:v>0.83387425666988102</c:v>
                </c:pt>
                <c:pt idx="50">
                  <c:v>0.83218013065646923</c:v>
                </c:pt>
                <c:pt idx="51">
                  <c:v>0.83048825039494478</c:v>
                </c:pt>
                <c:pt idx="52">
                  <c:v>0.82879855889724308</c:v>
                </c:pt>
                <c:pt idx="53">
                  <c:v>0.82711100108729418</c:v>
                </c:pt>
                <c:pt idx="54">
                  <c:v>0.82542552372150346</c:v>
                </c:pt>
                <c:pt idx="55">
                  <c:v>0.82374207531316834</c:v>
                </c:pt>
                <c:pt idx="56">
                  <c:v>0.82206060606060594</c:v>
                </c:pt>
                <c:pt idx="57">
                  <c:v>0.82038106777877973</c:v>
                </c:pt>
                <c:pt idx="58">
                  <c:v>0.81870341383422773</c:v>
                </c:pt>
                <c:pt idx="59">
                  <c:v>0.8170275990831114</c:v>
                </c:pt>
                <c:pt idx="60">
                  <c:v>0.81535357981220646</c:v>
                </c:pt>
                <c:pt idx="61">
                  <c:v>0.81368131368267826</c:v>
                </c:pt>
                <c:pt idx="62">
                  <c:v>0.81201075967648761</c:v>
                </c:pt>
                <c:pt idx="63">
                  <c:v>0.81034187804528512</c:v>
                </c:pt>
                <c:pt idx="64">
                  <c:v>0.80867463026166087</c:v>
                </c:pt>
                <c:pt idx="65">
                  <c:v>0.80700897897262214</c:v>
                </c:pt>
                <c:pt idx="66">
                  <c:v>0.805344887955182</c:v>
                </c:pt>
                <c:pt idx="67">
                  <c:v>0.80368232207395052</c:v>
                </c:pt>
                <c:pt idx="68">
                  <c:v>0.80202124724061807</c:v>
                </c:pt>
                <c:pt idx="69">
                  <c:v>0.80036163037523966</c:v>
                </c:pt>
                <c:pt idx="70">
                  <c:v>0.79870343936922239</c:v>
                </c:pt>
                <c:pt idx="71">
                  <c:v>0.79704664304993256</c:v>
                </c:pt>
                <c:pt idx="72">
                  <c:v>0.7953912111468382</c:v>
                </c:pt>
                <c:pt idx="73">
                  <c:v>0.79373711425911153</c:v>
                </c:pt>
                <c:pt idx="74">
                  <c:v>0.79208432382461702</c:v>
                </c:pt>
                <c:pt idx="75">
                  <c:v>0.79043281209021765</c:v>
                </c:pt>
                <c:pt idx="76">
                  <c:v>0.78878255208333337</c:v>
                </c:pt>
                <c:pt idx="77">
                  <c:v>0.78713351758469097</c:v>
                </c:pt>
                <c:pt idx="78">
                  <c:v>0.78548568310220845</c:v>
                </c:pt>
                <c:pt idx="79">
                  <c:v>0.78383902384595772</c:v>
                </c:pt>
                <c:pt idx="80">
                  <c:v>0.78219351570415396</c:v>
                </c:pt>
                <c:pt idx="81">
                  <c:v>0.78054913522012592</c:v>
                </c:pt>
                <c:pt idx="82">
                  <c:v>0.77890585957021496</c:v>
                </c:pt>
                <c:pt idx="83">
                  <c:v>0.7772636665425664</c:v>
                </c:pt>
                <c:pt idx="84">
                  <c:v>0.77562253451676533</c:v>
                </c:pt>
                <c:pt idx="85">
                  <c:v>0.77398244244428116</c:v>
                </c:pt>
                <c:pt idx="86">
                  <c:v>0.77234336982968377</c:v>
                </c:pt>
                <c:pt idx="87">
                  <c:v>0.77070529671259369</c:v>
                </c:pt>
                <c:pt idx="88">
                  <c:v>0.76906820365033624</c:v>
                </c:pt>
                <c:pt idx="89">
                  <c:v>0.7674320717012646</c:v>
                </c:pt>
                <c:pt idx="90">
                  <c:v>0.76579688240872446</c:v>
                </c:pt>
                <c:pt idx="91">
                  <c:v>0.76416261778563022</c:v>
                </c:pt>
                <c:pt idx="92">
                  <c:v>0.76252926029962542</c:v>
                </c:pt>
                <c:pt idx="93">
                  <c:v>0.76089679285880429</c:v>
                </c:pt>
                <c:pt idx="94">
                  <c:v>0.75926519879796583</c:v>
                </c:pt>
                <c:pt idx="95">
                  <c:v>0.75763446186538019</c:v>
                </c:pt>
                <c:pt idx="96">
                  <c:v>0.75600456621004575</c:v>
                </c:pt>
                <c:pt idx="97">
                  <c:v>0.75437549636941237</c:v>
                </c:pt>
                <c:pt idx="98">
                  <c:v>0.75274723725755521</c:v>
                </c:pt>
                <c:pt idx="99">
                  <c:v>0.75111977415377729</c:v>
                </c:pt>
                <c:pt idx="100">
                  <c:v>0.74949309269162212</c:v>
                </c:pt>
                <c:pt idx="101">
                  <c:v>0.74786717884828346</c:v>
                </c:pt>
                <c:pt idx="102">
                  <c:v>0.74624201893439024</c:v>
                </c:pt>
                <c:pt idx="103">
                  <c:v>0.74461759958415408</c:v>
                </c:pt>
                <c:pt idx="104">
                  <c:v>0.74299390774586582</c:v>
                </c:pt>
                <c:pt idx="105">
                  <c:v>0.74137093067272331</c:v>
                </c:pt>
                <c:pt idx="106">
                  <c:v>0.73974865591397865</c:v>
                </c:pt>
                <c:pt idx="107">
                  <c:v>0.73812707130639299</c:v>
                </c:pt>
                <c:pt idx="108">
                  <c:v>0.73650616496598631</c:v>
                </c:pt>
                <c:pt idx="109">
                  <c:v>0.73488592528006769</c:v>
                </c:pt>
                <c:pt idx="110">
                  <c:v>0.73326634089953768</c:v>
                </c:pt>
                <c:pt idx="111">
                  <c:v>0.73164740073145251</c:v>
                </c:pt>
                <c:pt idx="112">
                  <c:v>0.73002909393183713</c:v>
                </c:pt>
                <c:pt idx="113">
                  <c:v>0.72841140989873931</c:v>
                </c:pt>
                <c:pt idx="114">
                  <c:v>0.72679433826551587</c:v>
                </c:pt>
                <c:pt idx="115">
                  <c:v>0.72517786889433877</c:v>
                </c:pt>
                <c:pt idx="116">
                  <c:v>0.72356199186991876</c:v>
                </c:pt>
                <c:pt idx="117">
                  <c:v>0.72194669749343043</c:v>
                </c:pt>
                <c:pt idx="118">
                  <c:v>0.72033197627663859</c:v>
                </c:pt>
                <c:pt idx="119">
                  <c:v>0.71871781893621289</c:v>
                </c:pt>
                <c:pt idx="120">
                  <c:v>0.71710421638822597</c:v>
                </c:pt>
                <c:pt idx="121">
                  <c:v>0.71549115974282895</c:v>
                </c:pt>
                <c:pt idx="122">
                  <c:v>0.71387864029909487</c:v>
                </c:pt>
                <c:pt idx="123">
                  <c:v>0.71226664954002727</c:v>
                </c:pt>
                <c:pt idx="124">
                  <c:v>0.7106551791277258</c:v>
                </c:pt>
                <c:pt idx="125">
                  <c:v>0.70904422089870223</c:v>
                </c:pt>
                <c:pt idx="126">
                  <c:v>0.70743376685934489</c:v>
                </c:pt>
                <c:pt idx="127">
                  <c:v>0.70582380918152188</c:v>
                </c:pt>
                <c:pt idx="128">
                  <c:v>0.70421434019832185</c:v>
                </c:pt>
                <c:pt idx="129">
                  <c:v>0.70260535239992405</c:v>
                </c:pt>
                <c:pt idx="130">
                  <c:v>0.70099683842959615</c:v>
                </c:pt>
                <c:pt idx="131">
                  <c:v>0.69938879107981211</c:v>
                </c:pt>
                <c:pt idx="132">
                  <c:v>0.69778120328849036</c:v>
                </c:pt>
                <c:pt idx="133">
                  <c:v>0.69617406813534111</c:v>
                </c:pt>
                <c:pt idx="134">
                  <c:v>0.69456737883832786</c:v>
                </c:pt>
                <c:pt idx="135">
                  <c:v>0.69296112875023008</c:v>
                </c:pt>
                <c:pt idx="136">
                  <c:v>0.69135531135531136</c:v>
                </c:pt>
                <c:pt idx="137">
                  <c:v>0.68974992026608339</c:v>
                </c:pt>
                <c:pt idx="138">
                  <c:v>0.68814494922016678</c:v>
                </c:pt>
                <c:pt idx="139">
                  <c:v>0.68654039207724249</c:v>
                </c:pt>
                <c:pt idx="140">
                  <c:v>0.68493624281609189</c:v>
                </c:pt>
                <c:pt idx="141">
                  <c:v>0.6833324955317247</c:v>
                </c:pt>
                <c:pt idx="142">
                  <c:v>0.68172914443258625</c:v>
                </c:pt>
                <c:pt idx="143">
                  <c:v>0.6801261838378474</c:v>
                </c:pt>
                <c:pt idx="144">
                  <c:v>0.67852360817477098</c:v>
                </c:pt>
                <c:pt idx="145">
                  <c:v>0.67692141197615285</c:v>
                </c:pt>
                <c:pt idx="146">
                  <c:v>0.67531958987783591</c:v>
                </c:pt>
                <c:pt idx="147">
                  <c:v>0.67371813661629332</c:v>
                </c:pt>
                <c:pt idx="148">
                  <c:v>0.67211704702627939</c:v>
                </c:pt>
                <c:pt idx="149">
                  <c:v>0.67051631603854767</c:v>
                </c:pt>
                <c:pt idx="150">
                  <c:v>0.66891593867762922</c:v>
                </c:pt>
                <c:pt idx="151">
                  <c:v>0.66731591005967605</c:v>
                </c:pt>
                <c:pt idx="152">
                  <c:v>0.66571622539035979</c:v>
                </c:pt>
                <c:pt idx="153">
                  <c:v>0.66411687996283153</c:v>
                </c:pt>
                <c:pt idx="154">
                  <c:v>0.66251786915573496</c:v>
                </c:pt>
                <c:pt idx="155">
                  <c:v>0.66091918843127406</c:v>
                </c:pt>
                <c:pt idx="156">
                  <c:v>0.65932083333333336</c:v>
                </c:pt>
                <c:pt idx="157">
                  <c:v>0.65772279948564782</c:v>
                </c:pt>
                <c:pt idx="158">
                  <c:v>0.65612508259002311</c:v>
                </c:pt>
                <c:pt idx="159">
                  <c:v>0.65452767842460124</c:v>
                </c:pt>
                <c:pt idx="160">
                  <c:v>0.6529305828421742</c:v>
                </c:pt>
                <c:pt idx="161">
                  <c:v>0.65133379176854111</c:v>
                </c:pt>
                <c:pt idx="162">
                  <c:v>0.64973730120090878</c:v>
                </c:pt>
                <c:pt idx="163">
                  <c:v>0.64814110720633378</c:v>
                </c:pt>
                <c:pt idx="164">
                  <c:v>0.64654520592020592</c:v>
                </c:pt>
                <c:pt idx="165">
                  <c:v>0.64494959354477011</c:v>
                </c:pt>
                <c:pt idx="166">
                  <c:v>0.64335426634768744</c:v>
                </c:pt>
                <c:pt idx="167">
                  <c:v>0.64175922066063207</c:v>
                </c:pt>
                <c:pt idx="168">
                  <c:v>0.64016445287792545</c:v>
                </c:pt>
                <c:pt idx="169">
                  <c:v>0.63856995945520401</c:v>
                </c:pt>
                <c:pt idx="170">
                  <c:v>0.6369757369081217</c:v>
                </c:pt>
                <c:pt idx="171">
                  <c:v>0.63538178181108507</c:v>
                </c:pt>
                <c:pt idx="172">
                  <c:v>0.63378809079602005</c:v>
                </c:pt>
                <c:pt idx="173">
                  <c:v>0.6321946605511688</c:v>
                </c:pt>
                <c:pt idx="174">
                  <c:v>0.63060148781991976</c:v>
                </c:pt>
                <c:pt idx="175">
                  <c:v>0.62900856939966221</c:v>
                </c:pt>
                <c:pt idx="176">
                  <c:v>0.62741590214067278</c:v>
                </c:pt>
                <c:pt idx="177">
                  <c:v>0.62582348294502832</c:v>
                </c:pt>
                <c:pt idx="178">
                  <c:v>0.62423130876554445</c:v>
                </c:pt>
                <c:pt idx="179">
                  <c:v>0.62263937660474244</c:v>
                </c:pt>
                <c:pt idx="180">
                  <c:v>0.62104768351383877</c:v>
                </c:pt>
                <c:pt idx="181">
                  <c:v>0.61945622659176025</c:v>
                </c:pt>
                <c:pt idx="182">
                  <c:v>0.6178650029841839</c:v>
                </c:pt>
                <c:pt idx="183">
                  <c:v>0.61627400988259762</c:v>
                </c:pt>
                <c:pt idx="184">
                  <c:v>0.61468324452338652</c:v>
                </c:pt>
                <c:pt idx="185">
                  <c:v>0.61309270418693806</c:v>
                </c:pt>
                <c:pt idx="186">
                  <c:v>0.61150238619676944</c:v>
                </c:pt>
                <c:pt idx="187">
                  <c:v>0.6099122879186778</c:v>
                </c:pt>
                <c:pt idx="188">
                  <c:v>0.60832240675990679</c:v>
                </c:pt>
                <c:pt idx="189">
                  <c:v>0.60673274016833545</c:v>
                </c:pt>
                <c:pt idx="190">
                  <c:v>0.60514328563168551</c:v>
                </c:pt>
                <c:pt idx="191">
                  <c:v>0.60355404067674578</c:v>
                </c:pt>
                <c:pt idx="192">
                  <c:v>0.60196500286861732</c:v>
                </c:pt>
                <c:pt idx="193">
                  <c:v>0.60037616980997277</c:v>
                </c:pt>
                <c:pt idx="194">
                  <c:v>0.59878753914033589</c:v>
                </c:pt>
                <c:pt idx="195">
                  <c:v>0.59719910853537495</c:v>
                </c:pt>
                <c:pt idx="196">
                  <c:v>0.59561087570621474</c:v>
                </c:pt>
                <c:pt idx="197">
                  <c:v>0.59402283839876191</c:v>
                </c:pt>
                <c:pt idx="198">
                  <c:v>0.59243499439304736</c:v>
                </c:pt>
                <c:pt idx="199">
                  <c:v>0.59084734150258345</c:v>
                </c:pt>
                <c:pt idx="200">
                  <c:v>0.58925987757373399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6-4E5B-818B-D49CF4A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67520"/>
        <c:axId val="41873792"/>
      </c:scatterChart>
      <c:scatterChart>
        <c:scatterStyle val="lineMarker"/>
        <c:varyColors val="0"/>
        <c:ser>
          <c:idx val="0"/>
          <c:order val="0"/>
          <c:tx>
            <c:v>Buck D</c:v>
          </c:tx>
          <c:spPr>
            <a:ln w="3175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'Efficiency vs VIN Calculations'!$H$9:$H$209</c:f>
              <c:numCache>
                <c:formatCode>0.00</c:formatCode>
                <c:ptCount val="201"/>
                <c:pt idx="0">
                  <c:v>5</c:v>
                </c:pt>
                <c:pt idx="1">
                  <c:v>5.0750000000000002</c:v>
                </c:pt>
                <c:pt idx="2">
                  <c:v>5.15</c:v>
                </c:pt>
                <c:pt idx="3">
                  <c:v>5.2249999999999996</c:v>
                </c:pt>
                <c:pt idx="4">
                  <c:v>5.3</c:v>
                </c:pt>
                <c:pt idx="5">
                  <c:v>5.375</c:v>
                </c:pt>
                <c:pt idx="6">
                  <c:v>5.45</c:v>
                </c:pt>
                <c:pt idx="7">
                  <c:v>5.5250000000000004</c:v>
                </c:pt>
                <c:pt idx="8">
                  <c:v>5.6</c:v>
                </c:pt>
                <c:pt idx="9">
                  <c:v>5.6749999999999998</c:v>
                </c:pt>
                <c:pt idx="10">
                  <c:v>5.75</c:v>
                </c:pt>
                <c:pt idx="11">
                  <c:v>5.8250000000000002</c:v>
                </c:pt>
                <c:pt idx="12">
                  <c:v>5.9</c:v>
                </c:pt>
                <c:pt idx="13">
                  <c:v>5.9749999999999996</c:v>
                </c:pt>
                <c:pt idx="14">
                  <c:v>6.05</c:v>
                </c:pt>
                <c:pt idx="15">
                  <c:v>6.125</c:v>
                </c:pt>
                <c:pt idx="16">
                  <c:v>6.2</c:v>
                </c:pt>
                <c:pt idx="17">
                  <c:v>6.2750000000000004</c:v>
                </c:pt>
                <c:pt idx="18">
                  <c:v>6.35</c:v>
                </c:pt>
                <c:pt idx="19">
                  <c:v>6.4249999999999998</c:v>
                </c:pt>
                <c:pt idx="20">
                  <c:v>6.5</c:v>
                </c:pt>
                <c:pt idx="21">
                  <c:v>6.5750000000000002</c:v>
                </c:pt>
                <c:pt idx="22">
                  <c:v>6.65</c:v>
                </c:pt>
                <c:pt idx="23">
                  <c:v>6.7249999999999996</c:v>
                </c:pt>
                <c:pt idx="24">
                  <c:v>6.8</c:v>
                </c:pt>
                <c:pt idx="25">
                  <c:v>6.875</c:v>
                </c:pt>
                <c:pt idx="26">
                  <c:v>6.95</c:v>
                </c:pt>
                <c:pt idx="27">
                  <c:v>7.0250000000000004</c:v>
                </c:pt>
                <c:pt idx="28">
                  <c:v>7.1</c:v>
                </c:pt>
                <c:pt idx="29">
                  <c:v>7.1749999999999998</c:v>
                </c:pt>
                <c:pt idx="30">
                  <c:v>7.25</c:v>
                </c:pt>
                <c:pt idx="31">
                  <c:v>7.3250000000000002</c:v>
                </c:pt>
                <c:pt idx="32">
                  <c:v>7.4</c:v>
                </c:pt>
                <c:pt idx="33">
                  <c:v>7.4749999999999996</c:v>
                </c:pt>
                <c:pt idx="34">
                  <c:v>7.5500000000000007</c:v>
                </c:pt>
                <c:pt idx="35">
                  <c:v>7.625</c:v>
                </c:pt>
                <c:pt idx="36">
                  <c:v>7.6999999999999993</c:v>
                </c:pt>
                <c:pt idx="37">
                  <c:v>7.7750000000000004</c:v>
                </c:pt>
                <c:pt idx="38">
                  <c:v>7.85</c:v>
                </c:pt>
                <c:pt idx="39">
                  <c:v>7.9250000000000007</c:v>
                </c:pt>
                <c:pt idx="40">
                  <c:v>8</c:v>
                </c:pt>
                <c:pt idx="41">
                  <c:v>8.0749999999999993</c:v>
                </c:pt>
                <c:pt idx="42">
                  <c:v>8.15</c:v>
                </c:pt>
                <c:pt idx="43">
                  <c:v>8.2249999999999996</c:v>
                </c:pt>
                <c:pt idx="44">
                  <c:v>8.3000000000000007</c:v>
                </c:pt>
                <c:pt idx="45">
                  <c:v>8.375</c:v>
                </c:pt>
                <c:pt idx="46">
                  <c:v>8.4499999999999993</c:v>
                </c:pt>
                <c:pt idx="47">
                  <c:v>8.5250000000000004</c:v>
                </c:pt>
                <c:pt idx="48">
                  <c:v>8.6</c:v>
                </c:pt>
                <c:pt idx="49">
                  <c:v>8.6750000000000007</c:v>
                </c:pt>
                <c:pt idx="50">
                  <c:v>8.75</c:v>
                </c:pt>
                <c:pt idx="51">
                  <c:v>8.8249999999999993</c:v>
                </c:pt>
                <c:pt idx="52">
                  <c:v>8.9</c:v>
                </c:pt>
                <c:pt idx="53">
                  <c:v>8.9749999999999996</c:v>
                </c:pt>
                <c:pt idx="54">
                  <c:v>9.0500000000000007</c:v>
                </c:pt>
                <c:pt idx="55">
                  <c:v>9.125</c:v>
                </c:pt>
                <c:pt idx="56">
                  <c:v>9.1999999999999993</c:v>
                </c:pt>
                <c:pt idx="57">
                  <c:v>9.2749999999999986</c:v>
                </c:pt>
                <c:pt idx="58">
                  <c:v>9.35</c:v>
                </c:pt>
                <c:pt idx="59">
                  <c:v>9.4250000000000007</c:v>
                </c:pt>
                <c:pt idx="60">
                  <c:v>9.5</c:v>
                </c:pt>
                <c:pt idx="61">
                  <c:v>9.5749999999999993</c:v>
                </c:pt>
                <c:pt idx="62">
                  <c:v>9.65</c:v>
                </c:pt>
                <c:pt idx="63">
                  <c:v>9.7249999999999996</c:v>
                </c:pt>
                <c:pt idx="64">
                  <c:v>9.8000000000000007</c:v>
                </c:pt>
                <c:pt idx="65">
                  <c:v>9.875</c:v>
                </c:pt>
                <c:pt idx="66">
                  <c:v>9.9499999999999993</c:v>
                </c:pt>
                <c:pt idx="67">
                  <c:v>10.025</c:v>
                </c:pt>
                <c:pt idx="68">
                  <c:v>10.100000000000001</c:v>
                </c:pt>
                <c:pt idx="69">
                  <c:v>10.175000000000001</c:v>
                </c:pt>
                <c:pt idx="70">
                  <c:v>10.25</c:v>
                </c:pt>
                <c:pt idx="71">
                  <c:v>10.324999999999999</c:v>
                </c:pt>
                <c:pt idx="72">
                  <c:v>10.399999999999999</c:v>
                </c:pt>
                <c:pt idx="73">
                  <c:v>10.475</c:v>
                </c:pt>
                <c:pt idx="74">
                  <c:v>10.55</c:v>
                </c:pt>
                <c:pt idx="75">
                  <c:v>10.625</c:v>
                </c:pt>
                <c:pt idx="76">
                  <c:v>10.7</c:v>
                </c:pt>
                <c:pt idx="77">
                  <c:v>10.775</c:v>
                </c:pt>
                <c:pt idx="78">
                  <c:v>10.850000000000001</c:v>
                </c:pt>
                <c:pt idx="79">
                  <c:v>10.925000000000001</c:v>
                </c:pt>
                <c:pt idx="80">
                  <c:v>11</c:v>
                </c:pt>
                <c:pt idx="81">
                  <c:v>11.074999999999999</c:v>
                </c:pt>
                <c:pt idx="82">
                  <c:v>11.149999999999999</c:v>
                </c:pt>
                <c:pt idx="83">
                  <c:v>11.225</c:v>
                </c:pt>
                <c:pt idx="84">
                  <c:v>11.3</c:v>
                </c:pt>
                <c:pt idx="85">
                  <c:v>11.375</c:v>
                </c:pt>
                <c:pt idx="86">
                  <c:v>11.45</c:v>
                </c:pt>
                <c:pt idx="87">
                  <c:v>11.525</c:v>
                </c:pt>
                <c:pt idx="88">
                  <c:v>11.6</c:v>
                </c:pt>
                <c:pt idx="89">
                  <c:v>11.675000000000001</c:v>
                </c:pt>
                <c:pt idx="90">
                  <c:v>11.75</c:v>
                </c:pt>
                <c:pt idx="91">
                  <c:v>11.824999999999999</c:v>
                </c:pt>
                <c:pt idx="92">
                  <c:v>11.9</c:v>
                </c:pt>
                <c:pt idx="93">
                  <c:v>11.975000000000001</c:v>
                </c:pt>
                <c:pt idx="94">
                  <c:v>12.05</c:v>
                </c:pt>
                <c:pt idx="95">
                  <c:v>12.125</c:v>
                </c:pt>
                <c:pt idx="96">
                  <c:v>12.2</c:v>
                </c:pt>
                <c:pt idx="97">
                  <c:v>12.274999999999999</c:v>
                </c:pt>
                <c:pt idx="98">
                  <c:v>12.35</c:v>
                </c:pt>
                <c:pt idx="99">
                  <c:v>12.425000000000001</c:v>
                </c:pt>
                <c:pt idx="100">
                  <c:v>12.5</c:v>
                </c:pt>
                <c:pt idx="101">
                  <c:v>12.574999999999999</c:v>
                </c:pt>
                <c:pt idx="102">
                  <c:v>12.65</c:v>
                </c:pt>
                <c:pt idx="103">
                  <c:v>12.725000000000001</c:v>
                </c:pt>
                <c:pt idx="104">
                  <c:v>12.8</c:v>
                </c:pt>
                <c:pt idx="105">
                  <c:v>12.875</c:v>
                </c:pt>
                <c:pt idx="106">
                  <c:v>12.95</c:v>
                </c:pt>
                <c:pt idx="107">
                  <c:v>13.025</c:v>
                </c:pt>
                <c:pt idx="108">
                  <c:v>13.100000000000001</c:v>
                </c:pt>
                <c:pt idx="109">
                  <c:v>13.175000000000001</c:v>
                </c:pt>
                <c:pt idx="110">
                  <c:v>13.25</c:v>
                </c:pt>
                <c:pt idx="111">
                  <c:v>13.325000000000001</c:v>
                </c:pt>
                <c:pt idx="112">
                  <c:v>13.4</c:v>
                </c:pt>
                <c:pt idx="113">
                  <c:v>13.475</c:v>
                </c:pt>
                <c:pt idx="114">
                  <c:v>13.549999999999999</c:v>
                </c:pt>
                <c:pt idx="115">
                  <c:v>13.625</c:v>
                </c:pt>
                <c:pt idx="116">
                  <c:v>13.7</c:v>
                </c:pt>
                <c:pt idx="117">
                  <c:v>13.774999999999999</c:v>
                </c:pt>
                <c:pt idx="118">
                  <c:v>13.85</c:v>
                </c:pt>
                <c:pt idx="119">
                  <c:v>13.924999999999999</c:v>
                </c:pt>
                <c:pt idx="120">
                  <c:v>14</c:v>
                </c:pt>
                <c:pt idx="121">
                  <c:v>14.074999999999999</c:v>
                </c:pt>
                <c:pt idx="122">
                  <c:v>14.15</c:v>
                </c:pt>
                <c:pt idx="123">
                  <c:v>14.225</c:v>
                </c:pt>
                <c:pt idx="124">
                  <c:v>14.3</c:v>
                </c:pt>
                <c:pt idx="125">
                  <c:v>14.375</c:v>
                </c:pt>
                <c:pt idx="126">
                  <c:v>14.45</c:v>
                </c:pt>
                <c:pt idx="127">
                  <c:v>14.525</c:v>
                </c:pt>
                <c:pt idx="128">
                  <c:v>14.6</c:v>
                </c:pt>
                <c:pt idx="129">
                  <c:v>14.675000000000001</c:v>
                </c:pt>
                <c:pt idx="130">
                  <c:v>14.75</c:v>
                </c:pt>
                <c:pt idx="131">
                  <c:v>14.825000000000001</c:v>
                </c:pt>
                <c:pt idx="132">
                  <c:v>14.9</c:v>
                </c:pt>
                <c:pt idx="133">
                  <c:v>14.975000000000001</c:v>
                </c:pt>
                <c:pt idx="134">
                  <c:v>15.05</c:v>
                </c:pt>
                <c:pt idx="135">
                  <c:v>15.125</c:v>
                </c:pt>
                <c:pt idx="136">
                  <c:v>15.200000000000001</c:v>
                </c:pt>
                <c:pt idx="137">
                  <c:v>15.275</c:v>
                </c:pt>
                <c:pt idx="138">
                  <c:v>15.35</c:v>
                </c:pt>
                <c:pt idx="139">
                  <c:v>15.424999999999999</c:v>
                </c:pt>
                <c:pt idx="140">
                  <c:v>15.5</c:v>
                </c:pt>
                <c:pt idx="141">
                  <c:v>15.574999999999999</c:v>
                </c:pt>
                <c:pt idx="142">
                  <c:v>15.649999999999999</c:v>
                </c:pt>
                <c:pt idx="143">
                  <c:v>15.725</c:v>
                </c:pt>
                <c:pt idx="144">
                  <c:v>15.799999999999999</c:v>
                </c:pt>
                <c:pt idx="145">
                  <c:v>15.875</c:v>
                </c:pt>
                <c:pt idx="146">
                  <c:v>15.95</c:v>
                </c:pt>
                <c:pt idx="147">
                  <c:v>16.024999999999999</c:v>
                </c:pt>
                <c:pt idx="148">
                  <c:v>16.100000000000001</c:v>
                </c:pt>
                <c:pt idx="149">
                  <c:v>16.175000000000001</c:v>
                </c:pt>
                <c:pt idx="150">
                  <c:v>16.25</c:v>
                </c:pt>
                <c:pt idx="151">
                  <c:v>16.324999999999999</c:v>
                </c:pt>
                <c:pt idx="152">
                  <c:v>16.399999999999999</c:v>
                </c:pt>
                <c:pt idx="153">
                  <c:v>16.475000000000001</c:v>
                </c:pt>
                <c:pt idx="154">
                  <c:v>16.55</c:v>
                </c:pt>
                <c:pt idx="155">
                  <c:v>16.625</c:v>
                </c:pt>
                <c:pt idx="156">
                  <c:v>16.700000000000003</c:v>
                </c:pt>
                <c:pt idx="157">
                  <c:v>16.774999999999999</c:v>
                </c:pt>
                <c:pt idx="158">
                  <c:v>16.850000000000001</c:v>
                </c:pt>
                <c:pt idx="159">
                  <c:v>16.925000000000001</c:v>
                </c:pt>
                <c:pt idx="160">
                  <c:v>17</c:v>
                </c:pt>
                <c:pt idx="161">
                  <c:v>17.075000000000003</c:v>
                </c:pt>
                <c:pt idx="162">
                  <c:v>17.149999999999999</c:v>
                </c:pt>
                <c:pt idx="163">
                  <c:v>17.225000000000001</c:v>
                </c:pt>
                <c:pt idx="164">
                  <c:v>17.299999999999997</c:v>
                </c:pt>
                <c:pt idx="165">
                  <c:v>17.375</c:v>
                </c:pt>
                <c:pt idx="166">
                  <c:v>17.45</c:v>
                </c:pt>
                <c:pt idx="167">
                  <c:v>17.524999999999999</c:v>
                </c:pt>
                <c:pt idx="168">
                  <c:v>17.600000000000001</c:v>
                </c:pt>
                <c:pt idx="169">
                  <c:v>17.674999999999997</c:v>
                </c:pt>
                <c:pt idx="170">
                  <c:v>17.75</c:v>
                </c:pt>
                <c:pt idx="171">
                  <c:v>17.824999999999999</c:v>
                </c:pt>
                <c:pt idx="172">
                  <c:v>17.899999999999999</c:v>
                </c:pt>
                <c:pt idx="173">
                  <c:v>17.975000000000001</c:v>
                </c:pt>
                <c:pt idx="174">
                  <c:v>18.05</c:v>
                </c:pt>
                <c:pt idx="175">
                  <c:v>18.125</c:v>
                </c:pt>
                <c:pt idx="176">
                  <c:v>18.2</c:v>
                </c:pt>
                <c:pt idx="177">
                  <c:v>18.274999999999999</c:v>
                </c:pt>
                <c:pt idx="178">
                  <c:v>18.350000000000001</c:v>
                </c:pt>
                <c:pt idx="179">
                  <c:v>18.425000000000001</c:v>
                </c:pt>
                <c:pt idx="180">
                  <c:v>18.5</c:v>
                </c:pt>
                <c:pt idx="181">
                  <c:v>18.575000000000003</c:v>
                </c:pt>
                <c:pt idx="182">
                  <c:v>18.649999999999999</c:v>
                </c:pt>
                <c:pt idx="183">
                  <c:v>18.725000000000001</c:v>
                </c:pt>
                <c:pt idx="184">
                  <c:v>18.8</c:v>
                </c:pt>
                <c:pt idx="185">
                  <c:v>18.875</c:v>
                </c:pt>
                <c:pt idx="186">
                  <c:v>18.950000000000003</c:v>
                </c:pt>
                <c:pt idx="187">
                  <c:v>19.024999999999999</c:v>
                </c:pt>
                <c:pt idx="188">
                  <c:v>19.100000000000001</c:v>
                </c:pt>
                <c:pt idx="189">
                  <c:v>19.174999999999997</c:v>
                </c:pt>
                <c:pt idx="190">
                  <c:v>19.25</c:v>
                </c:pt>
                <c:pt idx="191">
                  <c:v>19.324999999999999</c:v>
                </c:pt>
                <c:pt idx="192">
                  <c:v>19.399999999999999</c:v>
                </c:pt>
                <c:pt idx="193">
                  <c:v>19.475000000000001</c:v>
                </c:pt>
                <c:pt idx="194">
                  <c:v>19.549999999999997</c:v>
                </c:pt>
                <c:pt idx="195">
                  <c:v>19.625</c:v>
                </c:pt>
                <c:pt idx="196">
                  <c:v>19.7</c:v>
                </c:pt>
                <c:pt idx="197">
                  <c:v>19.774999999999999</c:v>
                </c:pt>
                <c:pt idx="198">
                  <c:v>19.850000000000001</c:v>
                </c:pt>
                <c:pt idx="199">
                  <c:v>19.925000000000001</c:v>
                </c:pt>
                <c:pt idx="200">
                  <c:v>20</c:v>
                </c:pt>
              </c:numCache>
            </c:numRef>
          </c:xVal>
          <c:yVal>
            <c:numRef>
              <c:f>'Efficiency vs VIN Calculations'!$N$9:$N$209</c:f>
              <c:numCache>
                <c:formatCode>0.000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E6-4E5B-818B-D49CF4A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59648"/>
        <c:axId val="41875712"/>
      </c:scatterChart>
      <c:valAx>
        <c:axId val="41867520"/>
        <c:scaling>
          <c:orientation val="minMax"/>
          <c:max val="18"/>
          <c:min val="6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Input</a:t>
                </a:r>
                <a:r>
                  <a:rPr lang="en-US" sz="1200" baseline="0"/>
                  <a:t> Voltage (V)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42044692620593743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1873792"/>
        <c:crosses val="autoZero"/>
        <c:crossBetween val="midCat"/>
      </c:valAx>
      <c:valAx>
        <c:axId val="41873792"/>
        <c:scaling>
          <c:orientation val="minMax"/>
          <c:max val="0.55000000000000004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>
                    <a:solidFill>
                      <a:srgbClr val="FF0000"/>
                    </a:solidFill>
                  </a:rPr>
                  <a:t>Boost Duty Cycle</a:t>
                </a:r>
              </a:p>
            </c:rich>
          </c:tx>
          <c:layout>
            <c:manualLayout>
              <c:xMode val="edge"/>
              <c:yMode val="edge"/>
              <c:x val="1.7399239437699769E-2"/>
              <c:y val="0.36290364914063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1867520"/>
        <c:crosses val="autoZero"/>
        <c:crossBetween val="midCat"/>
        <c:majorUnit val="0.1"/>
        <c:minorUnit val="5.000000000000001E-2"/>
      </c:valAx>
      <c:valAx>
        <c:axId val="41875712"/>
        <c:scaling>
          <c:orientation val="minMax"/>
          <c:max val="1.05"/>
          <c:min val="0.5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1">
                    <a:solidFill>
                      <a:srgbClr val="0000FF"/>
                    </a:solidFill>
                  </a:defRPr>
                </a:pPr>
                <a:r>
                  <a:rPr lang="en-US" sz="1200" b="1">
                    <a:solidFill>
                      <a:srgbClr val="0000FF"/>
                    </a:solidFill>
                  </a:rPr>
                  <a:t>Buck Duty Cycle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 b="1">
                <a:solidFill>
                  <a:srgbClr val="0000FF"/>
                </a:solidFill>
              </a:defRPr>
            </a:pPr>
            <a:endParaRPr lang="zh-CN"/>
          </a:p>
        </c:txPr>
        <c:crossAx val="158859648"/>
        <c:crosses val="max"/>
        <c:crossBetween val="midCat"/>
        <c:majorUnit val="0.1"/>
      </c:valAx>
      <c:valAx>
        <c:axId val="1588596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875712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73316184082571"/>
          <c:y val="0.14112903225806453"/>
          <c:w val="0.15360806990759621"/>
          <c:h val="0.107866819066971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 MOSFET Temp Rise</a:t>
            </a:r>
          </a:p>
        </c:rich>
      </c:tx>
      <c:layout>
        <c:manualLayout>
          <c:xMode val="edge"/>
          <c:yMode val="edge"/>
          <c:x val="0.10222965146116514"/>
          <c:y val="5.39717446561783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4104795743185"/>
          <c:y val="0.15757606845026328"/>
          <c:w val="0.85614122031885154"/>
          <c:h val="0.71717313204926625"/>
        </c:manualLayout>
      </c:layout>
      <c:scatterChart>
        <c:scatterStyle val="lineMarker"/>
        <c:varyColors val="0"/>
        <c:ser>
          <c:idx val="0"/>
          <c:order val="0"/>
          <c:tx>
            <c:strRef>
              <c:f>'Efficiency vs Load Calculations'!$BE$8</c:f>
              <c:strCache>
                <c:ptCount val="1"/>
                <c:pt idx="0">
                  <c:v>Boost ''CONTROL'' MOSFET Temp Rise</c:v>
                </c:pt>
              </c:strCache>
            </c:strRef>
          </c:tx>
          <c:spPr>
            <a:ln w="3175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Calculations'!$BE$9:$BE$109</c:f>
              <c:numCache>
                <c:formatCode>0.0</c:formatCode>
                <c:ptCount val="101"/>
                <c:pt idx="0">
                  <c:v>34.214547510400244</c:v>
                </c:pt>
                <c:pt idx="1">
                  <c:v>35.641354472295937</c:v>
                </c:pt>
                <c:pt idx="2">
                  <c:v>37.097144224076864</c:v>
                </c:pt>
                <c:pt idx="3">
                  <c:v>38.582435850389487</c:v>
                </c:pt>
                <c:pt idx="4">
                  <c:v>40.097769153523195</c:v>
                </c:pt>
                <c:pt idx="5">
                  <c:v>41.643705306093182</c:v>
                </c:pt>
                <c:pt idx="6">
                  <c:v>43.699725696397827</c:v>
                </c:pt>
                <c:pt idx="7">
                  <c:v>45.844895807651412</c:v>
                </c:pt>
                <c:pt idx="8">
                  <c:v>48.02345279056015</c:v>
                </c:pt>
                <c:pt idx="9">
                  <c:v>50.23623608366983</c:v>
                </c:pt>
                <c:pt idx="10">
                  <c:v>52.48411192678104</c:v>
                </c:pt>
                <c:pt idx="11">
                  <c:v>54.767974492605909</c:v>
                </c:pt>
                <c:pt idx="12">
                  <c:v>57.088747073968314</c:v>
                </c:pt>
                <c:pt idx="13">
                  <c:v>59.447383329861971</c:v>
                </c:pt>
                <c:pt idx="14">
                  <c:v>61.844868593902838</c:v>
                </c:pt>
                <c:pt idx="15">
                  <c:v>64.282221248952027</c:v>
                </c:pt>
                <c:pt idx="16">
                  <c:v>66.760494171942256</c:v>
                </c:pt>
                <c:pt idx="17">
                  <c:v>69.280776253220338</c:v>
                </c:pt>
                <c:pt idx="18">
                  <c:v>71.844193995017562</c:v>
                </c:pt>
                <c:pt idx="19">
                  <c:v>74.451913193984566</c:v>
                </c:pt>
                <c:pt idx="20">
                  <c:v>77.1051407130781</c:v>
                </c:pt>
                <c:pt idx="21">
                  <c:v>79.805126348465322</c:v>
                </c:pt>
                <c:pt idx="22">
                  <c:v>82.553164797522484</c:v>
                </c:pt>
                <c:pt idx="23">
                  <c:v>85.350597734448016</c:v>
                </c:pt>
                <c:pt idx="24">
                  <c:v>88.198816000491902</c:v>
                </c:pt>
                <c:pt idx="25">
                  <c:v>91.099261916324338</c:v>
                </c:pt>
                <c:pt idx="26">
                  <c:v>94.053431724633569</c:v>
                </c:pt>
                <c:pt idx="27">
                  <c:v>97.062878171656735</c:v>
                </c:pt>
                <c:pt idx="28">
                  <c:v>100.12921323701578</c:v>
                </c:pt>
                <c:pt idx="29">
                  <c:v>103.25411102195741</c:v>
                </c:pt>
                <c:pt idx="30">
                  <c:v>106.43931080688476</c:v>
                </c:pt>
                <c:pt idx="31">
                  <c:v>109.68662028993191</c:v>
                </c:pt>
                <c:pt idx="32">
                  <c:v>112.99791901926879</c:v>
                </c:pt>
                <c:pt idx="33">
                  <c:v>116.37516203284852</c:v>
                </c:pt>
                <c:pt idx="34">
                  <c:v>119.82038372042729</c:v>
                </c:pt>
                <c:pt idx="35">
                  <c:v>123.33570192390778</c:v>
                </c:pt>
                <c:pt idx="36">
                  <c:v>126.9233222933937</c:v>
                </c:pt>
                <c:pt idx="37">
                  <c:v>130.5855429178057</c:v>
                </c:pt>
                <c:pt idx="38">
                  <c:v>134.3247592505102</c:v>
                </c:pt>
                <c:pt idx="39">
                  <c:v>138.14346935217284</c:v>
                </c:pt>
                <c:pt idx="40">
                  <c:v>142.04427947497445</c:v>
                </c:pt>
                <c:pt idx="41">
                  <c:v>146.02991001445119</c:v>
                </c:pt>
                <c:pt idx="42">
                  <c:v>150.10320185755026</c:v>
                </c:pt>
                <c:pt idx="43">
                  <c:v>154.26712315806131</c:v>
                </c:pt>
                <c:pt idx="44">
                  <c:v>158.52477657341527</c:v>
                </c:pt>
                <c:pt idx="45">
                  <c:v>162.87940699996312</c:v>
                </c:pt>
                <c:pt idx="46">
                  <c:v>167.33440984730072</c:v>
                </c:pt>
                <c:pt idx="47">
                  <c:v>171.89333989601613</c:v>
                </c:pt>
                <c:pt idx="48">
                  <c:v>176.5599207874638</c:v>
                </c:pt>
                <c:pt idx="49">
                  <c:v>181.33805519884908</c:v>
                </c:pt>
                <c:pt idx="50">
                  <c:v>186.23183576210042</c:v>
                </c:pt>
                <c:pt idx="51">
                  <c:v>191.24555679078227</c:v>
                </c:pt>
                <c:pt idx="52">
                  <c:v>196.38372688571604</c:v>
                </c:pt>
                <c:pt idx="53">
                  <c:v>201.65108249713538</c:v>
                </c:pt>
                <c:pt idx="54">
                  <c:v>207.05260252917213</c:v>
                </c:pt>
                <c:pt idx="55">
                  <c:v>212.59352408138113</c:v>
                </c:pt>
                <c:pt idx="56">
                  <c:v>218.27935943197429</c:v>
                </c:pt>
                <c:pt idx="57">
                  <c:v>224.11591437858883</c:v>
                </c:pt>
                <c:pt idx="58">
                  <c:v>230.10930806492956</c:v>
                </c:pt>
                <c:pt idx="59">
                  <c:v>236.26599443568256</c:v>
                </c:pt>
                <c:pt idx="60">
                  <c:v>242.59278547790092</c:v>
                </c:pt>
                <c:pt idx="61">
                  <c:v>249.09687642488603</c:v>
                </c:pt>
                <c:pt idx="62">
                  <c:v>255.78587311868128</c:v>
                </c:pt>
                <c:pt idx="63">
                  <c:v>262.66782175002112</c:v>
                </c:pt>
                <c:pt idx="64">
                  <c:v>269.75124122031036</c:v>
                </c:pt>
                <c:pt idx="65">
                  <c:v>277.04515839937784</c:v>
                </c:pt>
                <c:pt idx="66">
                  <c:v>284.55914658591996</c:v>
                </c:pt>
                <c:pt idx="67">
                  <c:v>292.30336751528057</c:v>
                </c:pt>
                <c:pt idx="68">
                  <c:v>300.28861730227368</c:v>
                </c:pt>
                <c:pt idx="69">
                  <c:v>308.5263767559432</c:v>
                </c:pt>
                <c:pt idx="70">
                  <c:v>317.02886655948106</c:v>
                </c:pt>
                <c:pt idx="71">
                  <c:v>325.80910787316526</c:v>
                </c:pt>
                <c:pt idx="72">
                  <c:v>334.88098899249343</c:v>
                </c:pt>
                <c:pt idx="73">
                  <c:v>344.25933877933647</c:v>
                </c:pt>
                <c:pt idx="74">
                  <c:v>353.96000768286939</c:v>
                </c:pt>
                <c:pt idx="75">
                  <c:v>363.99995728155938</c:v>
                </c:pt>
                <c:pt idx="76">
                  <c:v>374.39735941043068</c:v>
                </c:pt>
                <c:pt idx="77">
                  <c:v>385.17170609246659</c:v>
                </c:pt>
                <c:pt idx="78">
                  <c:v>396.34393167343273</c:v>
                </c:pt>
                <c:pt idx="79">
                  <c:v>407.93654877041706</c:v>
                </c:pt>
                <c:pt idx="80">
                  <c:v>419.97379989188391</c:v>
                </c:pt>
                <c:pt idx="81">
                  <c:v>432.48182687819076</c:v>
                </c:pt>
                <c:pt idx="82">
                  <c:v>445.48886065500204</c:v>
                </c:pt>
                <c:pt idx="83">
                  <c:v>459.0254341985638</c:v>
                </c:pt>
                <c:pt idx="84">
                  <c:v>473.1246220944696</c:v>
                </c:pt>
                <c:pt idx="85">
                  <c:v>487.82231064655451</c:v>
                </c:pt>
                <c:pt idx="86">
                  <c:v>503.15750317992587</c:v>
                </c:pt>
                <c:pt idx="87">
                  <c:v>519.17266600685309</c:v>
                </c:pt>
                <c:pt idx="88">
                  <c:v>535.91412151745214</c:v>
                </c:pt>
                <c:pt idx="89">
                  <c:v>553.43249605795654</c:v>
                </c:pt>
                <c:pt idx="90">
                  <c:v>571.78323171725242</c:v>
                </c:pt>
                <c:pt idx="91">
                  <c:v>591.02717291988449</c:v>
                </c:pt>
                <c:pt idx="92">
                  <c:v>611.2312409007327</c:v>
                </c:pt>
                <c:pt idx="93">
                  <c:v>632.46921181529274</c:v>
                </c:pt>
                <c:pt idx="94">
                  <c:v>654.82261755186551</c:v>
                </c:pt>
                <c:pt idx="95">
                  <c:v>678.3817924289857</c:v>
                </c:pt>
                <c:pt idx="96">
                  <c:v>703.24709410627406</c:v>
                </c:pt>
                <c:pt idx="97">
                  <c:v>729.5303335029455</c:v>
                </c:pt>
                <c:pt idx="98">
                  <c:v>757.35645669330302</c:v>
                </c:pt>
                <c:pt idx="99">
                  <c:v>786.86553215004506</c:v>
                </c:pt>
                <c:pt idx="100">
                  <c:v>818.21511002855743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F-4B1E-B765-E43B65049EC4}"/>
            </c:ext>
          </c:extLst>
        </c:ser>
        <c:ser>
          <c:idx val="1"/>
          <c:order val="1"/>
          <c:tx>
            <c:strRef>
              <c:f>'Efficiency vs Load Calculations'!$BF$8</c:f>
              <c:strCache>
                <c:ptCount val="1"/>
                <c:pt idx="0">
                  <c:v>Boost ''SYNC'' MOSFET Temp Rise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Calculations'!$BF$9:$BF$109</c:f>
              <c:numCache>
                <c:formatCode>0.0</c:formatCode>
                <c:ptCount val="101"/>
                <c:pt idx="0">
                  <c:v>18.450217456367689</c:v>
                </c:pt>
                <c:pt idx="1">
                  <c:v>18.987521136316843</c:v>
                </c:pt>
                <c:pt idx="2">
                  <c:v>19.534361926308552</c:v>
                </c:pt>
                <c:pt idx="3">
                  <c:v>20.090791110666427</c:v>
                </c:pt>
                <c:pt idx="4">
                  <c:v>20.656862039895067</c:v>
                </c:pt>
                <c:pt idx="5">
                  <c:v>21.232630147130493</c:v>
                </c:pt>
                <c:pt idx="6">
                  <c:v>22.296245316934847</c:v>
                </c:pt>
                <c:pt idx="7">
                  <c:v>23.426437771149548</c:v>
                </c:pt>
                <c:pt idx="8">
                  <c:v>24.566824434847089</c:v>
                </c:pt>
                <c:pt idx="9">
                  <c:v>25.717529263679893</c:v>
                </c:pt>
                <c:pt idx="10">
                  <c:v>26.87867845175899</c:v>
                </c:pt>
                <c:pt idx="11">
                  <c:v>28.050400477315318</c:v>
                </c:pt>
                <c:pt idx="12">
                  <c:v>29.232826149608659</c:v>
                </c:pt>
                <c:pt idx="13">
                  <c:v>30.426088657120353</c:v>
                </c:pt>
                <c:pt idx="14">
                  <c:v>31.630323617066814</c:v>
                </c:pt>
                <c:pt idx="15">
                  <c:v>32.845669126272789</c:v>
                </c:pt>
                <c:pt idx="16">
                  <c:v>34.07226581344424</c:v>
                </c:pt>
                <c:pt idx="17">
                  <c:v>35.310256892882421</c:v>
                </c:pt>
                <c:pt idx="18">
                  <c:v>36.559788219682375</c:v>
                </c:pt>
                <c:pt idx="19">
                  <c:v>37.82100834646031</c:v>
                </c:pt>
                <c:pt idx="20">
                  <c:v>39.094068581656366</c:v>
                </c:pt>
                <c:pt idx="21">
                  <c:v>40.379123049460716</c:v>
                </c:pt>
                <c:pt idx="22">
                  <c:v>41.676328751412804</c:v>
                </c:pt>
                <c:pt idx="23">
                  <c:v>42.985845629725581</c:v>
                </c:pt>
                <c:pt idx="24">
                  <c:v>44.307836632388131</c:v>
                </c:pt>
                <c:pt idx="25">
                  <c:v>45.64246778010245</c:v>
                </c:pt>
                <c:pt idx="26">
                  <c:v>46.989908235111976</c:v>
                </c:pt>
                <c:pt idx="27">
                  <c:v>48.350330371982096</c:v>
                </c:pt>
                <c:pt idx="28">
                  <c:v>49.723909850394158</c:v>
                </c:pt>
                <c:pt idx="29">
                  <c:v>51.110825690018267</c:v>
                </c:pt>
                <c:pt idx="30">
                  <c:v>52.511260347531149</c:v>
                </c:pt>
                <c:pt idx="31">
                  <c:v>53.925399795849103</c:v>
                </c:pt>
                <c:pt idx="32">
                  <c:v>55.353433605647894</c:v>
                </c:pt>
                <c:pt idx="33">
                  <c:v>56.795555029244916</c:v>
                </c:pt>
                <c:pt idx="34">
                  <c:v>58.251961086921142</c:v>
                </c:pt>
                <c:pt idx="35">
                  <c:v>59.72285265576398</c:v>
                </c:pt>
                <c:pt idx="36">
                  <c:v>61.208434561114913</c:v>
                </c:pt>
                <c:pt idx="37">
                  <c:v>62.708915670709622</c:v>
                </c:pt>
                <c:pt idx="38">
                  <c:v>64.224508991600757</c:v>
                </c:pt>
                <c:pt idx="39">
                  <c:v>65.755431769958378</c:v>
                </c:pt>
                <c:pt idx="40">
                  <c:v>67.301905593845433</c:v>
                </c:pt>
                <c:pt idx="41">
                  <c:v>68.864156499071044</c:v>
                </c:pt>
                <c:pt idx="42">
                  <c:v>70.442415078226915</c:v>
                </c:pt>
                <c:pt idx="43">
                  <c:v>72.036916593017679</c:v>
                </c:pt>
                <c:pt idx="44">
                  <c:v>73.647901089999891</c:v>
                </c:pt>
                <c:pt idx="45">
                  <c:v>75.275613519848591</c:v>
                </c:pt>
                <c:pt idx="46">
                  <c:v>76.920303860276647</c:v>
                </c:pt>
                <c:pt idx="47">
                  <c:v>78.582227242735399</c:v>
                </c:pt>
                <c:pt idx="48">
                  <c:v>80.261644083031442</c:v>
                </c:pt>
                <c:pt idx="49">
                  <c:v>81.958820216000504</c:v>
                </c:pt>
                <c:pt idx="50">
                  <c:v>83.674027034383144</c:v>
                </c:pt>
                <c:pt idx="51">
                  <c:v>85.407541632055995</c:v>
                </c:pt>
                <c:pt idx="52">
                  <c:v>87.159646951775684</c:v>
                </c:pt>
                <c:pt idx="53">
                  <c:v>88.930631937601476</c:v>
                </c:pt>
                <c:pt idx="54">
                  <c:v>90.72079169216876</c:v>
                </c:pt>
                <c:pt idx="55">
                  <c:v>92.530427638992336</c:v>
                </c:pt>
                <c:pt idx="56">
                  <c:v>94.359847689987589</c:v>
                </c:pt>
                <c:pt idx="57">
                  <c:v>96.209366418404159</c:v>
                </c:pt>
                <c:pt idx="58">
                  <c:v>98.079305237375706</c:v>
                </c:pt>
                <c:pt idx="59">
                  <c:v>99.969992584299249</c:v>
                </c:pt>
                <c:pt idx="60">
                  <c:v>101.88176411126437</c:v>
                </c:pt>
                <c:pt idx="61">
                  <c:v>103.81496288176579</c:v>
                </c:pt>
                <c:pt idx="62">
                  <c:v>105.76993957393917</c:v>
                </c:pt>
                <c:pt idx="63">
                  <c:v>107.7470526905737</c:v>
                </c:pt>
                <c:pt idx="64">
                  <c:v>109.74666877616579</c:v>
                </c:pt>
                <c:pt idx="65">
                  <c:v>111.76916264128778</c:v>
                </c:pt>
                <c:pt idx="66">
                  <c:v>113.81491759456166</c:v>
                </c:pt>
                <c:pt idx="67">
                  <c:v>115.88432568253759</c:v>
                </c:pt>
                <c:pt idx="68">
                  <c:v>117.9777879377925</c:v>
                </c:pt>
                <c:pt idx="69">
                  <c:v>120.0957146355786</c:v>
                </c:pt>
                <c:pt idx="70">
                  <c:v>122.23852555936534</c:v>
                </c:pt>
                <c:pt idx="71">
                  <c:v>124.40665027563655</c:v>
                </c:pt>
                <c:pt idx="72">
                  <c:v>126.6005284183189</c:v>
                </c:pt>
                <c:pt idx="73">
                  <c:v>128.82060998323723</c:v>
                </c:pt>
                <c:pt idx="74">
                  <c:v>131.06735563301152</c:v>
                </c:pt>
                <c:pt idx="75">
                  <c:v>133.3412370128265</c:v>
                </c:pt>
                <c:pt idx="76">
                  <c:v>135.64273707753082</c:v>
                </c:pt>
                <c:pt idx="77">
                  <c:v>137.97235043053951</c:v>
                </c:pt>
                <c:pt idx="78">
                  <c:v>140.33058367503909</c:v>
                </c:pt>
                <c:pt idx="79">
                  <c:v>142.71795577802061</c:v>
                </c:pt>
                <c:pt idx="80">
                  <c:v>145.13499844768555</c:v>
                </c:pt>
                <c:pt idx="81">
                  <c:v>147.58225652480488</c:v>
                </c:pt>
                <c:pt idx="82">
                  <c:v>150.06028838863168</c:v>
                </c:pt>
                <c:pt idx="83">
                  <c:v>152.56966637800511</c:v>
                </c:pt>
                <c:pt idx="84">
                  <c:v>155.11097722830957</c:v>
                </c:pt>
                <c:pt idx="85">
                  <c:v>157.68482252499098</c:v>
                </c:pt>
                <c:pt idx="86">
                  <c:v>160.29181917436489</c:v>
                </c:pt>
                <c:pt idx="87">
                  <c:v>162.93259989248938</c:v>
                </c:pt>
                <c:pt idx="88">
                  <c:v>165.60781371291637</c:v>
                </c:pt>
                <c:pt idx="89">
                  <c:v>168.31812651417627</c:v>
                </c:pt>
                <c:pt idx="90">
                  <c:v>171.06422156789566</c:v>
                </c:pt>
                <c:pt idx="91">
                  <c:v>173.84680010849445</c:v>
                </c:pt>
                <c:pt idx="92">
                  <c:v>176.66658192546066</c:v>
                </c:pt>
                <c:pt idx="93">
                  <c:v>179.52430597925067</c:v>
                </c:pt>
                <c:pt idx="94">
                  <c:v>182.42073104192363</c:v>
                </c:pt>
                <c:pt idx="95">
                  <c:v>185.3566363636736</c:v>
                </c:pt>
                <c:pt idx="96">
                  <c:v>188.33282236648981</c:v>
                </c:pt>
                <c:pt idx="97">
                  <c:v>191.35011136623982</c:v>
                </c:pt>
                <c:pt idx="98">
                  <c:v>194.40934832454403</c:v>
                </c:pt>
                <c:pt idx="99">
                  <c:v>197.51140163188467</c:v>
                </c:pt>
                <c:pt idx="100">
                  <c:v>200.65716392347142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F-4B1E-B765-E43B65049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35360"/>
        <c:axId val="158337280"/>
      </c:scatterChart>
      <c:valAx>
        <c:axId val="15833536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052333022741466"/>
              <c:y val="0.937985266634570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337280"/>
        <c:crosses val="autoZero"/>
        <c:crossBetween val="midCat"/>
      </c:valAx>
      <c:valAx>
        <c:axId val="158337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Temperature (</a:t>
                </a:r>
                <a:r>
                  <a:rPr lang="en-US" sz="1100">
                    <a:sym typeface="Symbol"/>
                  </a:rPr>
                  <a:t></a:t>
                </a:r>
                <a:r>
                  <a:rPr lang="en-US" sz="1100"/>
                  <a:t>C)</a:t>
                </a:r>
              </a:p>
            </c:rich>
          </c:tx>
          <c:layout>
            <c:manualLayout>
              <c:xMode val="edge"/>
              <c:yMode val="edge"/>
              <c:x val="1.3813487878384515E-2"/>
              <c:y val="0.40384993295956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335360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60965366061085946"/>
          <c:y val="2.0620499360656842E-2"/>
          <c:w val="0.351320840481532"/>
          <c:h val="9.860752613023962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MOSFET &amp;</a:t>
            </a:r>
            <a:r>
              <a:rPr lang="en-US" sz="1200" baseline="0"/>
              <a:t> Inductor</a:t>
            </a:r>
            <a:r>
              <a:rPr lang="en-US" sz="1200"/>
              <a:t> Power Dissipation</a:t>
            </a:r>
          </a:p>
        </c:rich>
      </c:tx>
      <c:layout>
        <c:manualLayout>
          <c:xMode val="edge"/>
          <c:yMode val="edge"/>
          <c:x val="0.13740051025090394"/>
          <c:y val="4.90591397849462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0636942675162"/>
          <c:y val="0.15927440521547717"/>
          <c:w val="0.8471337579617837"/>
          <c:h val="0.70362972493790654"/>
        </c:manualLayout>
      </c:layout>
      <c:scatterChart>
        <c:scatterStyle val="lineMarker"/>
        <c:varyColors val="0"/>
        <c:ser>
          <c:idx val="2"/>
          <c:order val="0"/>
          <c:tx>
            <c:strRef>
              <c:f>'Efficiency vs Load Calculations'!$BK$8</c:f>
              <c:strCache>
                <c:ptCount val="1"/>
                <c:pt idx="0">
                  <c:v>Boost ''Control'' MOSFET Loss</c:v>
                </c:pt>
              </c:strCache>
            </c:strRef>
          </c:tx>
          <c:spPr>
            <a:ln w="25400">
              <a:solidFill>
                <a:srgbClr val="000080"/>
              </a:solidFill>
              <a:prstDash val="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Calculations'!$BK$9:$BK$109</c:f>
              <c:numCache>
                <c:formatCode>0.000</c:formatCode>
                <c:ptCount val="101"/>
                <c:pt idx="0">
                  <c:v>0.6842909502080049</c:v>
                </c:pt>
                <c:pt idx="1">
                  <c:v>0.71282708944591877</c:v>
                </c:pt>
                <c:pt idx="2">
                  <c:v>0.74194288448153722</c:v>
                </c:pt>
                <c:pt idx="3">
                  <c:v>0.7716487170077897</c:v>
                </c:pt>
                <c:pt idx="4">
                  <c:v>0.80195538307046388</c:v>
                </c:pt>
                <c:pt idx="5">
                  <c:v>0.83287410612186363</c:v>
                </c:pt>
                <c:pt idx="6">
                  <c:v>0.87399451392795657</c:v>
                </c:pt>
                <c:pt idx="7">
                  <c:v>0.91689791615302829</c:v>
                </c:pt>
                <c:pt idx="8">
                  <c:v>0.96046905581120301</c:v>
                </c:pt>
                <c:pt idx="9">
                  <c:v>1.0047247216733965</c:v>
                </c:pt>
                <c:pt idx="10">
                  <c:v>1.0496822385356208</c:v>
                </c:pt>
                <c:pt idx="11">
                  <c:v>1.0953594898521182</c:v>
                </c:pt>
                <c:pt idx="12">
                  <c:v>1.1417749414793663</c:v>
                </c:pt>
                <c:pt idx="13">
                  <c:v>1.1889476665972394</c:v>
                </c:pt>
                <c:pt idx="14">
                  <c:v>1.2368973718780567</c:v>
                </c:pt>
                <c:pt idx="15">
                  <c:v>1.2856444249790404</c:v>
                </c:pt>
                <c:pt idx="16">
                  <c:v>1.3352098834388451</c:v>
                </c:pt>
                <c:pt idx="17">
                  <c:v>1.3856155250644067</c:v>
                </c:pt>
                <c:pt idx="18">
                  <c:v>1.4368838799003514</c:v>
                </c:pt>
                <c:pt idx="19">
                  <c:v>1.4890382638796913</c:v>
                </c:pt>
                <c:pt idx="20">
                  <c:v>1.542102814261562</c:v>
                </c:pt>
                <c:pt idx="21">
                  <c:v>1.5961025269693065</c:v>
                </c:pt>
                <c:pt idx="22">
                  <c:v>1.6510632959504496</c:v>
                </c:pt>
                <c:pt idx="23">
                  <c:v>1.7070119546889604</c:v>
                </c:pt>
                <c:pt idx="24">
                  <c:v>1.7639763200098382</c:v>
                </c:pt>
                <c:pt idx="25">
                  <c:v>1.8219852383264867</c:v>
                </c:pt>
                <c:pt idx="26">
                  <c:v>1.8810686344926713</c:v>
                </c:pt>
                <c:pt idx="27">
                  <c:v>1.9412575634331346</c:v>
                </c:pt>
                <c:pt idx="28">
                  <c:v>2.0025842647403156</c:v>
                </c:pt>
                <c:pt idx="29">
                  <c:v>2.0650822204391481</c:v>
                </c:pt>
                <c:pt idx="30">
                  <c:v>2.1287862161376951</c:v>
                </c:pt>
                <c:pt idx="31">
                  <c:v>2.193732405798638</c:v>
                </c:pt>
                <c:pt idx="32">
                  <c:v>2.2599583803853758</c:v>
                </c:pt>
                <c:pt idx="33">
                  <c:v>2.3275032406569705</c:v>
                </c:pt>
                <c:pt idx="34">
                  <c:v>2.3964076744085459</c:v>
                </c:pt>
                <c:pt idx="35">
                  <c:v>2.4667140384781554</c:v>
                </c:pt>
                <c:pt idx="36">
                  <c:v>2.5384664458678738</c:v>
                </c:pt>
                <c:pt idx="37">
                  <c:v>2.6117108583561142</c:v>
                </c:pt>
                <c:pt idx="38">
                  <c:v>2.6864951850102039</c:v>
                </c:pt>
                <c:pt idx="39">
                  <c:v>2.7628693870434571</c:v>
                </c:pt>
                <c:pt idx="40">
                  <c:v>2.8408855894994889</c:v>
                </c:pt>
                <c:pt idx="41">
                  <c:v>2.9205982002890236</c:v>
                </c:pt>
                <c:pt idx="42">
                  <c:v>3.0020640371510052</c:v>
                </c:pt>
                <c:pt idx="43">
                  <c:v>3.0853424631612261</c:v>
                </c:pt>
                <c:pt idx="44">
                  <c:v>3.1704955314683052</c:v>
                </c:pt>
                <c:pt idx="45">
                  <c:v>3.2575881399992626</c:v>
                </c:pt>
                <c:pt idx="46">
                  <c:v>3.3466881969460145</c:v>
                </c:pt>
                <c:pt idx="47">
                  <c:v>3.4378667979203223</c:v>
                </c:pt>
                <c:pt idx="48">
                  <c:v>3.5311984157492762</c:v>
                </c:pt>
                <c:pt idx="49">
                  <c:v>3.6267611039769814</c:v>
                </c:pt>
                <c:pt idx="50">
                  <c:v>3.7246367152420086</c:v>
                </c:pt>
                <c:pt idx="51">
                  <c:v>3.8249111358156456</c:v>
                </c:pt>
                <c:pt idx="52">
                  <c:v>3.9276745377143207</c:v>
                </c:pt>
                <c:pt idx="53">
                  <c:v>4.0330216499427074</c:v>
                </c:pt>
                <c:pt idx="54">
                  <c:v>4.1410520505834425</c:v>
                </c:pt>
                <c:pt idx="55">
                  <c:v>4.2518704816276225</c:v>
                </c:pt>
                <c:pt idx="56">
                  <c:v>4.3655871886394859</c:v>
                </c:pt>
                <c:pt idx="57">
                  <c:v>4.4823182875717764</c:v>
                </c:pt>
                <c:pt idx="58">
                  <c:v>4.602186161298591</c:v>
                </c:pt>
                <c:pt idx="59">
                  <c:v>4.7253198887136509</c:v>
                </c:pt>
                <c:pt idx="60">
                  <c:v>4.8518557095580181</c:v>
                </c:pt>
                <c:pt idx="61">
                  <c:v>4.9819375284977205</c:v>
                </c:pt>
                <c:pt idx="62">
                  <c:v>5.1157174623736257</c:v>
                </c:pt>
                <c:pt idx="63">
                  <c:v>5.2533564350004225</c:v>
                </c:pt>
                <c:pt idx="64">
                  <c:v>5.3950248244062067</c:v>
                </c:pt>
                <c:pt idx="65">
                  <c:v>5.5409031679875573</c:v>
                </c:pt>
                <c:pt idx="66">
                  <c:v>5.6911829317183997</c:v>
                </c:pt>
                <c:pt idx="67">
                  <c:v>5.8460673503056118</c:v>
                </c:pt>
                <c:pt idx="68">
                  <c:v>6.0057723460454735</c:v>
                </c:pt>
                <c:pt idx="69">
                  <c:v>6.1705275351188638</c:v>
                </c:pt>
                <c:pt idx="70">
                  <c:v>6.3405773311896212</c:v>
                </c:pt>
                <c:pt idx="71">
                  <c:v>6.5161821574633052</c:v>
                </c:pt>
                <c:pt idx="72">
                  <c:v>6.6976197798498687</c:v>
                </c:pt>
                <c:pt idx="73">
                  <c:v>6.88518677558673</c:v>
                </c:pt>
                <c:pt idx="74">
                  <c:v>7.0792001536573874</c:v>
                </c:pt>
                <c:pt idx="75">
                  <c:v>7.2799991456311872</c:v>
                </c:pt>
                <c:pt idx="76">
                  <c:v>7.4879471882086133</c:v>
                </c:pt>
                <c:pt idx="77">
                  <c:v>7.7034341218493321</c:v>
                </c:pt>
                <c:pt idx="78">
                  <c:v>7.9268786334686547</c:v>
                </c:pt>
                <c:pt idx="79">
                  <c:v>8.158730975408341</c:v>
                </c:pt>
                <c:pt idx="80">
                  <c:v>8.3994759978376781</c:v>
                </c:pt>
                <c:pt idx="81">
                  <c:v>8.6496365375638149</c:v>
                </c:pt>
                <c:pt idx="82">
                  <c:v>8.9097772131000408</c:v>
                </c:pt>
                <c:pt idx="83">
                  <c:v>9.1805086839712757</c:v>
                </c:pt>
                <c:pt idx="84">
                  <c:v>9.4624924418893919</c:v>
                </c:pt>
                <c:pt idx="85">
                  <c:v>9.75644621293109</c:v>
                </c:pt>
                <c:pt idx="86">
                  <c:v>10.063150063598517</c:v>
                </c:pt>
                <c:pt idx="87">
                  <c:v>10.383453320137063</c:v>
                </c:pt>
                <c:pt idx="88">
                  <c:v>10.718282430349044</c:v>
                </c:pt>
                <c:pt idx="89">
                  <c:v>11.068649921159132</c:v>
                </c:pt>
                <c:pt idx="90">
                  <c:v>11.435664634345049</c:v>
                </c:pt>
                <c:pt idx="91">
                  <c:v>11.82054345839769</c:v>
                </c:pt>
                <c:pt idx="92">
                  <c:v>12.224624818014654</c:v>
                </c:pt>
                <c:pt idx="93">
                  <c:v>12.649384236305854</c:v>
                </c:pt>
                <c:pt idx="94">
                  <c:v>13.096452351037311</c:v>
                </c:pt>
                <c:pt idx="95">
                  <c:v>13.567635848579714</c:v>
                </c:pt>
                <c:pt idx="96">
                  <c:v>14.064941882125481</c:v>
                </c:pt>
                <c:pt idx="97">
                  <c:v>14.590606670058911</c:v>
                </c:pt>
                <c:pt idx="98">
                  <c:v>15.147129133866059</c:v>
                </c:pt>
                <c:pt idx="99">
                  <c:v>15.737310643000901</c:v>
                </c:pt>
                <c:pt idx="100">
                  <c:v>16.364302200571149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8-42F2-9E8C-4AC28D4F752D}"/>
            </c:ext>
          </c:extLst>
        </c:ser>
        <c:ser>
          <c:idx val="3"/>
          <c:order val="1"/>
          <c:tx>
            <c:strRef>
              <c:f>'Efficiency vs Load Calculations'!$BL$8</c:f>
              <c:strCache>
                <c:ptCount val="1"/>
                <c:pt idx="0">
                  <c:v>Boost ''SYNC'' MOSFET Loss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Calculations'!$BL$9:$BL$109</c:f>
              <c:numCache>
                <c:formatCode>0.000</c:formatCode>
                <c:ptCount val="101"/>
                <c:pt idx="0">
                  <c:v>0.3690043491273538</c:v>
                </c:pt>
                <c:pt idx="1">
                  <c:v>0.37975042272633686</c:v>
                </c:pt>
                <c:pt idx="2">
                  <c:v>0.39068723852617104</c:v>
                </c:pt>
                <c:pt idx="3">
                  <c:v>0.40181582221332851</c:v>
                </c:pt>
                <c:pt idx="4">
                  <c:v>0.41313724079790137</c:v>
                </c:pt>
                <c:pt idx="5">
                  <c:v>0.42465260294260987</c:v>
                </c:pt>
                <c:pt idx="6">
                  <c:v>0.44592490633869697</c:v>
                </c:pt>
                <c:pt idx="7">
                  <c:v>0.46852875542299094</c:v>
                </c:pt>
                <c:pt idx="8">
                  <c:v>0.4913364886969418</c:v>
                </c:pt>
                <c:pt idx="9">
                  <c:v>0.51435058527359789</c:v>
                </c:pt>
                <c:pt idx="10">
                  <c:v>0.53757356903517983</c:v>
                </c:pt>
                <c:pt idx="11">
                  <c:v>0.56100800954630636</c:v>
                </c:pt>
                <c:pt idx="12">
                  <c:v>0.58465652299217319</c:v>
                </c:pt>
                <c:pt idx="13">
                  <c:v>0.60852177314240707</c:v>
                </c:pt>
                <c:pt idx="14">
                  <c:v>0.63260647234133627</c:v>
                </c:pt>
                <c:pt idx="15">
                  <c:v>0.65691338252545584</c:v>
                </c:pt>
                <c:pt idx="16">
                  <c:v>0.68144531626888483</c:v>
                </c:pt>
                <c:pt idx="17">
                  <c:v>0.70620513785764849</c:v>
                </c:pt>
                <c:pt idx="18">
                  <c:v>0.73119576439364753</c:v>
                </c:pt>
                <c:pt idx="19">
                  <c:v>0.75642016692920622</c:v>
                </c:pt>
                <c:pt idx="20">
                  <c:v>0.78188137163312732</c:v>
                </c:pt>
                <c:pt idx="21">
                  <c:v>0.80758246098921438</c:v>
                </c:pt>
                <c:pt idx="22">
                  <c:v>0.83352657502825611</c:v>
                </c:pt>
                <c:pt idx="23">
                  <c:v>0.85971691259451166</c:v>
                </c:pt>
                <c:pt idx="24">
                  <c:v>0.88615673264776262</c:v>
                </c:pt>
                <c:pt idx="25">
                  <c:v>0.91284935560204894</c:v>
                </c:pt>
                <c:pt idx="26">
                  <c:v>0.93979816470223954</c:v>
                </c:pt>
                <c:pt idx="27">
                  <c:v>0.96700660743964195</c:v>
                </c:pt>
                <c:pt idx="28">
                  <c:v>0.99447819700788309</c:v>
                </c:pt>
                <c:pt idx="29">
                  <c:v>1.0222165138003654</c:v>
                </c:pt>
                <c:pt idx="30">
                  <c:v>1.050225206950623</c:v>
                </c:pt>
                <c:pt idx="31">
                  <c:v>1.0785079959169821</c:v>
                </c:pt>
                <c:pt idx="32">
                  <c:v>1.1070686721129579</c:v>
                </c:pt>
                <c:pt idx="33">
                  <c:v>1.1359111005848983</c:v>
                </c:pt>
                <c:pt idx="34">
                  <c:v>1.1650392217384229</c:v>
                </c:pt>
                <c:pt idx="35">
                  <c:v>1.1944570531152796</c:v>
                </c:pt>
                <c:pt idx="36">
                  <c:v>1.2241686912222982</c:v>
                </c:pt>
                <c:pt idx="37">
                  <c:v>1.2541783134141924</c:v>
                </c:pt>
                <c:pt idx="38">
                  <c:v>1.2844901798320152</c:v>
                </c:pt>
                <c:pt idx="39">
                  <c:v>1.3151086353991674</c:v>
                </c:pt>
                <c:pt idx="40">
                  <c:v>1.3460381118769087</c:v>
                </c:pt>
                <c:pt idx="41">
                  <c:v>1.3772831299814208</c:v>
                </c:pt>
                <c:pt idx="42">
                  <c:v>1.4088483015645383</c:v>
                </c:pt>
                <c:pt idx="43">
                  <c:v>1.4407383318603537</c:v>
                </c:pt>
                <c:pt idx="44">
                  <c:v>1.4729580217999978</c:v>
                </c:pt>
                <c:pt idx="45">
                  <c:v>1.5055122703969719</c:v>
                </c:pt>
                <c:pt idx="46">
                  <c:v>1.538406077205533</c:v>
                </c:pt>
                <c:pt idx="47">
                  <c:v>1.5716445448547081</c:v>
                </c:pt>
                <c:pt idx="48">
                  <c:v>1.6052328816606289</c:v>
                </c:pt>
                <c:pt idx="49">
                  <c:v>1.6391764043200101</c:v>
                </c:pt>
                <c:pt idx="50">
                  <c:v>1.6734805406876629</c:v>
                </c:pt>
                <c:pt idx="51">
                  <c:v>1.7081508326411199</c:v>
                </c:pt>
                <c:pt idx="52">
                  <c:v>1.7431929390355136</c:v>
                </c:pt>
                <c:pt idx="53">
                  <c:v>1.7786126387520296</c:v>
                </c:pt>
                <c:pt idx="54">
                  <c:v>1.8144158338433751</c:v>
                </c:pt>
                <c:pt idx="55">
                  <c:v>1.8506085527798466</c:v>
                </c:pt>
                <c:pt idx="56">
                  <c:v>1.8871969537997517</c:v>
                </c:pt>
                <c:pt idx="57">
                  <c:v>1.924187328368083</c:v>
                </c:pt>
                <c:pt idx="58">
                  <c:v>1.961586104747514</c:v>
                </c:pt>
                <c:pt idx="59">
                  <c:v>1.999399851685985</c:v>
                </c:pt>
                <c:pt idx="60">
                  <c:v>2.0376352822252874</c:v>
                </c:pt>
                <c:pt idx="61">
                  <c:v>2.0762992576353159</c:v>
                </c:pt>
                <c:pt idx="62">
                  <c:v>2.1153987914787833</c:v>
                </c:pt>
                <c:pt idx="63">
                  <c:v>2.1549410538114739</c:v>
                </c:pt>
                <c:pt idx="64">
                  <c:v>2.1949333755233158</c:v>
                </c:pt>
                <c:pt idx="65">
                  <c:v>2.2353832528257556</c:v>
                </c:pt>
                <c:pt idx="66">
                  <c:v>2.2762983518912332</c:v>
                </c:pt>
                <c:pt idx="67">
                  <c:v>2.3176865136507518</c:v>
                </c:pt>
                <c:pt idx="68">
                  <c:v>2.35955575875585</c:v>
                </c:pt>
                <c:pt idx="69">
                  <c:v>2.401914292711572</c:v>
                </c:pt>
                <c:pt idx="70">
                  <c:v>2.4447705111873068</c:v>
                </c:pt>
                <c:pt idx="71">
                  <c:v>2.4881330055127311</c:v>
                </c:pt>
                <c:pt idx="72">
                  <c:v>2.5320105683663781</c:v>
                </c:pt>
                <c:pt idx="73">
                  <c:v>2.5764121996647447</c:v>
                </c:pt>
                <c:pt idx="74">
                  <c:v>2.6213471126602301</c:v>
                </c:pt>
                <c:pt idx="75">
                  <c:v>2.6668247402565299</c:v>
                </c:pt>
                <c:pt idx="76">
                  <c:v>2.7128547415506166</c:v>
                </c:pt>
                <c:pt idx="77">
                  <c:v>2.7594470086107901</c:v>
                </c:pt>
                <c:pt idx="78">
                  <c:v>2.806611673500782</c:v>
                </c:pt>
                <c:pt idx="79">
                  <c:v>2.8543591155604124</c:v>
                </c:pt>
                <c:pt idx="80">
                  <c:v>2.9026999689537112</c:v>
                </c:pt>
                <c:pt idx="81">
                  <c:v>2.9516451304960976</c:v>
                </c:pt>
                <c:pt idx="82">
                  <c:v>3.0012057677726336</c:v>
                </c:pt>
                <c:pt idx="83">
                  <c:v>3.0513933275601022</c:v>
                </c:pt>
                <c:pt idx="84">
                  <c:v>3.1022195445661911</c:v>
                </c:pt>
                <c:pt idx="85">
                  <c:v>3.1536964504998197</c:v>
                </c:pt>
                <c:pt idx="86">
                  <c:v>3.2058363834872976</c:v>
                </c:pt>
                <c:pt idx="87">
                  <c:v>3.2586519978497877</c:v>
                </c:pt>
                <c:pt idx="88">
                  <c:v>3.3121562742583275</c:v>
                </c:pt>
                <c:pt idx="89">
                  <c:v>3.3663625302835252</c:v>
                </c:pt>
                <c:pt idx="90">
                  <c:v>3.4212844313579129</c:v>
                </c:pt>
                <c:pt idx="91">
                  <c:v>3.476936002169889</c:v>
                </c:pt>
                <c:pt idx="92">
                  <c:v>3.5333316385092135</c:v>
                </c:pt>
                <c:pt idx="93">
                  <c:v>3.5904861195850133</c:v>
                </c:pt>
                <c:pt idx="94">
                  <c:v>3.6484146208384725</c:v>
                </c:pt>
                <c:pt idx="95">
                  <c:v>3.7071327272734718</c:v>
                </c:pt>
                <c:pt idx="96">
                  <c:v>3.7666564473297961</c:v>
                </c:pt>
                <c:pt idx="97">
                  <c:v>3.8270022273247961</c:v>
                </c:pt>
                <c:pt idx="98">
                  <c:v>3.8881869664908808</c:v>
                </c:pt>
                <c:pt idx="99">
                  <c:v>3.9502280326376935</c:v>
                </c:pt>
                <c:pt idx="100">
                  <c:v>4.0131432784694283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A8-42F2-9E8C-4AC28D4F752D}"/>
            </c:ext>
          </c:extLst>
        </c:ser>
        <c:ser>
          <c:idx val="0"/>
          <c:order val="2"/>
          <c:tx>
            <c:v>Inductor Loss</c:v>
          </c:tx>
          <c:spPr>
            <a:ln w="3175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Calculations'!$T$9:$T$109</c:f>
              <c:numCache>
                <c:formatCode>0.000</c:formatCode>
                <c:ptCount val="101"/>
                <c:pt idx="0">
                  <c:v>1.064425909489191</c:v>
                </c:pt>
                <c:pt idx="1">
                  <c:v>1.0650692588183663</c:v>
                </c:pt>
                <c:pt idx="2">
                  <c:v>1.0684855341537574</c:v>
                </c:pt>
                <c:pt idx="3">
                  <c:v>1.0746802574296965</c:v>
                </c:pt>
                <c:pt idx="4">
                  <c:v>1.0836626585809164</c:v>
                </c:pt>
                <c:pt idx="5">
                  <c:v>1.0954457063198382</c:v>
                </c:pt>
                <c:pt idx="6">
                  <c:v>1.1100461515057307</c:v>
                </c:pt>
                <c:pt idx="7">
                  <c:v>1.1274845833772034</c:v>
                </c:pt>
                <c:pt idx="8">
                  <c:v>1.1477854990017031</c:v>
                </c:pt>
                <c:pt idx="9">
                  <c:v>1.1709773863815276</c:v>
                </c:pt>
                <c:pt idx="10">
                  <c:v>1.1970928217463022</c:v>
                </c:pt>
                <c:pt idx="11">
                  <c:v>1.2261685816575516</c:v>
                </c:pt>
                <c:pt idx="12">
                  <c:v>1.2582457706534746</c:v>
                </c:pt>
                <c:pt idx="13">
                  <c:v>1.2933699652719293</c:v>
                </c:pt>
                <c:pt idx="14">
                  <c:v>1.3315913754086957</c:v>
                </c:pt>
                <c:pt idx="15">
                  <c:v>1.3729650240974152</c:v>
                </c:pt>
                <c:pt idx="16">
                  <c:v>1.4175509469389078</c:v>
                </c:pt>
                <c:pt idx="17">
                  <c:v>1.465414412562648</c:v>
                </c:pt>
                <c:pt idx="18">
                  <c:v>1.5166261656740132</c:v>
                </c:pt>
                <c:pt idx="19">
                  <c:v>1.5712626944297949</c:v>
                </c:pt>
                <c:pt idx="20">
                  <c:v>1.6294065240939251</c:v>
                </c:pt>
                <c:pt idx="21">
                  <c:v>1.6911465391585421</c:v>
                </c:pt>
                <c:pt idx="22">
                  <c:v>1.7565783363755874</c:v>
                </c:pt>
                <c:pt idx="23">
                  <c:v>1.8258046114351347</c:v>
                </c:pt>
                <c:pt idx="24">
                  <c:v>1.8989355823530083</c:v>
                </c:pt>
                <c:pt idx="25">
                  <c:v>1.9760894529972273</c:v>
                </c:pt>
                <c:pt idx="26">
                  <c:v>2.0573929205961861</c:v>
                </c:pt>
                <c:pt idx="27">
                  <c:v>2.1429817315385993</c:v>
                </c:pt>
                <c:pt idx="28">
                  <c:v>2.2330012903035801</c:v>
                </c:pt>
                <c:pt idx="29">
                  <c:v>2.3276073269589626</c:v>
                </c:pt>
                <c:pt idx="30">
                  <c:v>2.4269666293472767</c:v>
                </c:pt>
                <c:pt idx="31">
                  <c:v>2.5312578468553504</c:v>
                </c:pt>
                <c:pt idx="32">
                  <c:v>2.6406723735497595</c:v>
                </c:pt>
                <c:pt idx="33">
                  <c:v>2.7554153194745696</c:v>
                </c:pt>
                <c:pt idx="34">
                  <c:v>2.8757065800707551</c:v>
                </c:pt>
                <c:pt idx="35">
                  <c:v>3.0017820150132435</c:v>
                </c:pt>
                <c:pt idx="36">
                  <c:v>3.1338947493012657</c:v>
                </c:pt>
                <c:pt idx="37">
                  <c:v>3.2723166112154622</c:v>
                </c:pt>
                <c:pt idx="38">
                  <c:v>3.4173397238129781</c:v>
                </c:pt>
                <c:pt idx="39">
                  <c:v>3.5692782690195397</c:v>
                </c:pt>
                <c:pt idx="40">
                  <c:v>3.7284704461550611</c:v>
                </c:pt>
                <c:pt idx="41">
                  <c:v>3.8952806499692221</c:v>
                </c:pt>
                <c:pt idx="42">
                  <c:v>4.0701018970524458</c:v>
                </c:pt>
                <c:pt idx="43">
                  <c:v>4.253358533931789</c:v>
                </c:pt>
                <c:pt idx="44">
                  <c:v>4.4455092653885036</c:v>
                </c:pt>
                <c:pt idx="45">
                  <c:v>4.6470505477009647</c:v>
                </c:pt>
                <c:pt idx="46">
                  <c:v>4.8585203988155463</c:v>
                </c:pt>
                <c:pt idx="47">
                  <c:v>5.0805026861133609</c:v>
                </c:pt>
                <c:pt idx="48">
                  <c:v>5.313631962764445</c:v>
                </c:pt>
                <c:pt idx="49">
                  <c:v>5.5585989360022303</c:v>
                </c:pt>
                <c:pt idx="50">
                  <c:v>5.8161566654582764</c:v>
                </c:pt>
                <c:pt idx="51">
                  <c:v>6.0871276075306948</c:v>
                </c:pt>
                <c:pt idx="52">
                  <c:v>6.3724116433216329</c:v>
                </c:pt>
                <c:pt idx="53">
                  <c:v>6.6729952538580033</c:v>
                </c:pt>
                <c:pt idx="54">
                  <c:v>6.9899620382289669</c:v>
                </c:pt>
                <c:pt idx="55">
                  <c:v>7.324504809368495</c:v>
                </c:pt>
                <c:pt idx="56">
                  <c:v>7.6779395503191434</c:v>
                </c:pt>
                <c:pt idx="57">
                  <c:v>8.0517215733036345</c:v>
                </c:pt>
                <c:pt idx="58">
                  <c:v>8.4474642978776977</c:v>
                </c:pt>
                <c:pt idx="59">
                  <c:v>8.866961156852021</c:v>
                </c:pt>
                <c:pt idx="60">
                  <c:v>9.312211254823989</c:v>
                </c:pt>
                <c:pt idx="61">
                  <c:v>9.7854495510264261</c:v>
                </c:pt>
                <c:pt idx="62">
                  <c:v>10.28918252507593</c:v>
                </c:pt>
                <c:pt idx="63">
                  <c:v>10.826230523578273</c:v>
                </c:pt>
                <c:pt idx="64">
                  <c:v>11.399778294336324</c:v>
                </c:pt>
                <c:pt idx="65">
                  <c:v>12.013435616216622</c:v>
                </c:pt>
                <c:pt idx="66">
                  <c:v>12.671310458430277</c:v>
                </c:pt>
                <c:pt idx="67">
                  <c:v>13.378097797435061</c:v>
                </c:pt>
                <c:pt idx="68">
                  <c:v>14.139188145288639</c:v>
                </c:pt>
                <c:pt idx="69">
                  <c:v>14.960801088861155</c:v>
                </c:pt>
                <c:pt idx="70">
                  <c:v>15.85015083264553</c:v>
                </c:pt>
                <c:pt idx="71">
                  <c:v>16.815653065265597</c:v>
                </c:pt>
                <c:pt idx="72">
                  <c:v>17.867185706399106</c:v>
                </c:pt>
                <c:pt idx="73">
                  <c:v>19.01642064931961</c:v>
                </c:pt>
                <c:pt idx="74">
                  <c:v>20.27725012298124</c:v>
                </c:pt>
                <c:pt idx="75">
                  <c:v>21.666340729853417</c:v>
                </c:pt>
                <c:pt idx="76">
                  <c:v>23.203862107320667</c:v>
                </c:pt>
                <c:pt idx="77">
                  <c:v>24.914457983754545</c:v>
                </c:pt>
                <c:pt idx="78">
                  <c:v>26.828559224036155</c:v>
                </c:pt>
                <c:pt idx="79">
                  <c:v>28.984188142878942</c:v>
                </c:pt>
                <c:pt idx="80">
                  <c:v>31.429482785343129</c:v>
                </c:pt>
                <c:pt idx="81">
                  <c:v>34.226300218038013</c:v>
                </c:pt>
                <c:pt idx="82">
                  <c:v>37.45547820311161</c:v>
                </c:pt>
                <c:pt idx="83">
                  <c:v>41.224719698969771</c:v>
                </c:pt>
                <c:pt idx="84">
                  <c:v>45.680763715909386</c:v>
                </c:pt>
                <c:pt idx="85">
                  <c:v>51.028832017111206</c:v>
                </c:pt>
                <c:pt idx="86">
                  <c:v>57.564987701517175</c:v>
                </c:pt>
                <c:pt idx="87">
                  <c:v>65.732652035907492</c:v>
                </c:pt>
                <c:pt idx="88">
                  <c:v>76.227311941775696</c:v>
                </c:pt>
                <c:pt idx="89">
                  <c:v>90.205299182111901</c:v>
                </c:pt>
                <c:pt idx="90">
                  <c:v>109.74128127560304</c:v>
                </c:pt>
                <c:pt idx="91">
                  <c:v>138.96575741145807</c:v>
                </c:pt>
                <c:pt idx="92">
                  <c:v>187.45008521437092</c:v>
                </c:pt>
                <c:pt idx="93">
                  <c:v>283.56382088729873</c:v>
                </c:pt>
                <c:pt idx="94">
                  <c:v>565.14230332071895</c:v>
                </c:pt>
                <c:pt idx="95">
                  <c:v>16211.443066629026</c:v>
                </c:pt>
                <c:pt idx="96">
                  <c:v>-625.56348511414319</c:v>
                </c:pt>
                <c:pt idx="97">
                  <c:v>-311.24055570983518</c:v>
                </c:pt>
                <c:pt idx="98">
                  <c:v>-209.06950587640628</c:v>
                </c:pt>
                <c:pt idx="99">
                  <c:v>-158.46474153900431</c:v>
                </c:pt>
                <c:pt idx="100">
                  <c:v>-128.25790025293088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8-42F2-9E8C-4AC28D4F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2224"/>
        <c:axId val="158374144"/>
      </c:scatterChart>
      <c:valAx>
        <c:axId val="158372224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7898089171975511"/>
              <c:y val="0.92540407247481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374144"/>
        <c:crosses val="autoZero"/>
        <c:crossBetween val="midCat"/>
      </c:valAx>
      <c:valAx>
        <c:axId val="158374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Power Disipation (W)</a:t>
                </a:r>
              </a:p>
            </c:rich>
          </c:tx>
          <c:layout>
            <c:manualLayout>
              <c:xMode val="edge"/>
              <c:yMode val="edge"/>
              <c:x val="1.9108297737292643E-2"/>
              <c:y val="0.346102573871814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372224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383745388469802"/>
          <c:y val="1.0080645161290322E-2"/>
          <c:w val="0.35068494759833341"/>
          <c:h val="0.12903246973160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/>
              <a:t> Overall Efficiency</a:t>
            </a:r>
          </a:p>
        </c:rich>
      </c:tx>
      <c:layout>
        <c:manualLayout>
          <c:xMode val="edge"/>
          <c:yMode val="edge"/>
          <c:x val="0.41192468827576156"/>
          <c:y val="3.02419354838718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74102129638858"/>
          <c:y val="0.15927435034411094"/>
          <c:w val="0.85384629851107507"/>
          <c:h val="0.72983942815910108"/>
        </c:manualLayout>
      </c:layout>
      <c:scatterChart>
        <c:scatterStyle val="lineMarker"/>
        <c:varyColors val="0"/>
        <c:ser>
          <c:idx val="0"/>
          <c:order val="0"/>
          <c:tx>
            <c:v>Efficiency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'Efficiency vs Load Calculations'!$K$9:$K$109</c:f>
              <c:numCache>
                <c:formatCode>0.000</c:formatCode>
                <c:ptCount val="10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'Efficiency vs Load Calculations'!$BD$9:$BD$109</c:f>
              <c:numCache>
                <c:formatCode>0.0%</c:formatCode>
                <c:ptCount val="101"/>
                <c:pt idx="0">
                  <c:v>0</c:v>
                </c:pt>
                <c:pt idx="1">
                  <c:v>0.55449938231583584</c:v>
                </c:pt>
                <c:pt idx="2">
                  <c:v>0.71085708739770292</c:v>
                </c:pt>
                <c:pt idx="3">
                  <c:v>0.78431221928138573</c:v>
                </c:pt>
                <c:pt idx="4">
                  <c:v>0.82679764430429847</c:v>
                </c:pt>
                <c:pt idx="5">
                  <c:v>0.85436168454319616</c:v>
                </c:pt>
                <c:pt idx="6">
                  <c:v>0.87308989133402259</c:v>
                </c:pt>
                <c:pt idx="7">
                  <c:v>0.88675927257467246</c:v>
                </c:pt>
                <c:pt idx="8">
                  <c:v>0.89714538805690291</c:v>
                </c:pt>
                <c:pt idx="9">
                  <c:v>0.90525549388187154</c:v>
                </c:pt>
                <c:pt idx="10">
                  <c:v>0.91172228834083457</c:v>
                </c:pt>
                <c:pt idx="11">
                  <c:v>0.91696311465556701</c:v>
                </c:pt>
                <c:pt idx="12">
                  <c:v>0.92126431983807389</c:v>
                </c:pt>
                <c:pt idx="13">
                  <c:v>0.92482883596057996</c:v>
                </c:pt>
                <c:pt idx="14">
                  <c:v>0.9278044221505739</c:v>
                </c:pt>
                <c:pt idx="15">
                  <c:v>0.93030115535015034</c:v>
                </c:pt>
                <c:pt idx="16">
                  <c:v>0.93240265928843657</c:v>
                </c:pt>
                <c:pt idx="17">
                  <c:v>0.93417353916173229</c:v>
                </c:pt>
                <c:pt idx="18">
                  <c:v>0.93566443742483785</c:v>
                </c:pt>
                <c:pt idx="19">
                  <c:v>0.93691555312114061</c:v>
                </c:pt>
                <c:pt idx="20">
                  <c:v>0.93795914256311363</c:v>
                </c:pt>
                <c:pt idx="21">
                  <c:v>0.93882132879774871</c:v>
                </c:pt>
                <c:pt idx="22">
                  <c:v>0.93952343217965484</c:v>
                </c:pt>
                <c:pt idx="23">
                  <c:v>0.94008296285352566</c:v>
                </c:pt>
                <c:pt idx="24">
                  <c:v>0.94051437041272901</c:v>
                </c:pt>
                <c:pt idx="25">
                  <c:v>0.94082961636352302</c:v>
                </c:pt>
                <c:pt idx="26">
                  <c:v>0.94103861534246291</c:v>
                </c:pt>
                <c:pt idx="27">
                  <c:v>0.94114957771945473</c:v>
                </c:pt>
                <c:pt idx="28">
                  <c:v>0.94116927705375009</c:v>
                </c:pt>
                <c:pt idx="29">
                  <c:v>0.94110325945651419</c:v>
                </c:pt>
                <c:pt idx="30">
                  <c:v>0.94095600735186524</c:v>
                </c:pt>
                <c:pt idx="31">
                  <c:v>0.94073106682889451</c:v>
                </c:pt>
                <c:pt idx="32">
                  <c:v>0.94043114534655858</c:v>
                </c:pt>
                <c:pt idx="33">
                  <c:v>0.9400581847235413</c:v>
                </c:pt>
                <c:pt idx="34">
                  <c:v>0.93961341292961276</c:v>
                </c:pt>
                <c:pt idx="35">
                  <c:v>0.93909737705993468</c:v>
                </c:pt>
                <c:pt idx="36">
                  <c:v>0.93850995891924349</c:v>
                </c:pt>
                <c:pt idx="37">
                  <c:v>0.93785037378972813</c:v>
                </c:pt>
                <c:pt idx="38">
                  <c:v>0.93711715213643954</c:v>
                </c:pt>
                <c:pt idx="39">
                  <c:v>0.9363081031518149</c:v>
                </c:pt>
                <c:pt idx="40">
                  <c:v>0.93542025808599893</c:v>
                </c:pt>
                <c:pt idx="41">
                  <c:v>0.93444979016808427</c:v>
                </c:pt>
                <c:pt idx="42">
                  <c:v>0.9333919064862638</c:v>
                </c:pt>
                <c:pt idx="43">
                  <c:v>0.93224070531260073</c:v>
                </c:pt>
                <c:pt idx="44">
                  <c:v>0.93098898981669287</c:v>
                </c:pt>
                <c:pt idx="45">
                  <c:v>0.92962802559663549</c:v>
                </c:pt>
                <c:pt idx="46">
                  <c:v>0.92814722448966258</c:v>
                </c:pt>
                <c:pt idx="47">
                  <c:v>0.92653372997543371</c:v>
                </c:pt>
                <c:pt idx="48">
                  <c:v>0.92477186899854924</c:v>
                </c:pt>
                <c:pt idx="49">
                  <c:v>0.92284241935956746</c:v>
                </c:pt>
                <c:pt idx="50">
                  <c:v>0.92072161790826412</c:v>
                </c:pt>
                <c:pt idx="51">
                  <c:v>0.91837979748652598</c:v>
                </c:pt>
                <c:pt idx="52">
                  <c:v>0.91577948103152895</c:v>
                </c:pt>
                <c:pt idx="53">
                  <c:v>0.91287266363846009</c:v>
                </c:pt>
                <c:pt idx="54">
                  <c:v>0.90959684854671063</c:v>
                </c:pt>
                <c:pt idx="55">
                  <c:v>0.90586911522305258</c:v>
                </c:pt>
                <c:pt idx="56">
                  <c:v>0.90157697582010821</c:v>
                </c:pt>
                <c:pt idx="57">
                  <c:v>0.89656378762564681</c:v>
                </c:pt>
                <c:pt idx="58">
                  <c:v>0.89060451859700018</c:v>
                </c:pt>
                <c:pt idx="59">
                  <c:v>0.88336349277326587</c:v>
                </c:pt>
                <c:pt idx="60">
                  <c:v>0.87431625718563011</c:v>
                </c:pt>
                <c:pt idx="61">
                  <c:v>0.86259414382264588</c:v>
                </c:pt>
                <c:pt idx="62">
                  <c:v>0.84664462644314809</c:v>
                </c:pt>
                <c:pt idx="63">
                  <c:v>0.82339001788281807</c:v>
                </c:pt>
                <c:pt idx="64">
                  <c:v>0.78573755138247314</c:v>
                </c:pt>
                <c:pt idx="65">
                  <c:v>0.71284320099566911</c:v>
                </c:pt>
                <c:pt idx="66">
                  <c:v>0.50534976117172403</c:v>
                </c:pt>
                <c:pt idx="67">
                  <c:v>-6.38515626071454</c:v>
                </c:pt>
                <c:pt idx="68">
                  <c:v>1.4066112448279808</c:v>
                </c:pt>
                <c:pt idx="69">
                  <c:v>1.1569335335079172</c:v>
                </c:pt>
                <c:pt idx="70">
                  <c:v>1.0757588255963244</c:v>
                </c:pt>
                <c:pt idx="71">
                  <c:v>1.0346163633812293</c:v>
                </c:pt>
                <c:pt idx="72">
                  <c:v>1.0090802120597231</c:v>
                </c:pt>
                <c:pt idx="73">
                  <c:v>0.99116300017066494</c:v>
                </c:pt>
                <c:pt idx="74">
                  <c:v>0.97746706423963325</c:v>
                </c:pt>
                <c:pt idx="75">
                  <c:v>0.96629054754859789</c:v>
                </c:pt>
                <c:pt idx="76">
                  <c:v>0.9566752673389165</c:v>
                </c:pt>
                <c:pt idx="77">
                  <c:v>0.9480284243887821</c:v>
                </c:pt>
                <c:pt idx="78">
                  <c:v>0.93995058540816745</c:v>
                </c:pt>
                <c:pt idx="79">
                  <c:v>0.93214853599500158</c:v>
                </c:pt>
                <c:pt idx="80">
                  <c:v>0.92438646072502662</c:v>
                </c:pt>
                <c:pt idx="81">
                  <c:v>0.91645531702029492</c:v>
                </c:pt>
                <c:pt idx="82">
                  <c:v>0.90815058980707319</c:v>
                </c:pt>
                <c:pt idx="83">
                  <c:v>0.89925281398245072</c:v>
                </c:pt>
                <c:pt idx="84">
                  <c:v>0.88950672084013283</c:v>
                </c:pt>
                <c:pt idx="85">
                  <c:v>0.87859470822930363</c:v>
                </c:pt>
                <c:pt idx="86">
                  <c:v>0.86609859406039236</c:v>
                </c:pt>
                <c:pt idx="87">
                  <c:v>0.85143939061712248</c:v>
                </c:pt>
                <c:pt idx="88">
                  <c:v>0.83377557194681184</c:v>
                </c:pt>
                <c:pt idx="89">
                  <c:v>0.81181933723139943</c:v>
                </c:pt>
                <c:pt idx="90">
                  <c:v>0.78347928246955301</c:v>
                </c:pt>
                <c:pt idx="91">
                  <c:v>0.74509999668272819</c:v>
                </c:pt>
                <c:pt idx="92">
                  <c:v>0.68964282592091897</c:v>
                </c:pt>
                <c:pt idx="93">
                  <c:v>0.60156491668006373</c:v>
                </c:pt>
                <c:pt idx="94">
                  <c:v>0.43836957571138263</c:v>
                </c:pt>
                <c:pt idx="95">
                  <c:v>2.7336155318619829E-2</c:v>
                </c:pt>
                <c:pt idx="96">
                  <c:v>-3.0688680290730836</c:v>
                </c:pt>
                <c:pt idx="97">
                  <c:v>2.741469496379191</c:v>
                </c:pt>
                <c:pt idx="98">
                  <c:v>1.6939507075013973</c:v>
                </c:pt>
                <c:pt idx="99">
                  <c:v>1.4227086969900973</c:v>
                </c:pt>
                <c:pt idx="100">
                  <c:v>1.2974425467730533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0-45DB-9682-28670646E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90912"/>
        <c:axId val="158892800"/>
      </c:scatterChart>
      <c:valAx>
        <c:axId val="1583909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100"/>
                  <a:t>Input</a:t>
                </a:r>
                <a:r>
                  <a:rPr lang="en-US" sz="1100" baseline="0"/>
                  <a:t> Voltage (V)</a:t>
                </a:r>
                <a:endParaRPr lang="en-US" sz="1100"/>
              </a:p>
            </c:rich>
          </c:tx>
          <c:layout>
            <c:manualLayout>
              <c:xMode val="edge"/>
              <c:yMode val="edge"/>
              <c:x val="0.4576315442322012"/>
              <c:y val="0.943549233765134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892800"/>
        <c:crosses val="autoZero"/>
        <c:crossBetween val="midCat"/>
      </c:valAx>
      <c:valAx>
        <c:axId val="158892800"/>
        <c:scaling>
          <c:orientation val="minMax"/>
          <c:max val="1"/>
          <c:min val="0.7000000000000000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Efficiency (%)</a:t>
                </a:r>
              </a:p>
            </c:rich>
          </c:tx>
          <c:layout>
            <c:manualLayout>
              <c:xMode val="edge"/>
              <c:yMode val="edge"/>
              <c:x val="6.7750677506776052E-3"/>
              <c:y val="0.427419778172896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8390912"/>
        <c:crosses val="autoZero"/>
        <c:crossBetween val="midCat"/>
      </c:valAx>
      <c:spPr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36970175475957"/>
          <c:y val="3.6290322580645726E-2"/>
          <c:w val="0.11788632112042907"/>
          <c:h val="4.23387096774193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666" r="0.75000000000000666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LM5175 Bode Plot</a:t>
            </a:r>
          </a:p>
        </c:rich>
      </c:tx>
      <c:layout>
        <c:manualLayout>
          <c:xMode val="edge"/>
          <c:yMode val="edge"/>
          <c:x val="0.40864917395529671"/>
          <c:y val="2.137765037434836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49854227405264"/>
          <c:y val="9.5803642121931945E-2"/>
          <c:w val="0.80272108843537593"/>
          <c:h val="0.71734049943922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'Stability Calculations'!$Q$12</c:f>
              <c:strCache>
                <c:ptCount val="1"/>
                <c:pt idx="0">
                  <c:v>Gain (dB)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Calculations'!$Q$13:$Q$613</c:f>
              <c:numCache>
                <c:formatCode>0.00</c:formatCode>
                <c:ptCount val="601"/>
                <c:pt idx="0">
                  <c:v>77.379092377711956</c:v>
                </c:pt>
                <c:pt idx="1">
                  <c:v>76.806936867192604</c:v>
                </c:pt>
                <c:pt idx="2">
                  <c:v>76.206040749218673</c:v>
                </c:pt>
                <c:pt idx="3">
                  <c:v>75.578922366258524</c:v>
                </c:pt>
                <c:pt idx="4">
                  <c:v>74.928595929247905</c:v>
                </c:pt>
                <c:pt idx="5">
                  <c:v>74.256522295238113</c:v>
                </c:pt>
                <c:pt idx="6">
                  <c:v>73.566094613819004</c:v>
                </c:pt>
                <c:pt idx="7">
                  <c:v>72.859171956185705</c:v>
                </c:pt>
                <c:pt idx="8">
                  <c:v>72.138400540944488</c:v>
                </c:pt>
                <c:pt idx="9">
                  <c:v>71.405164386145742</c:v>
                </c:pt>
                <c:pt idx="10">
                  <c:v>70.661604448522837</c:v>
                </c:pt>
                <c:pt idx="11">
                  <c:v>69.909138625638533</c:v>
                </c:pt>
                <c:pt idx="12">
                  <c:v>69.148691781300485</c:v>
                </c:pt>
                <c:pt idx="13">
                  <c:v>68.382144603547758</c:v>
                </c:pt>
                <c:pt idx="14">
                  <c:v>67.609875661982798</c:v>
                </c:pt>
                <c:pt idx="15">
                  <c:v>66.833024144382421</c:v>
                </c:pt>
                <c:pt idx="16">
                  <c:v>66.052244069368498</c:v>
                </c:pt>
                <c:pt idx="17">
                  <c:v>65.268250925664319</c:v>
                </c:pt>
                <c:pt idx="18">
                  <c:v>64.481322755760033</c:v>
                </c:pt>
                <c:pt idx="19">
                  <c:v>63.692091345962709</c:v>
                </c:pt>
                <c:pt idx="20">
                  <c:v>62.900745944360175</c:v>
                </c:pt>
                <c:pt idx="21">
                  <c:v>62.107730178232913</c:v>
                </c:pt>
                <c:pt idx="22">
                  <c:v>61.313100777246198</c:v>
                </c:pt>
                <c:pt idx="23">
                  <c:v>60.517231259592833</c:v>
                </c:pt>
                <c:pt idx="24">
                  <c:v>59.720052195012286</c:v>
                </c:pt>
                <c:pt idx="25">
                  <c:v>58.921780354060331</c:v>
                </c:pt>
                <c:pt idx="26">
                  <c:v>58.122286540735779</c:v>
                </c:pt>
                <c:pt idx="27">
                  <c:v>57.321847707258726</c:v>
                </c:pt>
                <c:pt idx="28">
                  <c:v>56.520422074350051</c:v>
                </c:pt>
                <c:pt idx="29">
                  <c:v>55.718464333386649</c:v>
                </c:pt>
                <c:pt idx="30">
                  <c:v>54.914539188784381</c:v>
                </c:pt>
                <c:pt idx="31">
                  <c:v>54.109654147644576</c:v>
                </c:pt>
                <c:pt idx="32">
                  <c:v>53.303109812073785</c:v>
                </c:pt>
                <c:pt idx="33">
                  <c:v>52.495285496789286</c:v>
                </c:pt>
                <c:pt idx="34">
                  <c:v>51.685316346847934</c:v>
                </c:pt>
                <c:pt idx="35">
                  <c:v>50.873364862102292</c:v>
                </c:pt>
                <c:pt idx="36">
                  <c:v>50.058958742019882</c:v>
                </c:pt>
                <c:pt idx="37">
                  <c:v>49.241247721422852</c:v>
                </c:pt>
                <c:pt idx="38">
                  <c:v>48.420535254627069</c:v>
                </c:pt>
                <c:pt idx="39">
                  <c:v>47.595617032516564</c:v>
                </c:pt>
                <c:pt idx="40">
                  <c:v>46.766190319184517</c:v>
                </c:pt>
                <c:pt idx="41">
                  <c:v>45.931504377568501</c:v>
                </c:pt>
                <c:pt idx="42">
                  <c:v>45.090937286065937</c:v>
                </c:pt>
                <c:pt idx="43">
                  <c:v>44.243460877636608</c:v>
                </c:pt>
                <c:pt idx="44">
                  <c:v>43.388500984215881</c:v>
                </c:pt>
                <c:pt idx="45">
                  <c:v>42.525103594201717</c:v>
                </c:pt>
                <c:pt idx="46">
                  <c:v>41.652726608508708</c:v>
                </c:pt>
                <c:pt idx="47">
                  <c:v>40.770589667620186</c:v>
                </c:pt>
                <c:pt idx="48">
                  <c:v>39.878510890685718</c:v>
                </c:pt>
                <c:pt idx="49">
                  <c:v>38.976129987605802</c:v>
                </c:pt>
                <c:pt idx="50">
                  <c:v>38.063789976605882</c:v>
                </c:pt>
                <c:pt idx="51">
                  <c:v>37.141877160460226</c:v>
                </c:pt>
                <c:pt idx="52">
                  <c:v>36.211716001088135</c:v>
                </c:pt>
                <c:pt idx="53">
                  <c:v>35.274734956977561</c:v>
                </c:pt>
                <c:pt idx="54">
                  <c:v>34.333371641421785</c:v>
                </c:pt>
                <c:pt idx="55">
                  <c:v>33.38818467929751</c:v>
                </c:pt>
                <c:pt idx="56">
                  <c:v>32.442825947970874</c:v>
                </c:pt>
                <c:pt idx="57">
                  <c:v>31.499026015837472</c:v>
                </c:pt>
                <c:pt idx="58">
                  <c:v>30.55971482530202</c:v>
                </c:pt>
                <c:pt idx="59">
                  <c:v>29.62617930906411</c:v>
                </c:pt>
                <c:pt idx="60">
                  <c:v>28.70060690673165</c:v>
                </c:pt>
                <c:pt idx="61">
                  <c:v>27.784100031957706</c:v>
                </c:pt>
                <c:pt idx="62">
                  <c:v>26.876985723546024</c:v>
                </c:pt>
                <c:pt idx="63">
                  <c:v>25.980528377524756</c:v>
                </c:pt>
                <c:pt idx="64">
                  <c:v>25.094038424620251</c:v>
                </c:pt>
                <c:pt idx="65">
                  <c:v>24.217591140238124</c:v>
                </c:pt>
                <c:pt idx="66">
                  <c:v>23.3506212341997</c:v>
                </c:pt>
                <c:pt idx="67">
                  <c:v>22.492604656777274</c:v>
                </c:pt>
                <c:pt idx="68">
                  <c:v>21.642559519767026</c:v>
                </c:pt>
                <c:pt idx="69">
                  <c:v>20.799948291143707</c:v>
                </c:pt>
                <c:pt idx="70">
                  <c:v>19.963844584928832</c:v>
                </c:pt>
                <c:pt idx="71">
                  <c:v>19.13369999981326</c:v>
                </c:pt>
                <c:pt idx="72">
                  <c:v>18.30867883130605</c:v>
                </c:pt>
                <c:pt idx="73">
                  <c:v>17.488400668371927</c:v>
                </c:pt>
                <c:pt idx="74">
                  <c:v>16.672153745883339</c:v>
                </c:pt>
                <c:pt idx="75">
                  <c:v>15.85964714599173</c:v>
                </c:pt>
                <c:pt idx="76">
                  <c:v>15.050360731568729</c:v>
                </c:pt>
                <c:pt idx="77">
                  <c:v>14.24430683530024</c:v>
                </c:pt>
                <c:pt idx="78">
                  <c:v>13.441293048361853</c:v>
                </c:pt>
                <c:pt idx="79">
                  <c:v>12.641740206588729</c:v>
                </c:pt>
                <c:pt idx="80">
                  <c:v>11.844309473646302</c:v>
                </c:pt>
                <c:pt idx="81">
                  <c:v>11.050218391041991</c:v>
                </c:pt>
                <c:pt idx="82">
                  <c:v>10.259121180887018</c:v>
                </c:pt>
                <c:pt idx="83">
                  <c:v>9.4718724991259791</c:v>
                </c:pt>
                <c:pt idx="84">
                  <c:v>8.688262575832141</c:v>
                </c:pt>
                <c:pt idx="85">
                  <c:v>7.9092462860377486</c:v>
                </c:pt>
                <c:pt idx="86">
                  <c:v>7.1353420937992418</c:v>
                </c:pt>
                <c:pt idx="87">
                  <c:v>6.3669157271657468</c:v>
                </c:pt>
                <c:pt idx="88">
                  <c:v>5.6056306762115291</c:v>
                </c:pt>
                <c:pt idx="89">
                  <c:v>4.8519706682365715</c:v>
                </c:pt>
                <c:pt idx="90">
                  <c:v>4.1075017560281708</c:v>
                </c:pt>
                <c:pt idx="91">
                  <c:v>3.3736267712287979</c:v>
                </c:pt>
                <c:pt idx="92">
                  <c:v>2.6521070806124145</c:v>
                </c:pt>
                <c:pt idx="93">
                  <c:v>1.9445866269358549</c:v>
                </c:pt>
                <c:pt idx="94">
                  <c:v>1.7702183876618651</c:v>
                </c:pt>
                <c:pt idx="95">
                  <c:v>1.6828861153610837</c:v>
                </c:pt>
                <c:pt idx="96">
                  <c:v>1.5968168613912925</c:v>
                </c:pt>
                <c:pt idx="97">
                  <c:v>1.510031073410163</c:v>
                </c:pt>
                <c:pt idx="98">
                  <c:v>1.4245104105762996</c:v>
                </c:pt>
                <c:pt idx="99">
                  <c:v>1.3382666145692861</c:v>
                </c:pt>
                <c:pt idx="100">
                  <c:v>1.2532906140188023</c:v>
                </c:pt>
                <c:pt idx="101">
                  <c:v>1.1676515046384766</c:v>
                </c:pt>
                <c:pt idx="102">
                  <c:v>1.0832814537373683</c:v>
                </c:pt>
                <c:pt idx="103">
                  <c:v>0.99818258456056697</c:v>
                </c:pt>
                <c:pt idx="104">
                  <c:v>0.91435636468007497</c:v>
                </c:pt>
                <c:pt idx="105">
                  <c:v>0.82986351646887047</c:v>
                </c:pt>
                <c:pt idx="106">
                  <c:v>0.7466453948497338</c:v>
                </c:pt>
                <c:pt idx="107">
                  <c:v>0.66282009777195516</c:v>
                </c:pt>
                <c:pt idx="108">
                  <c:v>0.58027015972004881</c:v>
                </c:pt>
                <c:pt idx="109">
                  <c:v>0.49711365142379627</c:v>
                </c:pt>
                <c:pt idx="110">
                  <c:v>0.41523347469852873</c:v>
                </c:pt>
                <c:pt idx="111">
                  <c:v>0.33269541878156184</c:v>
                </c:pt>
                <c:pt idx="112">
                  <c:v>0.25143660100933585</c:v>
                </c:pt>
                <c:pt idx="113">
                  <c:v>0.16958154631998051</c:v>
                </c:pt>
                <c:pt idx="114">
                  <c:v>8.9007049126124935E-2</c:v>
                </c:pt>
                <c:pt idx="115">
                  <c:v>7.8439880919966565E-3</c:v>
                </c:pt>
                <c:pt idx="116">
                  <c:v>-7.2037106349196078E-2</c:v>
                </c:pt>
                <c:pt idx="117">
                  <c:v>-0.15249705397056115</c:v>
                </c:pt>
                <c:pt idx="118">
                  <c:v>-0.23167361388894031</c:v>
                </c:pt>
                <c:pt idx="119">
                  <c:v>-0.31136950160618321</c:v>
                </c:pt>
                <c:pt idx="120">
                  <c:v>-0.38978218239488949</c:v>
                </c:pt>
                <c:pt idx="121">
                  <c:v>-0.46870396247663321</c:v>
                </c:pt>
                <c:pt idx="122">
                  <c:v>-0.54634274695261409</c:v>
                </c:pt>
                <c:pt idx="123">
                  <c:v>-0.62452362903338021</c:v>
                </c:pt>
                <c:pt idx="124">
                  <c:v>-0.70142036014338882</c:v>
                </c:pt>
                <c:pt idx="125">
                  <c:v>-0.77879941259162933</c:v>
                </c:pt>
                <c:pt idx="126">
                  <c:v>-0.85489486838381812</c:v>
                </c:pt>
                <c:pt idx="127">
                  <c:v>-0.93145790460183886</c:v>
                </c:pt>
                <c:pt idx="128">
                  <c:v>-1.0067381355905438</c:v>
                </c:pt>
                <c:pt idx="129">
                  <c:v>-1.0824699901314832</c:v>
                </c:pt>
                <c:pt idx="130">
                  <c:v>-1.1569201314193998</c:v>
                </c:pt>
                <c:pt idx="131">
                  <c:v>-1.2318048685097267</c:v>
                </c:pt>
                <c:pt idx="132">
                  <c:v>-1.2687652565501786</c:v>
                </c:pt>
                <c:pt idx="133">
                  <c:v>-1.3054093452573619</c:v>
                </c:pt>
                <c:pt idx="134">
                  <c:v>-1.342600717316023</c:v>
                </c:pt>
                <c:pt idx="135">
                  <c:v>-1.3794683427394805</c:v>
                </c:pt>
                <c:pt idx="136">
                  <c:v>-1.4160160597439806</c:v>
                </c:pt>
                <c:pt idx="137">
                  <c:v>-1.4522476463284881</c:v>
                </c:pt>
                <c:pt idx="138">
                  <c:v>-1.4889787257781126</c:v>
                </c:pt>
                <c:pt idx="139">
                  <c:v>-1.5253869625418548</c:v>
                </c:pt>
                <c:pt idx="140">
                  <c:v>-1.5614762106763176</c:v>
                </c:pt>
                <c:pt idx="141">
                  <c:v>-1.5972502638235875</c:v>
                </c:pt>
                <c:pt idx="142">
                  <c:v>-1.6335500456286387</c:v>
                </c:pt>
                <c:pt idx="143">
                  <c:v>-1.6695273637073753</c:v>
                </c:pt>
                <c:pt idx="144">
                  <c:v>-1.7051860995754375</c:v>
                </c:pt>
                <c:pt idx="145">
                  <c:v>-1.7405300738708021</c:v>
                </c:pt>
                <c:pt idx="146">
                  <c:v>-1.7763708998993855</c:v>
                </c:pt>
                <c:pt idx="147">
                  <c:v>-1.8118901155066978</c:v>
                </c:pt>
                <c:pt idx="148">
                  <c:v>-1.8470916234505439</c:v>
                </c:pt>
                <c:pt idx="149">
                  <c:v>-1.8819792652512566</c:v>
                </c:pt>
                <c:pt idx="150">
                  <c:v>-1.9173526657045867</c:v>
                </c:pt>
                <c:pt idx="151">
                  <c:v>-1.952405462828235</c:v>
                </c:pt>
                <c:pt idx="152">
                  <c:v>-1.9871415800989571</c:v>
                </c:pt>
                <c:pt idx="153">
                  <c:v>-2.0215648793782304</c:v>
                </c:pt>
                <c:pt idx="154">
                  <c:v>-2.0564785368325649</c:v>
                </c:pt>
                <c:pt idx="155">
                  <c:v>-2.0910724698594798</c:v>
                </c:pt>
                <c:pt idx="156">
                  <c:v>-2.1253506273144112</c:v>
                </c:pt>
                <c:pt idx="157">
                  <c:v>-2.1593168959308877</c:v>
                </c:pt>
                <c:pt idx="158">
                  <c:v>-2.1937610239504046</c:v>
                </c:pt>
                <c:pt idx="159">
                  <c:v>-2.2278865024668542</c:v>
                </c:pt>
                <c:pt idx="160">
                  <c:v>-2.2616973044483593</c:v>
                </c:pt>
                <c:pt idx="161">
                  <c:v>-2.2951973402266765</c:v>
                </c:pt>
                <c:pt idx="162">
                  <c:v>-2.3291477217950183</c:v>
                </c:pt>
                <c:pt idx="163">
                  <c:v>-2.3627810095200181</c:v>
                </c:pt>
                <c:pt idx="164">
                  <c:v>-2.3961011937816905</c:v>
                </c:pt>
                <c:pt idx="165">
                  <c:v>-2.4291122019133198</c:v>
                </c:pt>
                <c:pt idx="166">
                  <c:v>-2.4625901929704521</c:v>
                </c:pt>
                <c:pt idx="167">
                  <c:v>-2.4957522955561813</c:v>
                </c:pt>
                <c:pt idx="168">
                  <c:v>-2.5286025263183394</c:v>
                </c:pt>
                <c:pt idx="169">
                  <c:v>-2.5611448382224995</c:v>
                </c:pt>
                <c:pt idx="170">
                  <c:v>-2.5940716268085433</c:v>
                </c:pt>
                <c:pt idx="171">
                  <c:v>-2.6266852791579258</c:v>
                </c:pt>
                <c:pt idx="172">
                  <c:v>-2.6589898108285266</c:v>
                </c:pt>
                <c:pt idx="173">
                  <c:v>-2.6909891735970675</c:v>
                </c:pt>
                <c:pt idx="174">
                  <c:v>-2.7234825082506866</c:v>
                </c:pt>
                <c:pt idx="175">
                  <c:v>-2.7556633051555766</c:v>
                </c:pt>
                <c:pt idx="176">
                  <c:v>-2.7875356222738006</c:v>
                </c:pt>
                <c:pt idx="177">
                  <c:v>-2.8191034527246202</c:v>
                </c:pt>
                <c:pt idx="178">
                  <c:v>-2.8511358402530584</c:v>
                </c:pt>
                <c:pt idx="179">
                  <c:v>-2.8828568661594209</c:v>
                </c:pt>
                <c:pt idx="180">
                  <c:v>-2.9142706222372046</c:v>
                </c:pt>
                <c:pt idx="181">
                  <c:v>-2.9453811345080174</c:v>
                </c:pt>
                <c:pt idx="182">
                  <c:v>-2.9768055633682513</c:v>
                </c:pt>
                <c:pt idx="183">
                  <c:v>-3.0079227552303367</c:v>
                </c:pt>
                <c:pt idx="184">
                  <c:v>-3.0387367796155731</c:v>
                </c:pt>
                <c:pt idx="185">
                  <c:v>-3.0692516404981189</c:v>
                </c:pt>
                <c:pt idx="186">
                  <c:v>-3.1002967100719165</c:v>
                </c:pt>
                <c:pt idx="187">
                  <c:v>-3.1310343288023046</c:v>
                </c:pt>
                <c:pt idx="188">
                  <c:v>-3.1614686320570411</c:v>
                </c:pt>
                <c:pt idx="189">
                  <c:v>-3.1916036879409533</c:v>
                </c:pt>
                <c:pt idx="190">
                  <c:v>-3.2220101155868064</c:v>
                </c:pt>
                <c:pt idx="191">
                  <c:v>-3.2521140882141646</c:v>
                </c:pt>
                <c:pt idx="192">
                  <c:v>-3.28191970440322</c:v>
                </c:pt>
                <c:pt idx="193">
                  <c:v>-3.3114309959219845</c:v>
                </c:pt>
                <c:pt idx="194">
                  <c:v>-3.341414150571115</c:v>
                </c:pt>
                <c:pt idx="195">
                  <c:v>-3.3710957385098013</c:v>
                </c:pt>
                <c:pt idx="196">
                  <c:v>-3.4004799063716513</c:v>
                </c:pt>
                <c:pt idx="197">
                  <c:v>-3.429570732538668</c:v>
                </c:pt>
                <c:pt idx="198">
                  <c:v>-3.4589997108778672</c:v>
                </c:pt>
                <c:pt idx="199">
                  <c:v>-3.4881307588481381</c:v>
                </c:pt>
                <c:pt idx="200">
                  <c:v>-3.5169680166633266</c:v>
                </c:pt>
                <c:pt idx="201">
                  <c:v>-3.545515555983493</c:v>
                </c:pt>
                <c:pt idx="202">
                  <c:v>-3.5743798941900486</c:v>
                </c:pt>
                <c:pt idx="203">
                  <c:v>-3.6029503386858024</c:v>
                </c:pt>
                <c:pt idx="204">
                  <c:v>-3.6312310159199237</c:v>
                </c:pt>
                <c:pt idx="205">
                  <c:v>-3.6592259836031427</c:v>
                </c:pt>
                <c:pt idx="206">
                  <c:v>-3.687614029733993</c:v>
                </c:pt>
                <c:pt idx="207">
                  <c:v>-3.715710615966985</c:v>
                </c:pt>
                <c:pt idx="208">
                  <c:v>-3.7435198898911386</c:v>
                </c:pt>
                <c:pt idx="209">
                  <c:v>-3.7710459293497172</c:v>
                </c:pt>
                <c:pt idx="210">
                  <c:v>-3.7990328056768963</c:v>
                </c:pt>
                <c:pt idx="211">
                  <c:v>-3.8267292742190717</c:v>
                </c:pt>
                <c:pt idx="212">
                  <c:v>-3.854139535381508</c:v>
                </c:pt>
                <c:pt idx="213">
                  <c:v>-3.8812677180418769</c:v>
                </c:pt>
                <c:pt idx="214">
                  <c:v>-3.9086503014358587</c:v>
                </c:pt>
                <c:pt idx="215">
                  <c:v>-3.9357479034487324</c:v>
                </c:pt>
                <c:pt idx="216">
                  <c:v>-3.9625646841919466</c:v>
                </c:pt>
                <c:pt idx="217">
                  <c:v>-3.989104732520353</c:v>
                </c:pt>
                <c:pt idx="218">
                  <c:v>-4.0159678481386472</c:v>
                </c:pt>
                <c:pt idx="219">
                  <c:v>-4.0425498982003321</c:v>
                </c:pt>
                <c:pt idx="220">
                  <c:v>-4.0688550357194764</c:v>
                </c:pt>
                <c:pt idx="221">
                  <c:v>-4.0948873419293763</c:v>
                </c:pt>
                <c:pt idx="222">
                  <c:v>-4.1212221401817084</c:v>
                </c:pt>
                <c:pt idx="223">
                  <c:v>-4.1472802093607983</c:v>
                </c:pt>
                <c:pt idx="224">
                  <c:v>-4.1730656866030902</c:v>
                </c:pt>
                <c:pt idx="225">
                  <c:v>-4.1985826368987453</c:v>
                </c:pt>
                <c:pt idx="226">
                  <c:v>-4.2244610537884464</c:v>
                </c:pt>
                <c:pt idx="227">
                  <c:v>-4.2500658130618421</c:v>
                </c:pt>
                <c:pt idx="228">
                  <c:v>-4.2754010649729572</c:v>
                </c:pt>
                <c:pt idx="229">
                  <c:v>-4.3004708865434882</c:v>
                </c:pt>
                <c:pt idx="230">
                  <c:v>-4.3510176566554053</c:v>
                </c:pt>
                <c:pt idx="231">
                  <c:v>-4.375890096269142</c:v>
                </c:pt>
                <c:pt idx="232">
                  <c:v>-4.4005007015461715</c:v>
                </c:pt>
                <c:pt idx="233">
                  <c:v>-4.4254284852795882</c:v>
                </c:pt>
                <c:pt idx="234">
                  <c:v>-4.450090274669031</c:v>
                </c:pt>
                <c:pt idx="235">
                  <c:v>-4.474490214138136</c:v>
                </c:pt>
                <c:pt idx="236">
                  <c:v>-4.498632373306533</c:v>
                </c:pt>
                <c:pt idx="237">
                  <c:v>-4.5230028408496477</c:v>
                </c:pt>
                <c:pt idx="238">
                  <c:v>-4.5471132889601105</c:v>
                </c:pt>
                <c:pt idx="239">
                  <c:v>-4.5709678092746486</c:v>
                </c:pt>
                <c:pt idx="240">
                  <c:v>-4.5945704189796217</c:v>
                </c:pt>
                <c:pt idx="241">
                  <c:v>-4.6185189815079291</c:v>
                </c:pt>
                <c:pt idx="242">
                  <c:v>-4.6422109119248338</c:v>
                </c:pt>
                <c:pt idx="243">
                  <c:v>-4.6656503097005437</c:v>
                </c:pt>
                <c:pt idx="244">
                  <c:v>-4.6888411987056049</c:v>
                </c:pt>
                <c:pt idx="245">
                  <c:v>-4.7122932946381217</c:v>
                </c:pt>
                <c:pt idx="246">
                  <c:v>-4.7354940122656402</c:v>
                </c:pt>
                <c:pt idx="247">
                  <c:v>-4.7584474143767421</c:v>
                </c:pt>
                <c:pt idx="248">
                  <c:v>-4.7811574880622247</c:v>
                </c:pt>
                <c:pt idx="249">
                  <c:v>-4.8041732527807941</c:v>
                </c:pt>
                <c:pt idx="250">
                  <c:v>-4.8269419080554572</c:v>
                </c:pt>
                <c:pt idx="251">
                  <c:v>-4.8494675032950498</c:v>
                </c:pt>
                <c:pt idx="252">
                  <c:v>-4.8717540115031763</c:v>
                </c:pt>
                <c:pt idx="253">
                  <c:v>-4.8942695120532695</c:v>
                </c:pt>
                <c:pt idx="254">
                  <c:v>-4.9165438354600823</c:v>
                </c:pt>
                <c:pt idx="255">
                  <c:v>-4.9385809762645936</c:v>
                </c:pt>
                <c:pt idx="256">
                  <c:v>-4.9603848529097041</c:v>
                </c:pt>
                <c:pt idx="257">
                  <c:v>-4.9825152183856938</c:v>
                </c:pt>
                <c:pt idx="258">
                  <c:v>-5.0044081932633242</c:v>
                </c:pt>
                <c:pt idx="259">
                  <c:v>-5.0260677695830926</c:v>
                </c:pt>
                <c:pt idx="260">
                  <c:v>-5.047497862238961</c:v>
                </c:pt>
                <c:pt idx="261">
                  <c:v>-5.0691816371907681</c:v>
                </c:pt>
                <c:pt idx="262">
                  <c:v>-5.0906334219226039</c:v>
                </c:pt>
                <c:pt idx="263">
                  <c:v>-5.1118571649052589</c:v>
                </c:pt>
                <c:pt idx="264">
                  <c:v>-5.1328567374367466</c:v>
                </c:pt>
                <c:pt idx="265">
                  <c:v>-5.1540952209219801</c:v>
                </c:pt>
                <c:pt idx="266">
                  <c:v>-5.1751074011364633</c:v>
                </c:pt>
                <c:pt idx="267">
                  <c:v>-5.1958971742105176</c:v>
                </c:pt>
                <c:pt idx="268">
                  <c:v>-5.2164683592897561</c:v>
                </c:pt>
                <c:pt idx="269">
                  <c:v>-5.2373137726848871</c:v>
                </c:pt>
                <c:pt idx="270">
                  <c:v>-5.2579377791761424</c:v>
                </c:pt>
                <c:pt idx="271">
                  <c:v>-5.2783442414690631</c:v>
                </c:pt>
                <c:pt idx="272">
                  <c:v>-5.2985369449593893</c:v>
                </c:pt>
                <c:pt idx="273">
                  <c:v>-5.3189883828419706</c:v>
                </c:pt>
                <c:pt idx="274">
                  <c:v>-5.3392236450896338</c:v>
                </c:pt>
                <c:pt idx="275">
                  <c:v>-5.3592465509456897</c:v>
                </c:pt>
                <c:pt idx="276">
                  <c:v>-5.3790608422664885</c:v>
                </c:pt>
                <c:pt idx="277">
                  <c:v>-5.3990746872838766</c:v>
                </c:pt>
                <c:pt idx="278">
                  <c:v>-5.4188788151493137</c:v>
                </c:pt>
                <c:pt idx="279">
                  <c:v>-5.4384769672172251</c:v>
                </c:pt>
                <c:pt idx="280">
                  <c:v>-5.4578728083024028</c:v>
                </c:pt>
                <c:pt idx="281">
                  <c:v>-5.4775872095649429</c:v>
                </c:pt>
                <c:pt idx="282">
                  <c:v>-5.4970957873538406</c:v>
                </c:pt>
                <c:pt idx="283">
                  <c:v>-5.5164022718394525</c:v>
                </c:pt>
                <c:pt idx="284">
                  <c:v>-5.5355103156701233</c:v>
                </c:pt>
                <c:pt idx="285">
                  <c:v>-5.5547956612085772</c:v>
                </c:pt>
                <c:pt idx="286">
                  <c:v>-5.5738820718890478</c:v>
                </c:pt>
                <c:pt idx="287">
                  <c:v>-5.5927731838871342</c:v>
                </c:pt>
                <c:pt idx="288">
                  <c:v>-5.6114725571502326</c:v>
                </c:pt>
                <c:pt idx="289">
                  <c:v>-5.6304599465202205</c:v>
                </c:pt>
                <c:pt idx="290">
                  <c:v>-5.6492529027258112</c:v>
                </c:pt>
                <c:pt idx="291">
                  <c:v>-5.6678550307382194</c:v>
                </c:pt>
                <c:pt idx="292">
                  <c:v>-5.6862698588441152</c:v>
                </c:pt>
                <c:pt idx="293">
                  <c:v>-5.7049199983958871</c:v>
                </c:pt>
                <c:pt idx="294">
                  <c:v>-5.723381315178095</c:v>
                </c:pt>
                <c:pt idx="295">
                  <c:v>-5.7416573503582002</c:v>
                </c:pt>
                <c:pt idx="296">
                  <c:v>-5.7597515688728933</c:v>
                </c:pt>
                <c:pt idx="297">
                  <c:v>-5.778069995464735</c:v>
                </c:pt>
                <c:pt idx="298">
                  <c:v>-5.7962053913332454</c:v>
                </c:pt>
                <c:pt idx="299">
                  <c:v>-5.8141612260708628</c:v>
                </c:pt>
                <c:pt idx="300">
                  <c:v>-5.8319408937215211</c:v>
                </c:pt>
                <c:pt idx="301">
                  <c:v>-5.8499346940360333</c:v>
                </c:pt>
                <c:pt idx="302">
                  <c:v>-5.867751394827919</c:v>
                </c:pt>
                <c:pt idx="303">
                  <c:v>-5.8853943871938181</c:v>
                </c:pt>
                <c:pt idx="304">
                  <c:v>-5.9028669875768527</c:v>
                </c:pt>
                <c:pt idx="305">
                  <c:v>-5.9206122647883479</c:v>
                </c:pt>
                <c:pt idx="306">
                  <c:v>-5.9381851672488359</c:v>
                </c:pt>
                <c:pt idx="307">
                  <c:v>-5.9555890393469166</c:v>
                </c:pt>
                <c:pt idx="308">
                  <c:v>-5.9728271507848429</c:v>
                </c:pt>
                <c:pt idx="309">
                  <c:v>-5.9902608018366079</c:v>
                </c:pt>
                <c:pt idx="310">
                  <c:v>-6.00752829219633</c:v>
                </c:pt>
                <c:pt idx="311">
                  <c:v>-6.0246328735109467</c:v>
                </c:pt>
                <c:pt idx="312">
                  <c:v>-6.0415777240812325</c:v>
                </c:pt>
                <c:pt idx="313">
                  <c:v>-6.0587734887559037</c:v>
                </c:pt>
                <c:pt idx="314">
                  <c:v>-6.0758081597028344</c:v>
                </c:pt>
                <c:pt idx="315">
                  <c:v>-6.0926849260048668</c:v>
                </c:pt>
                <c:pt idx="316">
                  <c:v>-6.109406903849707</c:v>
                </c:pt>
                <c:pt idx="317">
                  <c:v>-6.1263698429028555</c:v>
                </c:pt>
                <c:pt idx="318">
                  <c:v>-6.1431769191669972</c:v>
                </c:pt>
                <c:pt idx="319">
                  <c:v>-6.1598312512420303</c:v>
                </c:pt>
                <c:pt idx="320">
                  <c:v>-6.1763358855301806</c:v>
                </c:pt>
                <c:pt idx="321">
                  <c:v>-6.1930724923836991</c:v>
                </c:pt>
                <c:pt idx="322">
                  <c:v>-6.2096585879038537</c:v>
                </c:pt>
                <c:pt idx="323">
                  <c:v>-6.2260972132053496</c:v>
                </c:pt>
                <c:pt idx="324">
                  <c:v>-6.2423913381308394</c:v>
                </c:pt>
                <c:pt idx="325">
                  <c:v>-6.2589093426065574</c:v>
                </c:pt>
                <c:pt idx="326">
                  <c:v>-6.2752822669199402</c:v>
                </c:pt>
                <c:pt idx="327">
                  <c:v>-6.2915130686037042</c:v>
                </c:pt>
                <c:pt idx="328">
                  <c:v>-6.3076046350529342</c:v>
                </c:pt>
                <c:pt idx="329">
                  <c:v>-6.3239399695117173</c:v>
                </c:pt>
                <c:pt idx="330">
                  <c:v>-6.3401352342439292</c:v>
                </c:pt>
                <c:pt idx="331">
                  <c:v>-6.3561933122281467</c:v>
                </c:pt>
                <c:pt idx="332">
                  <c:v>-6.3721170171732844</c:v>
                </c:pt>
                <c:pt idx="333">
                  <c:v>-6.3882503890805857</c:v>
                </c:pt>
                <c:pt idx="334">
                  <c:v>-6.4042492168589984</c:v>
                </c:pt>
                <c:pt idx="335">
                  <c:v>-6.4201162891263426</c:v>
                </c:pt>
                <c:pt idx="336">
                  <c:v>-6.4358543267539359</c:v>
                </c:pt>
                <c:pt idx="337">
                  <c:v>-6.451847058703251</c:v>
                </c:pt>
                <c:pt idx="338">
                  <c:v>-6.4677099248078438</c:v>
                </c:pt>
                <c:pt idx="339">
                  <c:v>-6.4834456414282791</c:v>
                </c:pt>
                <c:pt idx="340">
                  <c:v>-6.4990568580110919</c:v>
                </c:pt>
                <c:pt idx="341">
                  <c:v>-6.5149152440827587</c:v>
                </c:pt>
                <c:pt idx="342">
                  <c:v>-6.5306485166260249</c:v>
                </c:pt>
                <c:pt idx="343">
                  <c:v>-6.5462593134221105</c:v>
                </c:pt>
                <c:pt idx="344">
                  <c:v>-6.5617502063926603</c:v>
                </c:pt>
                <c:pt idx="345">
                  <c:v>-6.5774576615419704</c:v>
                </c:pt>
                <c:pt idx="346">
                  <c:v>-6.5930451529379699</c:v>
                </c:pt>
                <c:pt idx="347">
                  <c:v>-6.6085152228845532</c:v>
                </c:pt>
                <c:pt idx="348">
                  <c:v>-6.6238703494685103</c:v>
                </c:pt>
                <c:pt idx="349">
                  <c:v>-6.6394833332492738</c:v>
                </c:pt>
                <c:pt idx="350">
                  <c:v>-6.6549807636327323</c:v>
                </c:pt>
                <c:pt idx="351">
                  <c:v>-6.6703651063057094</c:v>
                </c:pt>
                <c:pt idx="352">
                  <c:v>-6.6856387637754402</c:v>
                </c:pt>
                <c:pt idx="353">
                  <c:v>-6.7011638543760697</c:v>
                </c:pt>
                <c:pt idx="354">
                  <c:v>-6.7165778274533272</c:v>
                </c:pt>
                <c:pt idx="355">
                  <c:v>-6.7318830667692442</c:v>
                </c:pt>
                <c:pt idx="356">
                  <c:v>-6.7470818941456878</c:v>
                </c:pt>
                <c:pt idx="357">
                  <c:v>-6.7625045268054143</c:v>
                </c:pt>
                <c:pt idx="358">
                  <c:v>-6.7778207677125621</c:v>
                </c:pt>
                <c:pt idx="359">
                  <c:v>-6.7930329046463367</c:v>
                </c:pt>
                <c:pt idx="360">
                  <c:v>-6.8081431652039157</c:v>
                </c:pt>
                <c:pt idx="361">
                  <c:v>-6.8235154879109716</c:v>
                </c:pt>
                <c:pt idx="362">
                  <c:v>-6.8387854911357717</c:v>
                </c:pt>
                <c:pt idx="363">
                  <c:v>-6.8539553827492448</c:v>
                </c:pt>
                <c:pt idx="364">
                  <c:v>-6.8690273116712897</c:v>
                </c:pt>
                <c:pt idx="365">
                  <c:v>-6.8843350976378996</c:v>
                </c:pt>
                <c:pt idx="366">
                  <c:v>-6.899544878266596</c:v>
                </c:pt>
                <c:pt idx="367">
                  <c:v>-6.9146587687913632</c:v>
                </c:pt>
                <c:pt idx="368">
                  <c:v>-6.9296788272118937</c:v>
                </c:pt>
                <c:pt idx="369">
                  <c:v>-6.9449710147073498</c:v>
                </c:pt>
                <c:pt idx="370">
                  <c:v>-6.9601689199554952</c:v>
                </c:pt>
                <c:pt idx="371">
                  <c:v>-6.9752745795307156</c:v>
                </c:pt>
                <c:pt idx="372">
                  <c:v>-6.9902899740239839</c:v>
                </c:pt>
                <c:pt idx="373">
                  <c:v>-7.0055525776837797</c:v>
                </c:pt>
                <c:pt idx="374">
                  <c:v>-7.0207248164396088</c:v>
                </c:pt>
                <c:pt idx="375">
                  <c:v>-7.0358086368356787</c:v>
                </c:pt>
                <c:pt idx="376">
                  <c:v>-7.0508059311359386</c:v>
                </c:pt>
                <c:pt idx="377">
                  <c:v>-7.0660849812568376</c:v>
                </c:pt>
                <c:pt idx="378">
                  <c:v>-7.0812770426462892</c:v>
                </c:pt>
                <c:pt idx="379">
                  <c:v>-7.096383984004496</c:v>
                </c:pt>
                <c:pt idx="380">
                  <c:v>-7.1114076210433828</c:v>
                </c:pt>
                <c:pt idx="381">
                  <c:v>-7.1266703734541395</c:v>
                </c:pt>
                <c:pt idx="382">
                  <c:v>-7.1418498655841098</c:v>
                </c:pt>
                <c:pt idx="383">
                  <c:v>-7.1569478717886987</c:v>
                </c:pt>
                <c:pt idx="384">
                  <c:v>-7.1719661153947447</c:v>
                </c:pt>
                <c:pt idx="385">
                  <c:v>-7.1872755567197002</c:v>
                </c:pt>
                <c:pt idx="386">
                  <c:v>-7.2025047396979645</c:v>
                </c:pt>
                <c:pt idx="387">
                  <c:v>-7.2176553621954289</c:v>
                </c:pt>
                <c:pt idx="388">
                  <c:v>-7.2327290723777136</c:v>
                </c:pt>
                <c:pt idx="389">
                  <c:v>-7.2480711799213644</c:v>
                </c:pt>
                <c:pt idx="390">
                  <c:v>-7.2633361369429856</c:v>
                </c:pt>
                <c:pt idx="391">
                  <c:v>-7.2785255561902371</c:v>
                </c:pt>
                <c:pt idx="392">
                  <c:v>-7.2936410024222535</c:v>
                </c:pt>
                <c:pt idx="393">
                  <c:v>-7.3090210184629436</c:v>
                </c:pt>
                <c:pt idx="394">
                  <c:v>-7.3243268627564966</c:v>
                </c:pt>
                <c:pt idx="395">
                  <c:v>-7.3395600618216363</c:v>
                </c:pt>
                <c:pt idx="396">
                  <c:v>-7.3547220960061779</c:v>
                </c:pt>
                <c:pt idx="397">
                  <c:v>-7.3701799485153536</c:v>
                </c:pt>
                <c:pt idx="398">
                  <c:v>-7.3855661404571489</c:v>
                </c:pt>
                <c:pt idx="399">
                  <c:v>-7.4008821213538276</c:v>
                </c:pt>
                <c:pt idx="400">
                  <c:v>-7.4161292960654315</c:v>
                </c:pt>
                <c:pt idx="401">
                  <c:v>-7.4316509157219031</c:v>
                </c:pt>
                <c:pt idx="402">
                  <c:v>-7.4471034220743029</c:v>
                </c:pt>
                <c:pt idx="403">
                  <c:v>-7.4624881815369974</c:v>
                </c:pt>
                <c:pt idx="404">
                  <c:v>-7.4778065176867159</c:v>
                </c:pt>
                <c:pt idx="405">
                  <c:v>-7.4934125010902601</c:v>
                </c:pt>
                <c:pt idx="406">
                  <c:v>-7.5089516182758853</c:v>
                </c:pt>
                <c:pt idx="407">
                  <c:v>-7.5244251566548526</c:v>
                </c:pt>
                <c:pt idx="408">
                  <c:v>-7.5398343625306952</c:v>
                </c:pt>
                <c:pt idx="409">
                  <c:v>-7.5555438856404846</c:v>
                </c:pt>
                <c:pt idx="410">
                  <c:v>-7.5711885035879964</c:v>
                </c:pt>
                <c:pt idx="411">
                  <c:v>-7.5867694283347227</c:v>
                </c:pt>
                <c:pt idx="412">
                  <c:v>-7.6022878323914398</c:v>
                </c:pt>
                <c:pt idx="413">
                  <c:v>-7.6181024601309133</c:v>
                </c:pt>
                <c:pt idx="414">
                  <c:v>-7.6338539974550725</c:v>
                </c:pt>
                <c:pt idx="415">
                  <c:v>-7.649543580530084</c:v>
                </c:pt>
                <c:pt idx="416">
                  <c:v>-7.6651723078273868</c:v>
                </c:pt>
                <c:pt idx="417">
                  <c:v>-7.6811093050275749</c:v>
                </c:pt>
                <c:pt idx="418">
                  <c:v>-7.696984743313684</c:v>
                </c:pt>
                <c:pt idx="419">
                  <c:v>-7.7127996865531481</c:v>
                </c:pt>
                <c:pt idx="420">
                  <c:v>-7.7285551626121309</c:v>
                </c:pt>
                <c:pt idx="421">
                  <c:v>-7.7445989291137067</c:v>
                </c:pt>
                <c:pt idx="422">
                  <c:v>-7.7605826286868407</c:v>
                </c:pt>
                <c:pt idx="423">
                  <c:v>-7.7765072503033679</c:v>
                </c:pt>
                <c:pt idx="424">
                  <c:v>-7.7923737488459013</c:v>
                </c:pt>
                <c:pt idx="425">
                  <c:v>-7.8085713411795528</c:v>
                </c:pt>
                <c:pt idx="426">
                  <c:v>-7.8247098398520247</c:v>
                </c:pt>
                <c:pt idx="427">
                  <c:v>-7.8407901683544612</c:v>
                </c:pt>
                <c:pt idx="428">
                  <c:v>-7.8568132176772441</c:v>
                </c:pt>
                <c:pt idx="429">
                  <c:v>-7.8731472955082351</c:v>
                </c:pt>
                <c:pt idx="430">
                  <c:v>-7.889423210025015</c:v>
                </c:pt>
                <c:pt idx="431">
                  <c:v>-7.9056418171485365</c:v>
                </c:pt>
                <c:pt idx="432">
                  <c:v>-7.9218039420969806</c:v>
                </c:pt>
                <c:pt idx="433">
                  <c:v>-7.9382727069239216</c:v>
                </c:pt>
                <c:pt idx="434">
                  <c:v>-7.9546840668756236</c:v>
                </c:pt>
                <c:pt idx="435">
                  <c:v>-7.9710388118408479</c:v>
                </c:pt>
                <c:pt idx="436">
                  <c:v>-7.9873377028573236</c:v>
                </c:pt>
                <c:pt idx="437">
                  <c:v>-8.0039686272387236</c:v>
                </c:pt>
                <c:pt idx="438">
                  <c:v>-8.0205425254242364</c:v>
                </c:pt>
                <c:pt idx="439">
                  <c:v>-8.0370601272139091</c:v>
                </c:pt>
                <c:pt idx="440">
                  <c:v>-8.0535221352539672</c:v>
                </c:pt>
                <c:pt idx="441">
                  <c:v>-8.0703111630229412</c:v>
                </c:pt>
                <c:pt idx="442">
                  <c:v>-8.0870433802311581</c:v>
                </c:pt>
                <c:pt idx="443">
                  <c:v>-8.1037194582143606</c:v>
                </c:pt>
                <c:pt idx="444">
                  <c:v>-8.1203400429115575</c:v>
                </c:pt>
                <c:pt idx="445">
                  <c:v>-8.1372826045649589</c:v>
                </c:pt>
                <c:pt idx="446">
                  <c:v>-8.1541684048373</c:v>
                </c:pt>
                <c:pt idx="447">
                  <c:v>-8.1709980588037396</c:v>
                </c:pt>
                <c:pt idx="448">
                  <c:v>-8.1877721579406586</c:v>
                </c:pt>
                <c:pt idx="449">
                  <c:v>-8.2048917442952369</c:v>
                </c:pt>
                <c:pt idx="450">
                  <c:v>-8.2219542615245924</c:v>
                </c:pt>
                <c:pt idx="451">
                  <c:v>-8.238960273935847</c:v>
                </c:pt>
                <c:pt idx="452">
                  <c:v>-8.2559103239148719</c:v>
                </c:pt>
                <c:pt idx="453">
                  <c:v>-8.2731860155129695</c:v>
                </c:pt>
                <c:pt idx="454">
                  <c:v>-8.2904042681812484</c:v>
                </c:pt>
                <c:pt idx="455">
                  <c:v>-8.3075655966564543</c:v>
                </c:pt>
                <c:pt idx="456">
                  <c:v>-8.3246704955368838</c:v>
                </c:pt>
                <c:pt idx="457">
                  <c:v>-8.3421233627602582</c:v>
                </c:pt>
                <c:pt idx="458">
                  <c:v>-8.3595180783574126</c:v>
                </c:pt>
                <c:pt idx="459">
                  <c:v>-8.3768551129866111</c:v>
                </c:pt>
                <c:pt idx="460">
                  <c:v>-8.3941349188404306</c:v>
                </c:pt>
                <c:pt idx="461">
                  <c:v>-8.4117565147707793</c:v>
                </c:pt>
                <c:pt idx="462">
                  <c:v>-8.4293191000033438</c:v>
                </c:pt>
                <c:pt idx="463">
                  <c:v>-8.4468231041962589</c:v>
                </c:pt>
                <c:pt idx="464">
                  <c:v>-8.4642689402347457</c:v>
                </c:pt>
                <c:pt idx="465">
                  <c:v>-8.4820638480291102</c:v>
                </c:pt>
                <c:pt idx="466">
                  <c:v>-8.4997986536992194</c:v>
                </c:pt>
                <c:pt idx="467">
                  <c:v>-8.5174737503013329</c:v>
                </c:pt>
                <c:pt idx="468">
                  <c:v>-8.5350895157682398</c:v>
                </c:pt>
                <c:pt idx="469">
                  <c:v>-8.5530476898507182</c:v>
                </c:pt>
                <c:pt idx="470">
                  <c:v>-8.5709445388804042</c:v>
                </c:pt>
                <c:pt idx="471">
                  <c:v>-8.5887804229693145</c:v>
                </c:pt>
                <c:pt idx="472">
                  <c:v>-8.6065556887536978</c:v>
                </c:pt>
                <c:pt idx="473">
                  <c:v>-8.62469298009397</c:v>
                </c:pt>
                <c:pt idx="474">
                  <c:v>-8.6427674184996857</c:v>
                </c:pt>
                <c:pt idx="475">
                  <c:v>-8.6607793365737109</c:v>
                </c:pt>
                <c:pt idx="476">
                  <c:v>-8.6787290550042346</c:v>
                </c:pt>
                <c:pt idx="477">
                  <c:v>-8.6970333558777657</c:v>
                </c:pt>
                <c:pt idx="478">
                  <c:v>-8.7152731658736684</c:v>
                </c:pt>
                <c:pt idx="479">
                  <c:v>-8.7334487940499717</c:v>
                </c:pt>
                <c:pt idx="480">
                  <c:v>-8.7515605390998967</c:v>
                </c:pt>
                <c:pt idx="481">
                  <c:v>-8.7700193048014032</c:v>
                </c:pt>
                <c:pt idx="482">
                  <c:v>-8.7884118435747141</c:v>
                </c:pt>
                <c:pt idx="483">
                  <c:v>-8.8067384452058537</c:v>
                </c:pt>
                <c:pt idx="484">
                  <c:v>-8.8249993906368331</c:v>
                </c:pt>
                <c:pt idx="485">
                  <c:v>-8.8436123292355511</c:v>
                </c:pt>
                <c:pt idx="486">
                  <c:v>-8.8621571281355962</c:v>
                </c:pt>
                <c:pt idx="487">
                  <c:v>-8.880634062910076</c:v>
                </c:pt>
                <c:pt idx="488">
                  <c:v>-8.8990434017442546</c:v>
                </c:pt>
                <c:pt idx="489">
                  <c:v>-8.9178215984688478</c:v>
                </c:pt>
                <c:pt idx="490">
                  <c:v>-8.9365294872175554</c:v>
                </c:pt>
                <c:pt idx="491">
                  <c:v>-8.9551673349861076</c:v>
                </c:pt>
                <c:pt idx="492">
                  <c:v>-8.9737354027573648</c:v>
                </c:pt>
                <c:pt idx="493">
                  <c:v>-8.9926636049142132</c:v>
                </c:pt>
                <c:pt idx="494">
                  <c:v>-9.0115192771450925</c:v>
                </c:pt>
                <c:pt idx="495">
                  <c:v>-9.0303026824791282</c:v>
                </c:pt>
                <c:pt idx="496">
                  <c:v>-9.0490140792597398</c:v>
                </c:pt>
                <c:pt idx="497">
                  <c:v>-9.0680888797506949</c:v>
                </c:pt>
                <c:pt idx="498">
                  <c:v>-9.0870887976870698</c:v>
                </c:pt>
                <c:pt idx="499">
                  <c:v>-9.1060140973777735</c:v>
                </c:pt>
                <c:pt idx="500">
                  <c:v>-9.1248650397014082</c:v>
                </c:pt>
                <c:pt idx="501">
                  <c:v>-9.144082100512982</c:v>
                </c:pt>
                <c:pt idx="502">
                  <c:v>-9.1632218128614689</c:v>
                </c:pt>
                <c:pt idx="503">
                  <c:v>-9.1822844476383416</c:v>
                </c:pt>
                <c:pt idx="504">
                  <c:v>-9.2012702734846261</c:v>
                </c:pt>
                <c:pt idx="505">
                  <c:v>-9.2206126826446475</c:v>
                </c:pt>
                <c:pt idx="506">
                  <c:v>-9.239875279297074</c:v>
                </c:pt>
                <c:pt idx="507">
                  <c:v>-9.2590583457544291</c:v>
                </c:pt>
                <c:pt idx="508">
                  <c:v>-9.2781621631811682</c:v>
                </c:pt>
                <c:pt idx="509">
                  <c:v>-9.2976244969783348</c:v>
                </c:pt>
                <c:pt idx="510">
                  <c:v>-9.3170044800230816</c:v>
                </c:pt>
                <c:pt idx="511">
                  <c:v>-9.3363024113979325</c:v>
                </c:pt>
                <c:pt idx="512">
                  <c:v>-9.3555185900494759</c:v>
                </c:pt>
                <c:pt idx="513">
                  <c:v>-9.3751060271946223</c:v>
                </c:pt>
                <c:pt idx="514">
                  <c:v>-9.3946084233925813</c:v>
                </c:pt>
                <c:pt idx="515">
                  <c:v>-9.4140261003927019</c:v>
                </c:pt>
                <c:pt idx="516">
                  <c:v>-9.4333593807284579</c:v>
                </c:pt>
                <c:pt idx="517">
                  <c:v>-9.4530534358275915</c:v>
                </c:pt>
                <c:pt idx="518">
                  <c:v>-9.4726598259083694</c:v>
                </c:pt>
                <c:pt idx="519">
                  <c:v>-9.492178900176091</c:v>
                </c:pt>
                <c:pt idx="520">
                  <c:v>-9.5116110094421344</c:v>
                </c:pt>
                <c:pt idx="521">
                  <c:v>-9.5314043577857515</c:v>
                </c:pt>
                <c:pt idx="522">
                  <c:v>-9.5511074074343547</c:v>
                </c:pt>
                <c:pt idx="523">
                  <c:v>-9.5707205403228226</c:v>
                </c:pt>
                <c:pt idx="524">
                  <c:v>-9.5902441407111816</c:v>
                </c:pt>
                <c:pt idx="525">
                  <c:v>-9.610129003019777</c:v>
                </c:pt>
                <c:pt idx="526">
                  <c:v>-9.6299209467027449</c:v>
                </c:pt>
                <c:pt idx="527">
                  <c:v>-9.6496203916280852</c:v>
                </c:pt>
                <c:pt idx="528">
                  <c:v>-9.669227760601002</c:v>
                </c:pt>
                <c:pt idx="529">
                  <c:v>-9.68919600158282</c:v>
                </c:pt>
                <c:pt idx="530">
                  <c:v>-9.7090687419356669</c:v>
                </c:pt>
                <c:pt idx="531">
                  <c:v>-9.7288464445699301</c:v>
                </c:pt>
                <c:pt idx="532">
                  <c:v>-9.7485295758342918</c:v>
                </c:pt>
                <c:pt idx="533">
                  <c:v>-9.768583130667631</c:v>
                </c:pt>
                <c:pt idx="534">
                  <c:v>-9.7885385647606515</c:v>
                </c:pt>
                <c:pt idx="535">
                  <c:v>-9.8083963898498983</c:v>
                </c:pt>
                <c:pt idx="536">
                  <c:v>-9.8281571215046064</c:v>
                </c:pt>
                <c:pt idx="537">
                  <c:v>-9.8482666134773851</c:v>
                </c:pt>
                <c:pt idx="538">
                  <c:v>-9.8682756561350367</c:v>
                </c:pt>
                <c:pt idx="539">
                  <c:v>-9.8881848133008106</c:v>
                </c:pt>
                <c:pt idx="540">
                  <c:v>-9.9079946528913467</c:v>
                </c:pt>
                <c:pt idx="541">
                  <c:v>-9.9281719704831382</c:v>
                </c:pt>
                <c:pt idx="542">
                  <c:v>-9.9482464217248463</c:v>
                </c:pt>
                <c:pt idx="543">
                  <c:v>-9.9682186289022781</c:v>
                </c:pt>
                <c:pt idx="544">
                  <c:v>-9.9880892185509129</c:v>
                </c:pt>
                <c:pt idx="545">
                  <c:v>-10.008315575170815</c:v>
                </c:pt>
                <c:pt idx="546">
                  <c:v>-10.028436892242548</c:v>
                </c:pt>
                <c:pt idx="547">
                  <c:v>-10.048453854131758</c:v>
                </c:pt>
                <c:pt idx="548">
                  <c:v>-10.068367149478679</c:v>
                </c:pt>
                <c:pt idx="549">
                  <c:v>-10.088634300785145</c:v>
                </c:pt>
                <c:pt idx="550">
                  <c:v>-10.108794407900199</c:v>
                </c:pt>
                <c:pt idx="551">
                  <c:v>-10.128848221502739</c:v>
                </c:pt>
                <c:pt idx="552">
                  <c:v>-10.14879649644665</c:v>
                </c:pt>
                <c:pt idx="553">
                  <c:v>-10.169105861091417</c:v>
                </c:pt>
                <c:pt idx="554">
                  <c:v>-10.189306272771121</c:v>
                </c:pt>
                <c:pt idx="555">
                  <c:v>-10.209398553588379</c:v>
                </c:pt>
                <c:pt idx="556">
                  <c:v>-10.229383529602917</c:v>
                </c:pt>
                <c:pt idx="557">
                  <c:v>-10.269960015220443</c:v>
                </c:pt>
                <c:pt idx="558">
                  <c:v>-10.310097551680892</c:v>
                </c:pt>
                <c:pt idx="559">
                  <c:v>-10.35070846693422</c:v>
                </c:pt>
                <c:pt idx="560">
                  <c:v>-10.390875421304695</c:v>
                </c:pt>
                <c:pt idx="561">
                  <c:v>-10.431543665302064</c:v>
                </c:pt>
                <c:pt idx="562">
                  <c:v>-10.471763297381646</c:v>
                </c:pt>
                <c:pt idx="563">
                  <c:v>-10.512391688899406</c:v>
                </c:pt>
                <c:pt idx="564">
                  <c:v>-10.55256996037977</c:v>
                </c:pt>
                <c:pt idx="565">
                  <c:v>-10.593303390534727</c:v>
                </c:pt>
                <c:pt idx="566">
                  <c:v>-10.633583151753898</c:v>
                </c:pt>
                <c:pt idx="567">
                  <c:v>-10.674393174046017</c:v>
                </c:pt>
                <c:pt idx="568">
                  <c:v>-10.714747915080192</c:v>
                </c:pt>
                <c:pt idx="569">
                  <c:v>-10.755451732140495</c:v>
                </c:pt>
                <c:pt idx="570">
                  <c:v>-10.795704181590784</c:v>
                </c:pt>
                <c:pt idx="571">
                  <c:v>-10.836603293474363</c:v>
                </c:pt>
                <c:pt idx="572">
                  <c:v>-10.877049950822395</c:v>
                </c:pt>
                <c:pt idx="573">
                  <c:v>-10.91781555981032</c:v>
                </c:pt>
                <c:pt idx="574">
                  <c:v>-10.958136665084115</c:v>
                </c:pt>
                <c:pt idx="575">
                  <c:v>-10.99906609242006</c:v>
                </c:pt>
                <c:pt idx="576">
                  <c:v>-11.039554497494251</c:v>
                </c:pt>
                <c:pt idx="577">
                  <c:v>-11.206390933194093</c:v>
                </c:pt>
                <c:pt idx="578">
                  <c:v>-11.366576907654872</c:v>
                </c:pt>
                <c:pt idx="579">
                  <c:v>-11.699049628116684</c:v>
                </c:pt>
                <c:pt idx="580">
                  <c:v>-12.043743626362195</c:v>
                </c:pt>
                <c:pt idx="581">
                  <c:v>-12.40968110662944</c:v>
                </c:pt>
                <c:pt idx="582">
                  <c:v>-12.810227387424334</c:v>
                </c:pt>
                <c:pt idx="583">
                  <c:v>-13.261734386269161</c:v>
                </c:pt>
                <c:pt idx="584">
                  <c:v>-13.783915222932423</c:v>
                </c:pt>
                <c:pt idx="585">
                  <c:v>-14.396764144205259</c:v>
                </c:pt>
                <c:pt idx="586">
                  <c:v>-15.118706909772172</c:v>
                </c:pt>
                <c:pt idx="587">
                  <c:v>-15.963401305828695</c:v>
                </c:pt>
                <c:pt idx="588">
                  <c:v>-16.935372206842619</c:v>
                </c:pt>
                <c:pt idx="589">
                  <c:v>-18.031850184435651</c:v>
                </c:pt>
                <c:pt idx="590">
                  <c:v>-19.241236104102029</c:v>
                </c:pt>
                <c:pt idx="591">
                  <c:v>-20.547391080068657</c:v>
                </c:pt>
                <c:pt idx="592">
                  <c:v>-21.932015785111805</c:v>
                </c:pt>
                <c:pt idx="593">
                  <c:v>-23.378094867341559</c:v>
                </c:pt>
                <c:pt idx="594">
                  <c:v>-24.870046985791955</c:v>
                </c:pt>
                <c:pt idx="595">
                  <c:v>-26.395793409243606</c:v>
                </c:pt>
                <c:pt idx="596">
                  <c:v>-27.945437204154786</c:v>
                </c:pt>
                <c:pt idx="597">
                  <c:v>-29.512147630807405</c:v>
                </c:pt>
                <c:pt idx="598">
                  <c:v>-31.090328069971754</c:v>
                </c:pt>
                <c:pt idx="599">
                  <c:v>-32.67666656657137</c:v>
                </c:pt>
                <c:pt idx="600">
                  <c:v>-34.268312795685432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55-41F1-84E2-E768F8DC0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14272"/>
        <c:axId val="159016448"/>
      </c:scatterChart>
      <c:scatterChart>
        <c:scatterStyle val="lineMarker"/>
        <c:varyColors val="0"/>
        <c:ser>
          <c:idx val="1"/>
          <c:order val="1"/>
          <c:tx>
            <c:strRef>
              <c:f>'Stability Calculations'!$S$12</c:f>
              <c:strCache>
                <c:ptCount val="1"/>
                <c:pt idx="0">
                  <c:v>Phase (°)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'Stability Calculations'!$A$13:$A$613</c:f>
              <c:numCache>
                <c:formatCode>General</c:formatCode>
                <c:ptCount val="601"/>
                <c:pt idx="0">
                  <c:v>1</c:v>
                </c:pt>
                <c:pt idx="1">
                  <c:v>1.0965</c:v>
                </c:pt>
                <c:pt idx="2">
                  <c:v>1.2022999999999999</c:v>
                </c:pt>
                <c:pt idx="3">
                  <c:v>1.3183</c:v>
                </c:pt>
                <c:pt idx="4">
                  <c:v>1.4454</c:v>
                </c:pt>
                <c:pt idx="5">
                  <c:v>1.5849</c:v>
                </c:pt>
                <c:pt idx="6">
                  <c:v>1.7378</c:v>
                </c:pt>
                <c:pt idx="7">
                  <c:v>1.9055</c:v>
                </c:pt>
                <c:pt idx="8">
                  <c:v>2.0893000000000002</c:v>
                </c:pt>
                <c:pt idx="9">
                  <c:v>2.2909000000000002</c:v>
                </c:pt>
                <c:pt idx="10">
                  <c:v>2.5118999999999998</c:v>
                </c:pt>
                <c:pt idx="11">
                  <c:v>2.7542</c:v>
                </c:pt>
                <c:pt idx="12">
                  <c:v>3.02</c:v>
                </c:pt>
                <c:pt idx="13">
                  <c:v>3.3113000000000001</c:v>
                </c:pt>
                <c:pt idx="14">
                  <c:v>3.6307999999999998</c:v>
                </c:pt>
                <c:pt idx="15">
                  <c:v>3.9811000000000001</c:v>
                </c:pt>
                <c:pt idx="16">
                  <c:v>4.3651999999999997</c:v>
                </c:pt>
                <c:pt idx="17">
                  <c:v>4.7862999999999998</c:v>
                </c:pt>
                <c:pt idx="18">
                  <c:v>5.2481</c:v>
                </c:pt>
                <c:pt idx="19">
                  <c:v>5.7544000000000004</c:v>
                </c:pt>
                <c:pt idx="20">
                  <c:v>6.3095999999999997</c:v>
                </c:pt>
                <c:pt idx="21">
                  <c:v>6.9183000000000003</c:v>
                </c:pt>
                <c:pt idx="22">
                  <c:v>7.5857999999999999</c:v>
                </c:pt>
                <c:pt idx="23">
                  <c:v>8.3176000000000005</c:v>
                </c:pt>
                <c:pt idx="24">
                  <c:v>9.1201000000000008</c:v>
                </c:pt>
                <c:pt idx="25">
                  <c:v>10</c:v>
                </c:pt>
                <c:pt idx="26">
                  <c:v>10.965</c:v>
                </c:pt>
                <c:pt idx="27">
                  <c:v>12.023</c:v>
                </c:pt>
                <c:pt idx="28">
                  <c:v>13.183</c:v>
                </c:pt>
                <c:pt idx="29">
                  <c:v>14.454000000000001</c:v>
                </c:pt>
                <c:pt idx="30">
                  <c:v>15.849</c:v>
                </c:pt>
                <c:pt idx="31">
                  <c:v>17.378</c:v>
                </c:pt>
                <c:pt idx="32">
                  <c:v>19.055</c:v>
                </c:pt>
                <c:pt idx="33">
                  <c:v>20.893000000000001</c:v>
                </c:pt>
                <c:pt idx="34">
                  <c:v>22.909000000000002</c:v>
                </c:pt>
                <c:pt idx="35">
                  <c:v>25.119</c:v>
                </c:pt>
                <c:pt idx="36">
                  <c:v>27.542000000000002</c:v>
                </c:pt>
                <c:pt idx="37">
                  <c:v>30.2</c:v>
                </c:pt>
                <c:pt idx="38">
                  <c:v>33.113</c:v>
                </c:pt>
                <c:pt idx="39">
                  <c:v>36.308</c:v>
                </c:pt>
                <c:pt idx="40">
                  <c:v>39.811</c:v>
                </c:pt>
                <c:pt idx="41">
                  <c:v>43.652000000000001</c:v>
                </c:pt>
                <c:pt idx="42">
                  <c:v>47.863</c:v>
                </c:pt>
                <c:pt idx="43">
                  <c:v>52.481000000000002</c:v>
                </c:pt>
                <c:pt idx="44">
                  <c:v>57.544000000000004</c:v>
                </c:pt>
                <c:pt idx="45">
                  <c:v>63.095999999999997</c:v>
                </c:pt>
                <c:pt idx="46">
                  <c:v>69.183000000000007</c:v>
                </c:pt>
                <c:pt idx="47">
                  <c:v>75.858000000000004</c:v>
                </c:pt>
                <c:pt idx="48">
                  <c:v>83.176000000000002</c:v>
                </c:pt>
                <c:pt idx="49">
                  <c:v>91.201000000000008</c:v>
                </c:pt>
                <c:pt idx="50">
                  <c:v>100</c:v>
                </c:pt>
                <c:pt idx="51">
                  <c:v>109.65</c:v>
                </c:pt>
                <c:pt idx="52">
                  <c:v>120.23</c:v>
                </c:pt>
                <c:pt idx="53">
                  <c:v>131.83000000000001</c:v>
                </c:pt>
                <c:pt idx="54">
                  <c:v>144.54</c:v>
                </c:pt>
                <c:pt idx="55">
                  <c:v>158.49</c:v>
                </c:pt>
                <c:pt idx="56">
                  <c:v>173.78</c:v>
                </c:pt>
                <c:pt idx="57">
                  <c:v>190.55</c:v>
                </c:pt>
                <c:pt idx="58">
                  <c:v>208.93</c:v>
                </c:pt>
                <c:pt idx="59">
                  <c:v>229.09</c:v>
                </c:pt>
                <c:pt idx="60">
                  <c:v>251.19</c:v>
                </c:pt>
                <c:pt idx="61">
                  <c:v>275.42</c:v>
                </c:pt>
                <c:pt idx="62">
                  <c:v>302</c:v>
                </c:pt>
                <c:pt idx="63">
                  <c:v>331.13</c:v>
                </c:pt>
                <c:pt idx="64">
                  <c:v>363.08</c:v>
                </c:pt>
                <c:pt idx="65">
                  <c:v>398.11</c:v>
                </c:pt>
                <c:pt idx="66">
                  <c:v>436.52</c:v>
                </c:pt>
                <c:pt idx="67">
                  <c:v>478.63</c:v>
                </c:pt>
                <c:pt idx="68">
                  <c:v>524.80999999999995</c:v>
                </c:pt>
                <c:pt idx="69">
                  <c:v>575.44000000000005</c:v>
                </c:pt>
                <c:pt idx="70">
                  <c:v>630.96</c:v>
                </c:pt>
                <c:pt idx="71">
                  <c:v>691.83</c:v>
                </c:pt>
                <c:pt idx="72">
                  <c:v>758.58</c:v>
                </c:pt>
                <c:pt idx="73">
                  <c:v>831.76</c:v>
                </c:pt>
                <c:pt idx="74">
                  <c:v>912.01</c:v>
                </c:pt>
                <c:pt idx="75">
                  <c:v>1000</c:v>
                </c:pt>
                <c:pt idx="76">
                  <c:v>1096.5</c:v>
                </c:pt>
                <c:pt idx="77">
                  <c:v>1202.3</c:v>
                </c:pt>
                <c:pt idx="78">
                  <c:v>1318.3</c:v>
                </c:pt>
                <c:pt idx="79">
                  <c:v>1445.4</c:v>
                </c:pt>
                <c:pt idx="80">
                  <c:v>1584.9</c:v>
                </c:pt>
                <c:pt idx="81">
                  <c:v>1737.8</c:v>
                </c:pt>
                <c:pt idx="82">
                  <c:v>1905.5</c:v>
                </c:pt>
                <c:pt idx="83">
                  <c:v>2089.3000000000002</c:v>
                </c:pt>
                <c:pt idx="84">
                  <c:v>2290.9</c:v>
                </c:pt>
                <c:pt idx="85">
                  <c:v>2511.9</c:v>
                </c:pt>
                <c:pt idx="86">
                  <c:v>2754.2</c:v>
                </c:pt>
                <c:pt idx="87">
                  <c:v>3020</c:v>
                </c:pt>
                <c:pt idx="88">
                  <c:v>3311.3</c:v>
                </c:pt>
                <c:pt idx="89">
                  <c:v>3630.8</c:v>
                </c:pt>
                <c:pt idx="90">
                  <c:v>3981.1</c:v>
                </c:pt>
                <c:pt idx="91">
                  <c:v>4365.2</c:v>
                </c:pt>
                <c:pt idx="92">
                  <c:v>4786.3</c:v>
                </c:pt>
                <c:pt idx="93">
                  <c:v>5248.1</c:v>
                </c:pt>
                <c:pt idx="94">
                  <c:v>5370.3</c:v>
                </c:pt>
                <c:pt idx="95">
                  <c:v>5432.85</c:v>
                </c:pt>
                <c:pt idx="96">
                  <c:v>5495.4</c:v>
                </c:pt>
                <c:pt idx="97">
                  <c:v>5559.4</c:v>
                </c:pt>
                <c:pt idx="98">
                  <c:v>5623.4</c:v>
                </c:pt>
                <c:pt idx="99">
                  <c:v>5688.9</c:v>
                </c:pt>
                <c:pt idx="100">
                  <c:v>5754.4</c:v>
                </c:pt>
                <c:pt idx="101">
                  <c:v>5821.4</c:v>
                </c:pt>
                <c:pt idx="102">
                  <c:v>5888.4</c:v>
                </c:pt>
                <c:pt idx="103">
                  <c:v>5957</c:v>
                </c:pt>
                <c:pt idx="104">
                  <c:v>6025.6</c:v>
                </c:pt>
                <c:pt idx="105">
                  <c:v>6095.8</c:v>
                </c:pt>
                <c:pt idx="106">
                  <c:v>6166</c:v>
                </c:pt>
                <c:pt idx="107">
                  <c:v>6237.8</c:v>
                </c:pt>
                <c:pt idx="108">
                  <c:v>6309.6</c:v>
                </c:pt>
                <c:pt idx="109">
                  <c:v>6383.05</c:v>
                </c:pt>
                <c:pt idx="110">
                  <c:v>6456.5</c:v>
                </c:pt>
                <c:pt idx="111">
                  <c:v>6531.7</c:v>
                </c:pt>
                <c:pt idx="112">
                  <c:v>6606.9</c:v>
                </c:pt>
                <c:pt idx="113">
                  <c:v>6683.85</c:v>
                </c:pt>
                <c:pt idx="114">
                  <c:v>6760.8</c:v>
                </c:pt>
                <c:pt idx="115">
                  <c:v>6839.55</c:v>
                </c:pt>
                <c:pt idx="116">
                  <c:v>6918.3</c:v>
                </c:pt>
                <c:pt idx="117">
                  <c:v>6998.9</c:v>
                </c:pt>
                <c:pt idx="118">
                  <c:v>7079.5</c:v>
                </c:pt>
                <c:pt idx="119">
                  <c:v>7161.95</c:v>
                </c:pt>
                <c:pt idx="120">
                  <c:v>7244.4</c:v>
                </c:pt>
                <c:pt idx="121">
                  <c:v>7328.75</c:v>
                </c:pt>
                <c:pt idx="122">
                  <c:v>7413.1</c:v>
                </c:pt>
                <c:pt idx="123">
                  <c:v>7499.45</c:v>
                </c:pt>
                <c:pt idx="124">
                  <c:v>7585.8</c:v>
                </c:pt>
                <c:pt idx="125">
                  <c:v>7674.15</c:v>
                </c:pt>
                <c:pt idx="126">
                  <c:v>7762.5</c:v>
                </c:pt>
                <c:pt idx="127">
                  <c:v>7852.9</c:v>
                </c:pt>
                <c:pt idx="128">
                  <c:v>7943.3</c:v>
                </c:pt>
                <c:pt idx="129">
                  <c:v>8035.8</c:v>
                </c:pt>
                <c:pt idx="130">
                  <c:v>8128.3</c:v>
                </c:pt>
                <c:pt idx="131">
                  <c:v>8222.9500000000007</c:v>
                </c:pt>
                <c:pt idx="132">
                  <c:v>8270.2750000000015</c:v>
                </c:pt>
                <c:pt idx="133">
                  <c:v>8317.6</c:v>
                </c:pt>
                <c:pt idx="134">
                  <c:v>8366.0499999999993</c:v>
                </c:pt>
                <c:pt idx="135">
                  <c:v>8414.5</c:v>
                </c:pt>
                <c:pt idx="136">
                  <c:v>8462.9500000000007</c:v>
                </c:pt>
                <c:pt idx="137">
                  <c:v>8511.4</c:v>
                </c:pt>
                <c:pt idx="138">
                  <c:v>8560.9500000000007</c:v>
                </c:pt>
                <c:pt idx="139">
                  <c:v>8610.5</c:v>
                </c:pt>
                <c:pt idx="140">
                  <c:v>8660.0499999999993</c:v>
                </c:pt>
                <c:pt idx="141">
                  <c:v>8709.6</c:v>
                </c:pt>
                <c:pt idx="142">
                  <c:v>8760.3250000000007</c:v>
                </c:pt>
                <c:pt idx="143">
                  <c:v>8811.0499999999993</c:v>
                </c:pt>
                <c:pt idx="144">
                  <c:v>8861.7749999999996</c:v>
                </c:pt>
                <c:pt idx="145">
                  <c:v>8912.5</c:v>
                </c:pt>
                <c:pt idx="146">
                  <c:v>8964.4</c:v>
                </c:pt>
                <c:pt idx="147">
                  <c:v>9016.2999999999993</c:v>
                </c:pt>
                <c:pt idx="148">
                  <c:v>9068.2000000000007</c:v>
                </c:pt>
                <c:pt idx="149">
                  <c:v>9120.1</c:v>
                </c:pt>
                <c:pt idx="150">
                  <c:v>9173.2000000000007</c:v>
                </c:pt>
                <c:pt idx="151">
                  <c:v>9226.2999999999993</c:v>
                </c:pt>
                <c:pt idx="152">
                  <c:v>9279.4</c:v>
                </c:pt>
                <c:pt idx="153">
                  <c:v>9332.5</c:v>
                </c:pt>
                <c:pt idx="154">
                  <c:v>9386.85</c:v>
                </c:pt>
                <c:pt idx="155">
                  <c:v>9441.2000000000007</c:v>
                </c:pt>
                <c:pt idx="156">
                  <c:v>9495.5499999999993</c:v>
                </c:pt>
                <c:pt idx="157">
                  <c:v>9549.9</c:v>
                </c:pt>
                <c:pt idx="158">
                  <c:v>9605.5249999999996</c:v>
                </c:pt>
                <c:pt idx="159">
                  <c:v>9661.15</c:v>
                </c:pt>
                <c:pt idx="160">
                  <c:v>9716.7749999999996</c:v>
                </c:pt>
                <c:pt idx="161">
                  <c:v>9772.4</c:v>
                </c:pt>
                <c:pt idx="162">
                  <c:v>9829.2999999999993</c:v>
                </c:pt>
                <c:pt idx="163">
                  <c:v>9886.2000000000007</c:v>
                </c:pt>
                <c:pt idx="164">
                  <c:v>9943.1</c:v>
                </c:pt>
                <c:pt idx="165">
                  <c:v>10000</c:v>
                </c:pt>
                <c:pt idx="166">
                  <c:v>10058.25</c:v>
                </c:pt>
                <c:pt idx="167">
                  <c:v>10116.5</c:v>
                </c:pt>
                <c:pt idx="168">
                  <c:v>10174.75</c:v>
                </c:pt>
                <c:pt idx="169">
                  <c:v>10233</c:v>
                </c:pt>
                <c:pt idx="170">
                  <c:v>10292.5</c:v>
                </c:pt>
                <c:pt idx="171">
                  <c:v>10352</c:v>
                </c:pt>
                <c:pt idx="172">
                  <c:v>10411.5</c:v>
                </c:pt>
                <c:pt idx="173">
                  <c:v>10471</c:v>
                </c:pt>
                <c:pt idx="174">
                  <c:v>10532</c:v>
                </c:pt>
                <c:pt idx="175">
                  <c:v>10593</c:v>
                </c:pt>
                <c:pt idx="176">
                  <c:v>10654</c:v>
                </c:pt>
                <c:pt idx="177">
                  <c:v>10715</c:v>
                </c:pt>
                <c:pt idx="178">
                  <c:v>10777.5</c:v>
                </c:pt>
                <c:pt idx="179">
                  <c:v>10840</c:v>
                </c:pt>
                <c:pt idx="180">
                  <c:v>10902.5</c:v>
                </c:pt>
                <c:pt idx="181">
                  <c:v>10965</c:v>
                </c:pt>
                <c:pt idx="182">
                  <c:v>11028.75</c:v>
                </c:pt>
                <c:pt idx="183">
                  <c:v>11092.5</c:v>
                </c:pt>
                <c:pt idx="184">
                  <c:v>11156.25</c:v>
                </c:pt>
                <c:pt idx="185">
                  <c:v>11220</c:v>
                </c:pt>
                <c:pt idx="186">
                  <c:v>11285.5</c:v>
                </c:pt>
                <c:pt idx="187">
                  <c:v>11351</c:v>
                </c:pt>
                <c:pt idx="188">
                  <c:v>11416.5</c:v>
                </c:pt>
                <c:pt idx="189">
                  <c:v>11482</c:v>
                </c:pt>
                <c:pt idx="190">
                  <c:v>11548.75</c:v>
                </c:pt>
                <c:pt idx="191">
                  <c:v>11615.5</c:v>
                </c:pt>
                <c:pt idx="192">
                  <c:v>11682.25</c:v>
                </c:pt>
                <c:pt idx="193">
                  <c:v>11749</c:v>
                </c:pt>
                <c:pt idx="194">
                  <c:v>11817.5</c:v>
                </c:pt>
                <c:pt idx="195">
                  <c:v>11886</c:v>
                </c:pt>
                <c:pt idx="196">
                  <c:v>11954.5</c:v>
                </c:pt>
                <c:pt idx="197">
                  <c:v>12023</c:v>
                </c:pt>
                <c:pt idx="198">
                  <c:v>12093</c:v>
                </c:pt>
                <c:pt idx="199">
                  <c:v>12163</c:v>
                </c:pt>
                <c:pt idx="200">
                  <c:v>12233</c:v>
                </c:pt>
                <c:pt idx="201">
                  <c:v>12303</c:v>
                </c:pt>
                <c:pt idx="202">
                  <c:v>12374.5</c:v>
                </c:pt>
                <c:pt idx="203">
                  <c:v>12446</c:v>
                </c:pt>
                <c:pt idx="204">
                  <c:v>12517.5</c:v>
                </c:pt>
                <c:pt idx="205">
                  <c:v>12589</c:v>
                </c:pt>
                <c:pt idx="206">
                  <c:v>12662.25</c:v>
                </c:pt>
                <c:pt idx="207">
                  <c:v>12735.5</c:v>
                </c:pt>
                <c:pt idx="208">
                  <c:v>12808.75</c:v>
                </c:pt>
                <c:pt idx="209">
                  <c:v>12882</c:v>
                </c:pt>
                <c:pt idx="210">
                  <c:v>12957.25</c:v>
                </c:pt>
                <c:pt idx="211">
                  <c:v>13032.5</c:v>
                </c:pt>
                <c:pt idx="212">
                  <c:v>13107.75</c:v>
                </c:pt>
                <c:pt idx="213">
                  <c:v>13183</c:v>
                </c:pt>
                <c:pt idx="214">
                  <c:v>13259.75</c:v>
                </c:pt>
                <c:pt idx="215">
                  <c:v>13336.5</c:v>
                </c:pt>
                <c:pt idx="216">
                  <c:v>13413.25</c:v>
                </c:pt>
                <c:pt idx="217">
                  <c:v>13490</c:v>
                </c:pt>
                <c:pt idx="218">
                  <c:v>13568.5</c:v>
                </c:pt>
                <c:pt idx="219">
                  <c:v>13647</c:v>
                </c:pt>
                <c:pt idx="220">
                  <c:v>13725.5</c:v>
                </c:pt>
                <c:pt idx="221">
                  <c:v>13804</c:v>
                </c:pt>
                <c:pt idx="222">
                  <c:v>13884.25</c:v>
                </c:pt>
                <c:pt idx="223">
                  <c:v>13964.5</c:v>
                </c:pt>
                <c:pt idx="224">
                  <c:v>14044.75</c:v>
                </c:pt>
                <c:pt idx="225">
                  <c:v>14125</c:v>
                </c:pt>
                <c:pt idx="226">
                  <c:v>14207.25</c:v>
                </c:pt>
                <c:pt idx="227">
                  <c:v>14289.5</c:v>
                </c:pt>
                <c:pt idx="228">
                  <c:v>14371.75</c:v>
                </c:pt>
                <c:pt idx="229">
                  <c:v>14454</c:v>
                </c:pt>
                <c:pt idx="230">
                  <c:v>14622.5</c:v>
                </c:pt>
                <c:pt idx="231">
                  <c:v>14706.75</c:v>
                </c:pt>
                <c:pt idx="232">
                  <c:v>14791</c:v>
                </c:pt>
                <c:pt idx="233">
                  <c:v>14877.25</c:v>
                </c:pt>
                <c:pt idx="234">
                  <c:v>14963.5</c:v>
                </c:pt>
                <c:pt idx="235">
                  <c:v>15049.75</c:v>
                </c:pt>
                <c:pt idx="236">
                  <c:v>15136</c:v>
                </c:pt>
                <c:pt idx="237">
                  <c:v>15224</c:v>
                </c:pt>
                <c:pt idx="238">
                  <c:v>15312</c:v>
                </c:pt>
                <c:pt idx="239">
                  <c:v>15400</c:v>
                </c:pt>
                <c:pt idx="240">
                  <c:v>15488</c:v>
                </c:pt>
                <c:pt idx="241">
                  <c:v>15578.25</c:v>
                </c:pt>
                <c:pt idx="242">
                  <c:v>15668.5</c:v>
                </c:pt>
                <c:pt idx="243">
                  <c:v>15758.75</c:v>
                </c:pt>
                <c:pt idx="244">
                  <c:v>15849</c:v>
                </c:pt>
                <c:pt idx="245">
                  <c:v>15941.25</c:v>
                </c:pt>
                <c:pt idx="246">
                  <c:v>16033.5</c:v>
                </c:pt>
                <c:pt idx="247">
                  <c:v>16125.75</c:v>
                </c:pt>
                <c:pt idx="248">
                  <c:v>16218</c:v>
                </c:pt>
                <c:pt idx="249">
                  <c:v>16312.5</c:v>
                </c:pt>
                <c:pt idx="250">
                  <c:v>16407</c:v>
                </c:pt>
                <c:pt idx="251">
                  <c:v>16501.5</c:v>
                </c:pt>
                <c:pt idx="252">
                  <c:v>16596</c:v>
                </c:pt>
                <c:pt idx="253">
                  <c:v>16692.5</c:v>
                </c:pt>
                <c:pt idx="254">
                  <c:v>16789</c:v>
                </c:pt>
                <c:pt idx="255">
                  <c:v>16885.5</c:v>
                </c:pt>
                <c:pt idx="256">
                  <c:v>16982</c:v>
                </c:pt>
                <c:pt idx="257">
                  <c:v>17081</c:v>
                </c:pt>
                <c:pt idx="258">
                  <c:v>17180</c:v>
                </c:pt>
                <c:pt idx="259">
                  <c:v>17279</c:v>
                </c:pt>
                <c:pt idx="260">
                  <c:v>17378</c:v>
                </c:pt>
                <c:pt idx="261">
                  <c:v>17479.25</c:v>
                </c:pt>
                <c:pt idx="262">
                  <c:v>17580.5</c:v>
                </c:pt>
                <c:pt idx="263">
                  <c:v>17681.75</c:v>
                </c:pt>
                <c:pt idx="264">
                  <c:v>17783</c:v>
                </c:pt>
                <c:pt idx="265">
                  <c:v>17886.5</c:v>
                </c:pt>
                <c:pt idx="266">
                  <c:v>17990</c:v>
                </c:pt>
                <c:pt idx="267">
                  <c:v>18093.5</c:v>
                </c:pt>
                <c:pt idx="268">
                  <c:v>18197</c:v>
                </c:pt>
                <c:pt idx="269">
                  <c:v>18303</c:v>
                </c:pt>
                <c:pt idx="270">
                  <c:v>18409</c:v>
                </c:pt>
                <c:pt idx="271">
                  <c:v>18515</c:v>
                </c:pt>
                <c:pt idx="272">
                  <c:v>18621</c:v>
                </c:pt>
                <c:pt idx="273">
                  <c:v>18729.5</c:v>
                </c:pt>
                <c:pt idx="274">
                  <c:v>18838</c:v>
                </c:pt>
                <c:pt idx="275">
                  <c:v>18946.5</c:v>
                </c:pt>
                <c:pt idx="276">
                  <c:v>19055</c:v>
                </c:pt>
                <c:pt idx="277">
                  <c:v>19165.75</c:v>
                </c:pt>
                <c:pt idx="278">
                  <c:v>19276.5</c:v>
                </c:pt>
                <c:pt idx="279">
                  <c:v>19387.25</c:v>
                </c:pt>
                <c:pt idx="280">
                  <c:v>19498</c:v>
                </c:pt>
                <c:pt idx="281">
                  <c:v>19611.75</c:v>
                </c:pt>
                <c:pt idx="282">
                  <c:v>19725.5</c:v>
                </c:pt>
                <c:pt idx="283">
                  <c:v>19839.25</c:v>
                </c:pt>
                <c:pt idx="284">
                  <c:v>19953</c:v>
                </c:pt>
                <c:pt idx="285">
                  <c:v>20069</c:v>
                </c:pt>
                <c:pt idx="286">
                  <c:v>20185</c:v>
                </c:pt>
                <c:pt idx="287">
                  <c:v>20301</c:v>
                </c:pt>
                <c:pt idx="288">
                  <c:v>20417</c:v>
                </c:pt>
                <c:pt idx="289">
                  <c:v>20536</c:v>
                </c:pt>
                <c:pt idx="290">
                  <c:v>20655</c:v>
                </c:pt>
                <c:pt idx="291">
                  <c:v>20774</c:v>
                </c:pt>
                <c:pt idx="292">
                  <c:v>20893</c:v>
                </c:pt>
                <c:pt idx="293">
                  <c:v>21014.75</c:v>
                </c:pt>
                <c:pt idx="294">
                  <c:v>21136.5</c:v>
                </c:pt>
                <c:pt idx="295">
                  <c:v>21258.25</c:v>
                </c:pt>
                <c:pt idx="296">
                  <c:v>21380</c:v>
                </c:pt>
                <c:pt idx="297">
                  <c:v>21504.5</c:v>
                </c:pt>
                <c:pt idx="298">
                  <c:v>21629</c:v>
                </c:pt>
                <c:pt idx="299">
                  <c:v>21753.5</c:v>
                </c:pt>
                <c:pt idx="300">
                  <c:v>21878</c:v>
                </c:pt>
                <c:pt idx="301">
                  <c:v>22005.25</c:v>
                </c:pt>
                <c:pt idx="302">
                  <c:v>22132.5</c:v>
                </c:pt>
                <c:pt idx="303">
                  <c:v>22259.75</c:v>
                </c:pt>
                <c:pt idx="304">
                  <c:v>22387</c:v>
                </c:pt>
                <c:pt idx="305">
                  <c:v>22517.5</c:v>
                </c:pt>
                <c:pt idx="306">
                  <c:v>22648</c:v>
                </c:pt>
                <c:pt idx="307">
                  <c:v>22778.5</c:v>
                </c:pt>
                <c:pt idx="308">
                  <c:v>22909</c:v>
                </c:pt>
                <c:pt idx="309">
                  <c:v>23042.25</c:v>
                </c:pt>
                <c:pt idx="310">
                  <c:v>23175.5</c:v>
                </c:pt>
                <c:pt idx="311">
                  <c:v>23308.75</c:v>
                </c:pt>
                <c:pt idx="312">
                  <c:v>23442</c:v>
                </c:pt>
                <c:pt idx="313">
                  <c:v>23578.5</c:v>
                </c:pt>
                <c:pt idx="314">
                  <c:v>23715</c:v>
                </c:pt>
                <c:pt idx="315">
                  <c:v>23851.5</c:v>
                </c:pt>
                <c:pt idx="316">
                  <c:v>23988</c:v>
                </c:pt>
                <c:pt idx="317">
                  <c:v>24127.75</c:v>
                </c:pt>
                <c:pt idx="318">
                  <c:v>24267.5</c:v>
                </c:pt>
                <c:pt idx="319">
                  <c:v>24407.25</c:v>
                </c:pt>
                <c:pt idx="320">
                  <c:v>24547</c:v>
                </c:pt>
                <c:pt idx="321">
                  <c:v>24690</c:v>
                </c:pt>
                <c:pt idx="322">
                  <c:v>24833</c:v>
                </c:pt>
                <c:pt idx="323">
                  <c:v>24976</c:v>
                </c:pt>
                <c:pt idx="324">
                  <c:v>25119</c:v>
                </c:pt>
                <c:pt idx="325">
                  <c:v>25265.25</c:v>
                </c:pt>
                <c:pt idx="326">
                  <c:v>25411.5</c:v>
                </c:pt>
                <c:pt idx="327">
                  <c:v>25557.75</c:v>
                </c:pt>
                <c:pt idx="328">
                  <c:v>25704</c:v>
                </c:pt>
                <c:pt idx="329">
                  <c:v>25853.75</c:v>
                </c:pt>
                <c:pt idx="330">
                  <c:v>26003.5</c:v>
                </c:pt>
                <c:pt idx="331">
                  <c:v>26153.25</c:v>
                </c:pt>
                <c:pt idx="332">
                  <c:v>26303</c:v>
                </c:pt>
                <c:pt idx="333">
                  <c:v>26456</c:v>
                </c:pt>
                <c:pt idx="334">
                  <c:v>26609</c:v>
                </c:pt>
                <c:pt idx="335">
                  <c:v>26762</c:v>
                </c:pt>
                <c:pt idx="336">
                  <c:v>26915</c:v>
                </c:pt>
                <c:pt idx="337">
                  <c:v>27071.75</c:v>
                </c:pt>
                <c:pt idx="338">
                  <c:v>27228.5</c:v>
                </c:pt>
                <c:pt idx="339">
                  <c:v>27385.25</c:v>
                </c:pt>
                <c:pt idx="340">
                  <c:v>27542</c:v>
                </c:pt>
                <c:pt idx="341">
                  <c:v>27702.5</c:v>
                </c:pt>
                <c:pt idx="342">
                  <c:v>27863</c:v>
                </c:pt>
                <c:pt idx="343">
                  <c:v>28023.5</c:v>
                </c:pt>
                <c:pt idx="344">
                  <c:v>28184</c:v>
                </c:pt>
                <c:pt idx="345">
                  <c:v>28348</c:v>
                </c:pt>
                <c:pt idx="346">
                  <c:v>28512</c:v>
                </c:pt>
                <c:pt idx="347">
                  <c:v>28676</c:v>
                </c:pt>
                <c:pt idx="348">
                  <c:v>28840</c:v>
                </c:pt>
                <c:pt idx="349">
                  <c:v>29008</c:v>
                </c:pt>
                <c:pt idx="350">
                  <c:v>29176</c:v>
                </c:pt>
                <c:pt idx="351">
                  <c:v>29344</c:v>
                </c:pt>
                <c:pt idx="352">
                  <c:v>29512</c:v>
                </c:pt>
                <c:pt idx="353">
                  <c:v>29684</c:v>
                </c:pt>
                <c:pt idx="354">
                  <c:v>29856</c:v>
                </c:pt>
                <c:pt idx="355">
                  <c:v>30028</c:v>
                </c:pt>
                <c:pt idx="356">
                  <c:v>30200</c:v>
                </c:pt>
                <c:pt idx="357">
                  <c:v>30375.75</c:v>
                </c:pt>
                <c:pt idx="358">
                  <c:v>30551.5</c:v>
                </c:pt>
                <c:pt idx="359">
                  <c:v>30727.25</c:v>
                </c:pt>
                <c:pt idx="360">
                  <c:v>30903</c:v>
                </c:pt>
                <c:pt idx="361">
                  <c:v>31083</c:v>
                </c:pt>
                <c:pt idx="362">
                  <c:v>31263</c:v>
                </c:pt>
                <c:pt idx="363">
                  <c:v>31443</c:v>
                </c:pt>
                <c:pt idx="364">
                  <c:v>31623</c:v>
                </c:pt>
                <c:pt idx="365">
                  <c:v>31807</c:v>
                </c:pt>
                <c:pt idx="366">
                  <c:v>31991</c:v>
                </c:pt>
                <c:pt idx="367">
                  <c:v>32175</c:v>
                </c:pt>
                <c:pt idx="368">
                  <c:v>32359</c:v>
                </c:pt>
                <c:pt idx="369">
                  <c:v>32547.5</c:v>
                </c:pt>
                <c:pt idx="370">
                  <c:v>32736</c:v>
                </c:pt>
                <c:pt idx="371">
                  <c:v>32924.5</c:v>
                </c:pt>
                <c:pt idx="372">
                  <c:v>33113</c:v>
                </c:pt>
                <c:pt idx="373">
                  <c:v>33305.75</c:v>
                </c:pt>
                <c:pt idx="374">
                  <c:v>33498.5</c:v>
                </c:pt>
                <c:pt idx="375">
                  <c:v>33691.25</c:v>
                </c:pt>
                <c:pt idx="376">
                  <c:v>33884</c:v>
                </c:pt>
                <c:pt idx="377">
                  <c:v>34081.5</c:v>
                </c:pt>
                <c:pt idx="378">
                  <c:v>34279</c:v>
                </c:pt>
                <c:pt idx="379">
                  <c:v>34476.5</c:v>
                </c:pt>
                <c:pt idx="380">
                  <c:v>34674</c:v>
                </c:pt>
                <c:pt idx="381">
                  <c:v>34875.75</c:v>
                </c:pt>
                <c:pt idx="382">
                  <c:v>35077.5</c:v>
                </c:pt>
                <c:pt idx="383">
                  <c:v>35279.25</c:v>
                </c:pt>
                <c:pt idx="384">
                  <c:v>35481</c:v>
                </c:pt>
                <c:pt idx="385">
                  <c:v>35687.75</c:v>
                </c:pt>
                <c:pt idx="386">
                  <c:v>35894.5</c:v>
                </c:pt>
                <c:pt idx="387">
                  <c:v>36101.25</c:v>
                </c:pt>
                <c:pt idx="388">
                  <c:v>36308</c:v>
                </c:pt>
                <c:pt idx="389">
                  <c:v>36519.5</c:v>
                </c:pt>
                <c:pt idx="390">
                  <c:v>36731</c:v>
                </c:pt>
                <c:pt idx="391">
                  <c:v>36942.5</c:v>
                </c:pt>
                <c:pt idx="392">
                  <c:v>37154</c:v>
                </c:pt>
                <c:pt idx="393">
                  <c:v>37370.25</c:v>
                </c:pt>
                <c:pt idx="394">
                  <c:v>37586.5</c:v>
                </c:pt>
                <c:pt idx="395">
                  <c:v>37802.75</c:v>
                </c:pt>
                <c:pt idx="396">
                  <c:v>38019</c:v>
                </c:pt>
                <c:pt idx="397">
                  <c:v>38240.5</c:v>
                </c:pt>
                <c:pt idx="398">
                  <c:v>38462</c:v>
                </c:pt>
                <c:pt idx="399">
                  <c:v>38683.5</c:v>
                </c:pt>
                <c:pt idx="400">
                  <c:v>38905</c:v>
                </c:pt>
                <c:pt idx="401">
                  <c:v>39131.5</c:v>
                </c:pt>
                <c:pt idx="402">
                  <c:v>39358</c:v>
                </c:pt>
                <c:pt idx="403">
                  <c:v>39584.5</c:v>
                </c:pt>
                <c:pt idx="404">
                  <c:v>39811</c:v>
                </c:pt>
                <c:pt idx="405">
                  <c:v>40042.75</c:v>
                </c:pt>
                <c:pt idx="406">
                  <c:v>40274.5</c:v>
                </c:pt>
                <c:pt idx="407">
                  <c:v>40506.25</c:v>
                </c:pt>
                <c:pt idx="408">
                  <c:v>40738</c:v>
                </c:pt>
                <c:pt idx="409">
                  <c:v>40975.25</c:v>
                </c:pt>
                <c:pt idx="410">
                  <c:v>41212.5</c:v>
                </c:pt>
                <c:pt idx="411">
                  <c:v>41449.75</c:v>
                </c:pt>
                <c:pt idx="412">
                  <c:v>41687</c:v>
                </c:pt>
                <c:pt idx="413">
                  <c:v>41929.75</c:v>
                </c:pt>
                <c:pt idx="414">
                  <c:v>42172.5</c:v>
                </c:pt>
                <c:pt idx="415">
                  <c:v>42415.25</c:v>
                </c:pt>
                <c:pt idx="416">
                  <c:v>42658</c:v>
                </c:pt>
                <c:pt idx="417">
                  <c:v>42906.5</c:v>
                </c:pt>
                <c:pt idx="418">
                  <c:v>43155</c:v>
                </c:pt>
                <c:pt idx="419">
                  <c:v>43403.5</c:v>
                </c:pt>
                <c:pt idx="420">
                  <c:v>43652</c:v>
                </c:pt>
                <c:pt idx="421">
                  <c:v>43906</c:v>
                </c:pt>
                <c:pt idx="422">
                  <c:v>44160</c:v>
                </c:pt>
                <c:pt idx="423">
                  <c:v>44414</c:v>
                </c:pt>
                <c:pt idx="424">
                  <c:v>44668</c:v>
                </c:pt>
                <c:pt idx="425">
                  <c:v>44928.25</c:v>
                </c:pt>
                <c:pt idx="426">
                  <c:v>45188.5</c:v>
                </c:pt>
                <c:pt idx="427">
                  <c:v>45448.75</c:v>
                </c:pt>
                <c:pt idx="428">
                  <c:v>45709</c:v>
                </c:pt>
                <c:pt idx="429">
                  <c:v>45975.25</c:v>
                </c:pt>
                <c:pt idx="430">
                  <c:v>46241.5</c:v>
                </c:pt>
                <c:pt idx="431">
                  <c:v>46507.75</c:v>
                </c:pt>
                <c:pt idx="432">
                  <c:v>46774</c:v>
                </c:pt>
                <c:pt idx="433">
                  <c:v>47046.25</c:v>
                </c:pt>
                <c:pt idx="434">
                  <c:v>47318.5</c:v>
                </c:pt>
                <c:pt idx="435">
                  <c:v>47590.75</c:v>
                </c:pt>
                <c:pt idx="436">
                  <c:v>47863</c:v>
                </c:pt>
                <c:pt idx="437">
                  <c:v>48141.75</c:v>
                </c:pt>
                <c:pt idx="438">
                  <c:v>48420.5</c:v>
                </c:pt>
                <c:pt idx="439">
                  <c:v>48699.25</c:v>
                </c:pt>
                <c:pt idx="440">
                  <c:v>48978</c:v>
                </c:pt>
                <c:pt idx="441">
                  <c:v>49263.25</c:v>
                </c:pt>
                <c:pt idx="442">
                  <c:v>49548.5</c:v>
                </c:pt>
                <c:pt idx="443">
                  <c:v>49833.75</c:v>
                </c:pt>
                <c:pt idx="444">
                  <c:v>50119</c:v>
                </c:pt>
                <c:pt idx="445">
                  <c:v>50410.75</c:v>
                </c:pt>
                <c:pt idx="446">
                  <c:v>50702.5</c:v>
                </c:pt>
                <c:pt idx="447">
                  <c:v>50994.25</c:v>
                </c:pt>
                <c:pt idx="448">
                  <c:v>51286</c:v>
                </c:pt>
                <c:pt idx="449">
                  <c:v>51584.75</c:v>
                </c:pt>
                <c:pt idx="450">
                  <c:v>51883.5</c:v>
                </c:pt>
                <c:pt idx="451">
                  <c:v>52182.25</c:v>
                </c:pt>
                <c:pt idx="452">
                  <c:v>52481</c:v>
                </c:pt>
                <c:pt idx="453">
                  <c:v>52786.5</c:v>
                </c:pt>
                <c:pt idx="454">
                  <c:v>53092</c:v>
                </c:pt>
                <c:pt idx="455">
                  <c:v>53397.5</c:v>
                </c:pt>
                <c:pt idx="456">
                  <c:v>53703</c:v>
                </c:pt>
                <c:pt idx="457">
                  <c:v>54015.75</c:v>
                </c:pt>
                <c:pt idx="458">
                  <c:v>54328.5</c:v>
                </c:pt>
                <c:pt idx="459">
                  <c:v>54641.25</c:v>
                </c:pt>
                <c:pt idx="460">
                  <c:v>54954</c:v>
                </c:pt>
                <c:pt idx="461">
                  <c:v>55274</c:v>
                </c:pt>
                <c:pt idx="462">
                  <c:v>55594</c:v>
                </c:pt>
                <c:pt idx="463">
                  <c:v>55914</c:v>
                </c:pt>
                <c:pt idx="464">
                  <c:v>56234</c:v>
                </c:pt>
                <c:pt idx="465">
                  <c:v>56561.5</c:v>
                </c:pt>
                <c:pt idx="466">
                  <c:v>56889</c:v>
                </c:pt>
                <c:pt idx="467">
                  <c:v>57216.5</c:v>
                </c:pt>
                <c:pt idx="468">
                  <c:v>57544</c:v>
                </c:pt>
                <c:pt idx="469">
                  <c:v>57879</c:v>
                </c:pt>
                <c:pt idx="470">
                  <c:v>58214</c:v>
                </c:pt>
                <c:pt idx="471">
                  <c:v>58549</c:v>
                </c:pt>
                <c:pt idx="472">
                  <c:v>58884</c:v>
                </c:pt>
                <c:pt idx="473">
                  <c:v>59227</c:v>
                </c:pt>
                <c:pt idx="474">
                  <c:v>59570</c:v>
                </c:pt>
                <c:pt idx="475">
                  <c:v>59913</c:v>
                </c:pt>
                <c:pt idx="476">
                  <c:v>60256</c:v>
                </c:pt>
                <c:pt idx="477">
                  <c:v>60607</c:v>
                </c:pt>
                <c:pt idx="478">
                  <c:v>60958</c:v>
                </c:pt>
                <c:pt idx="479">
                  <c:v>61309</c:v>
                </c:pt>
                <c:pt idx="480">
                  <c:v>61660</c:v>
                </c:pt>
                <c:pt idx="481">
                  <c:v>62019</c:v>
                </c:pt>
                <c:pt idx="482">
                  <c:v>62378</c:v>
                </c:pt>
                <c:pt idx="483">
                  <c:v>62737</c:v>
                </c:pt>
                <c:pt idx="484">
                  <c:v>63096</c:v>
                </c:pt>
                <c:pt idx="485">
                  <c:v>63463.25</c:v>
                </c:pt>
                <c:pt idx="486">
                  <c:v>63830.5</c:v>
                </c:pt>
                <c:pt idx="487">
                  <c:v>64197.75</c:v>
                </c:pt>
                <c:pt idx="488">
                  <c:v>64565</c:v>
                </c:pt>
                <c:pt idx="489">
                  <c:v>64941</c:v>
                </c:pt>
                <c:pt idx="490">
                  <c:v>65317</c:v>
                </c:pt>
                <c:pt idx="491">
                  <c:v>65693</c:v>
                </c:pt>
                <c:pt idx="492">
                  <c:v>66069</c:v>
                </c:pt>
                <c:pt idx="493">
                  <c:v>66453.75</c:v>
                </c:pt>
                <c:pt idx="494">
                  <c:v>66838.5</c:v>
                </c:pt>
                <c:pt idx="495">
                  <c:v>67223.25</c:v>
                </c:pt>
                <c:pt idx="496">
                  <c:v>67608</c:v>
                </c:pt>
                <c:pt idx="497">
                  <c:v>68001.75</c:v>
                </c:pt>
                <c:pt idx="498">
                  <c:v>68395.5</c:v>
                </c:pt>
                <c:pt idx="499">
                  <c:v>68789.25</c:v>
                </c:pt>
                <c:pt idx="500">
                  <c:v>69183</c:v>
                </c:pt>
                <c:pt idx="501">
                  <c:v>69586</c:v>
                </c:pt>
                <c:pt idx="502">
                  <c:v>69989</c:v>
                </c:pt>
                <c:pt idx="503">
                  <c:v>70392</c:v>
                </c:pt>
                <c:pt idx="504">
                  <c:v>70795</c:v>
                </c:pt>
                <c:pt idx="505">
                  <c:v>71207.25</c:v>
                </c:pt>
                <c:pt idx="506">
                  <c:v>71619.5</c:v>
                </c:pt>
                <c:pt idx="507">
                  <c:v>72031.75</c:v>
                </c:pt>
                <c:pt idx="508">
                  <c:v>72444</c:v>
                </c:pt>
                <c:pt idx="509">
                  <c:v>72865.75</c:v>
                </c:pt>
                <c:pt idx="510">
                  <c:v>73287.5</c:v>
                </c:pt>
                <c:pt idx="511">
                  <c:v>73709.25</c:v>
                </c:pt>
                <c:pt idx="512">
                  <c:v>74131</c:v>
                </c:pt>
                <c:pt idx="513">
                  <c:v>74562.75</c:v>
                </c:pt>
                <c:pt idx="514">
                  <c:v>74994.5</c:v>
                </c:pt>
                <c:pt idx="515">
                  <c:v>75426.25</c:v>
                </c:pt>
                <c:pt idx="516">
                  <c:v>75858</c:v>
                </c:pt>
                <c:pt idx="517">
                  <c:v>76299.75</c:v>
                </c:pt>
                <c:pt idx="518">
                  <c:v>76741.5</c:v>
                </c:pt>
                <c:pt idx="519">
                  <c:v>77183.25</c:v>
                </c:pt>
                <c:pt idx="520">
                  <c:v>77625</c:v>
                </c:pt>
                <c:pt idx="521">
                  <c:v>78077</c:v>
                </c:pt>
                <c:pt idx="522">
                  <c:v>78529</c:v>
                </c:pt>
                <c:pt idx="523">
                  <c:v>78981</c:v>
                </c:pt>
                <c:pt idx="524">
                  <c:v>79433</c:v>
                </c:pt>
                <c:pt idx="525">
                  <c:v>79895.5</c:v>
                </c:pt>
                <c:pt idx="526">
                  <c:v>80358</c:v>
                </c:pt>
                <c:pt idx="527">
                  <c:v>80820.5</c:v>
                </c:pt>
                <c:pt idx="528">
                  <c:v>81283</c:v>
                </c:pt>
                <c:pt idx="529">
                  <c:v>81756.25</c:v>
                </c:pt>
                <c:pt idx="530">
                  <c:v>82229.5</c:v>
                </c:pt>
                <c:pt idx="531">
                  <c:v>82702.75</c:v>
                </c:pt>
                <c:pt idx="532">
                  <c:v>83176</c:v>
                </c:pt>
                <c:pt idx="533">
                  <c:v>83660.5</c:v>
                </c:pt>
                <c:pt idx="534">
                  <c:v>84145</c:v>
                </c:pt>
                <c:pt idx="535">
                  <c:v>84629.5</c:v>
                </c:pt>
                <c:pt idx="536">
                  <c:v>85114</c:v>
                </c:pt>
                <c:pt idx="537">
                  <c:v>85609.5</c:v>
                </c:pt>
                <c:pt idx="538">
                  <c:v>86105</c:v>
                </c:pt>
                <c:pt idx="539">
                  <c:v>86600.5</c:v>
                </c:pt>
                <c:pt idx="540">
                  <c:v>87096</c:v>
                </c:pt>
                <c:pt idx="541">
                  <c:v>87603.25</c:v>
                </c:pt>
                <c:pt idx="542">
                  <c:v>88110.5</c:v>
                </c:pt>
                <c:pt idx="543">
                  <c:v>88617.75</c:v>
                </c:pt>
                <c:pt idx="544">
                  <c:v>89125</c:v>
                </c:pt>
                <c:pt idx="545">
                  <c:v>89644</c:v>
                </c:pt>
                <c:pt idx="546">
                  <c:v>90163</c:v>
                </c:pt>
                <c:pt idx="547">
                  <c:v>90682</c:v>
                </c:pt>
                <c:pt idx="548">
                  <c:v>91201</c:v>
                </c:pt>
                <c:pt idx="549">
                  <c:v>91732</c:v>
                </c:pt>
                <c:pt idx="550">
                  <c:v>92263</c:v>
                </c:pt>
                <c:pt idx="551">
                  <c:v>92794</c:v>
                </c:pt>
                <c:pt idx="552">
                  <c:v>93325</c:v>
                </c:pt>
                <c:pt idx="553">
                  <c:v>93868.5</c:v>
                </c:pt>
                <c:pt idx="554">
                  <c:v>94412</c:v>
                </c:pt>
                <c:pt idx="555">
                  <c:v>94955.5</c:v>
                </c:pt>
                <c:pt idx="556">
                  <c:v>95499</c:v>
                </c:pt>
                <c:pt idx="557">
                  <c:v>96611.5</c:v>
                </c:pt>
                <c:pt idx="558">
                  <c:v>97724</c:v>
                </c:pt>
                <c:pt idx="559">
                  <c:v>98862</c:v>
                </c:pt>
                <c:pt idx="560">
                  <c:v>100000</c:v>
                </c:pt>
                <c:pt idx="561">
                  <c:v>101165</c:v>
                </c:pt>
                <c:pt idx="562">
                  <c:v>102330</c:v>
                </c:pt>
                <c:pt idx="563">
                  <c:v>103520</c:v>
                </c:pt>
                <c:pt idx="564">
                  <c:v>104710</c:v>
                </c:pt>
                <c:pt idx="565">
                  <c:v>105930</c:v>
                </c:pt>
                <c:pt idx="566">
                  <c:v>107150</c:v>
                </c:pt>
                <c:pt idx="567">
                  <c:v>108400</c:v>
                </c:pt>
                <c:pt idx="568">
                  <c:v>109650</c:v>
                </c:pt>
                <c:pt idx="569">
                  <c:v>110925</c:v>
                </c:pt>
                <c:pt idx="570">
                  <c:v>112200</c:v>
                </c:pt>
                <c:pt idx="571">
                  <c:v>113510</c:v>
                </c:pt>
                <c:pt idx="572">
                  <c:v>114820</c:v>
                </c:pt>
                <c:pt idx="573">
                  <c:v>116155</c:v>
                </c:pt>
                <c:pt idx="574">
                  <c:v>117490</c:v>
                </c:pt>
                <c:pt idx="575">
                  <c:v>118860</c:v>
                </c:pt>
                <c:pt idx="576">
                  <c:v>120230</c:v>
                </c:pt>
                <c:pt idx="577">
                  <c:v>126030</c:v>
                </c:pt>
                <c:pt idx="578">
                  <c:v>131830</c:v>
                </c:pt>
                <c:pt idx="579">
                  <c:v>144540</c:v>
                </c:pt>
                <c:pt idx="580">
                  <c:v>158490</c:v>
                </c:pt>
                <c:pt idx="581">
                  <c:v>173780</c:v>
                </c:pt>
                <c:pt idx="582">
                  <c:v>190550</c:v>
                </c:pt>
                <c:pt idx="583">
                  <c:v>208930</c:v>
                </c:pt>
                <c:pt idx="584">
                  <c:v>229090</c:v>
                </c:pt>
                <c:pt idx="585">
                  <c:v>251190</c:v>
                </c:pt>
                <c:pt idx="586">
                  <c:v>275420</c:v>
                </c:pt>
                <c:pt idx="587">
                  <c:v>302000</c:v>
                </c:pt>
                <c:pt idx="588">
                  <c:v>331130</c:v>
                </c:pt>
                <c:pt idx="589">
                  <c:v>363080</c:v>
                </c:pt>
                <c:pt idx="590">
                  <c:v>398110</c:v>
                </c:pt>
                <c:pt idx="591">
                  <c:v>436520</c:v>
                </c:pt>
                <c:pt idx="592">
                  <c:v>478630</c:v>
                </c:pt>
                <c:pt idx="593">
                  <c:v>524810</c:v>
                </c:pt>
                <c:pt idx="594">
                  <c:v>575440</c:v>
                </c:pt>
                <c:pt idx="595">
                  <c:v>630960</c:v>
                </c:pt>
                <c:pt idx="596">
                  <c:v>691830</c:v>
                </c:pt>
                <c:pt idx="597">
                  <c:v>758580</c:v>
                </c:pt>
                <c:pt idx="598">
                  <c:v>831760</c:v>
                </c:pt>
                <c:pt idx="599">
                  <c:v>912010</c:v>
                </c:pt>
                <c:pt idx="600">
                  <c:v>1000000</c:v>
                </c:pt>
              </c:numCache>
            </c:numRef>
          </c:xVal>
          <c:yVal>
            <c:numRef>
              <c:f>'Stability Calculations'!$R$13:$R$613</c:f>
              <c:numCache>
                <c:formatCode>0.00</c:formatCode>
                <c:ptCount val="601"/>
                <c:pt idx="0">
                  <c:v>-56.675513666040004</c:v>
                </c:pt>
                <c:pt idx="1">
                  <c:v>-59.070466836477777</c:v>
                </c:pt>
                <c:pt idx="2">
                  <c:v>-61.366294515149193</c:v>
                </c:pt>
                <c:pt idx="3">
                  <c:v>-63.55363616283821</c:v>
                </c:pt>
                <c:pt idx="4">
                  <c:v>-65.624831116636599</c:v>
                </c:pt>
                <c:pt idx="5">
                  <c:v>-67.579709036862056</c:v>
                </c:pt>
                <c:pt idx="6">
                  <c:v>-69.414297385029272</c:v>
                </c:pt>
                <c:pt idx="7">
                  <c:v>-71.130831287876148</c:v>
                </c:pt>
                <c:pt idx="8">
                  <c:v>-72.730790943283736</c:v>
                </c:pt>
                <c:pt idx="9">
                  <c:v>-74.219431567198995</c:v>
                </c:pt>
                <c:pt idx="10">
                  <c:v>-75.600882679197724</c:v>
                </c:pt>
                <c:pt idx="11">
                  <c:v>-76.881071517071064</c:v>
                </c:pt>
                <c:pt idx="12">
                  <c:v>-78.066732841030998</c:v>
                </c:pt>
                <c:pt idx="13">
                  <c:v>-79.163072850655141</c:v>
                </c:pt>
                <c:pt idx="14">
                  <c:v>-80.177403967602615</c:v>
                </c:pt>
                <c:pt idx="15">
                  <c:v>-81.115670058102822</c:v>
                </c:pt>
                <c:pt idx="16">
                  <c:v>-81.984181585990257</c:v>
                </c:pt>
                <c:pt idx="17">
                  <c:v>-82.788858125929039</c:v>
                </c:pt>
                <c:pt idx="18">
                  <c:v>-83.535728085814469</c:v>
                </c:pt>
                <c:pt idx="19">
                  <c:v>-84.230127656844047</c:v>
                </c:pt>
                <c:pt idx="20">
                  <c:v>-84.877474527190344</c:v>
                </c:pt>
                <c:pt idx="21">
                  <c:v>-85.4826519225076</c:v>
                </c:pt>
                <c:pt idx="22">
                  <c:v>-86.05054878862029</c:v>
                </c:pt>
                <c:pt idx="23">
                  <c:v>-86.585542426077438</c:v>
                </c:pt>
                <c:pt idx="24">
                  <c:v>-87.092059951856186</c:v>
                </c:pt>
                <c:pt idx="25">
                  <c:v>-87.574100250823633</c:v>
                </c:pt>
                <c:pt idx="26">
                  <c:v>-88.035661114184947</c:v>
                </c:pt>
                <c:pt idx="27">
                  <c:v>-88.480311425831786</c:v>
                </c:pt>
                <c:pt idx="28">
                  <c:v>-88.911634855552734</c:v>
                </c:pt>
                <c:pt idx="29">
                  <c:v>-89.332793845531924</c:v>
                </c:pt>
                <c:pt idx="30">
                  <c:v>-89.747784750903079</c:v>
                </c:pt>
                <c:pt idx="31">
                  <c:v>-90.159186551293985</c:v>
                </c:pt>
                <c:pt idx="32">
                  <c:v>-90.570323381834541</c:v>
                </c:pt>
                <c:pt idx="33">
                  <c:v>-90.983817474835149</c:v>
                </c:pt>
                <c:pt idx="34">
                  <c:v>-91.402762102486861</c:v>
                </c:pt>
                <c:pt idx="35">
                  <c:v>-91.829530143021046</c:v>
                </c:pt>
                <c:pt idx="36">
                  <c:v>-92.266586370098707</c:v>
                </c:pt>
                <c:pt idx="37">
                  <c:v>-92.716318590819</c:v>
                </c:pt>
                <c:pt idx="38">
                  <c:v>-93.180112781761181</c:v>
                </c:pt>
                <c:pt idx="39">
                  <c:v>-93.659730197690209</c:v>
                </c:pt>
                <c:pt idx="40">
                  <c:v>-94.155846623607871</c:v>
                </c:pt>
                <c:pt idx="41">
                  <c:v>-94.668675942920117</c:v>
                </c:pt>
                <c:pt idx="42">
                  <c:v>-95.197478509974701</c:v>
                </c:pt>
                <c:pt idx="43">
                  <c:v>-95.740730617209451</c:v>
                </c:pt>
                <c:pt idx="44">
                  <c:v>-96.295416927151919</c:v>
                </c:pt>
                <c:pt idx="45">
                  <c:v>-96.857419347375355</c:v>
                </c:pt>
                <c:pt idx="46">
                  <c:v>-97.420912538328921</c:v>
                </c:pt>
                <c:pt idx="47">
                  <c:v>-97.978768742200145</c:v>
                </c:pt>
                <c:pt idx="48">
                  <c:v>-98.52212163210649</c:v>
                </c:pt>
                <c:pt idx="49">
                  <c:v>-99.0410971808341</c:v>
                </c:pt>
                <c:pt idx="50">
                  <c:v>-99.52468719923796</c:v>
                </c:pt>
                <c:pt idx="51">
                  <c:v>-99.961705180284397</c:v>
                </c:pt>
                <c:pt idx="52">
                  <c:v>-100.34106556783591</c:v>
                </c:pt>
                <c:pt idx="53">
                  <c:v>-100.65302513470435</c:v>
                </c:pt>
                <c:pt idx="54">
                  <c:v>-100.88969941531164</c:v>
                </c:pt>
                <c:pt idx="55">
                  <c:v>-101.04641055913366</c:v>
                </c:pt>
                <c:pt idx="56">
                  <c:v>-101.12109449416369</c:v>
                </c:pt>
                <c:pt idx="57">
                  <c:v>-101.11556303631427</c:v>
                </c:pt>
                <c:pt idx="58">
                  <c:v>-101.03502204380432</c:v>
                </c:pt>
                <c:pt idx="59">
                  <c:v>-100.8876504489522</c:v>
                </c:pt>
                <c:pt idx="60">
                  <c:v>-100.68415085921924</c:v>
                </c:pt>
                <c:pt idx="61">
                  <c:v>-100.43676126077717</c:v>
                </c:pt>
                <c:pt idx="62">
                  <c:v>-100.15837115691055</c:v>
                </c:pt>
                <c:pt idx="63">
                  <c:v>-99.862329949292189</c:v>
                </c:pt>
                <c:pt idx="64">
                  <c:v>-99.560917192633752</c:v>
                </c:pt>
                <c:pt idx="65">
                  <c:v>-99.26574351757273</c:v>
                </c:pt>
                <c:pt idx="66">
                  <c:v>-98.987007178955508</c:v>
                </c:pt>
                <c:pt idx="67">
                  <c:v>-98.733589918386983</c:v>
                </c:pt>
                <c:pt idx="68">
                  <c:v>-98.512917407950781</c:v>
                </c:pt>
                <c:pt idx="69">
                  <c:v>-98.33131698554115</c:v>
                </c:pt>
                <c:pt idx="70">
                  <c:v>-98.193957532028023</c:v>
                </c:pt>
                <c:pt idx="71">
                  <c:v>-98.105209063541054</c:v>
                </c:pt>
                <c:pt idx="72">
                  <c:v>-98.06873730726079</c:v>
                </c:pt>
                <c:pt idx="73">
                  <c:v>-98.087768626064786</c:v>
                </c:pt>
                <c:pt idx="74">
                  <c:v>-98.16523926175455</c:v>
                </c:pt>
                <c:pt idx="75">
                  <c:v>-98.303946473248558</c:v>
                </c:pt>
                <c:pt idx="76">
                  <c:v>-98.506743690124551</c:v>
                </c:pt>
                <c:pt idx="77">
                  <c:v>-98.776496001274069</c:v>
                </c:pt>
                <c:pt idx="78">
                  <c:v>-99.116325080618481</c:v>
                </c:pt>
                <c:pt idx="79">
                  <c:v>-99.529350047777911</c:v>
                </c:pt>
                <c:pt idx="80">
                  <c:v>-100.02006387176982</c:v>
                </c:pt>
                <c:pt idx="81">
                  <c:v>-100.59200289096462</c:v>
                </c:pt>
                <c:pt idx="82">
                  <c:v>-101.25012025876221</c:v>
                </c:pt>
                <c:pt idx="83">
                  <c:v>-101.99894726544922</c:v>
                </c:pt>
                <c:pt idx="84">
                  <c:v>-102.84451734551932</c:v>
                </c:pt>
                <c:pt idx="85">
                  <c:v>-103.79227187118749</c:v>
                </c:pt>
                <c:pt idx="86">
                  <c:v>-104.84860972063053</c:v>
                </c:pt>
                <c:pt idx="87">
                  <c:v>-106.02081018207431</c:v>
                </c:pt>
                <c:pt idx="88">
                  <c:v>-107.314651447616</c:v>
                </c:pt>
                <c:pt idx="89">
                  <c:v>-108.73817978829932</c:v>
                </c:pt>
                <c:pt idx="90">
                  <c:v>-110.29791506896534</c:v>
                </c:pt>
                <c:pt idx="91">
                  <c:v>-112.00076091549869</c:v>
                </c:pt>
                <c:pt idx="92">
                  <c:v>-113.85275269627124</c:v>
                </c:pt>
                <c:pt idx="93">
                  <c:v>-115.85995089341066</c:v>
                </c:pt>
                <c:pt idx="94">
                  <c:v>-116.38628210640037</c:v>
                </c:pt>
                <c:pt idx="95">
                  <c:v>-116.65485867848049</c:v>
                </c:pt>
                <c:pt idx="96">
                  <c:v>-116.92285736022052</c:v>
                </c:pt>
                <c:pt idx="97">
                  <c:v>-117.19646077729081</c:v>
                </c:pt>
                <c:pt idx="98">
                  <c:v>-117.46943984488016</c:v>
                </c:pt>
                <c:pt idx="99">
                  <c:v>-117.74816077650216</c:v>
                </c:pt>
                <c:pt idx="100">
                  <c:v>-118.02620862173636</c:v>
                </c:pt>
                <c:pt idx="101">
                  <c:v>-118.30991811452266</c:v>
                </c:pt>
                <c:pt idx="102">
                  <c:v>-118.59290449951828</c:v>
                </c:pt>
                <c:pt idx="103">
                  <c:v>-118.88189022121333</c:v>
                </c:pt>
                <c:pt idx="104">
                  <c:v>-119.17009933599942</c:v>
                </c:pt>
                <c:pt idx="105">
                  <c:v>-119.46421737869568</c:v>
                </c:pt>
                <c:pt idx="106">
                  <c:v>-119.75750397066726</c:v>
                </c:pt>
                <c:pt idx="107">
                  <c:v>-120.05660611205241</c:v>
                </c:pt>
                <c:pt idx="108">
                  <c:v>-120.35482071374747</c:v>
                </c:pt>
                <c:pt idx="109">
                  <c:v>-120.65896135665966</c:v>
                </c:pt>
                <c:pt idx="110">
                  <c:v>-120.96215593797345</c:v>
                </c:pt>
                <c:pt idx="111">
                  <c:v>-121.27158575875829</c:v>
                </c:pt>
                <c:pt idx="112">
                  <c:v>-121.58000716530907</c:v>
                </c:pt>
                <c:pt idx="113">
                  <c:v>-121.89455388906585</c:v>
                </c:pt>
                <c:pt idx="114">
                  <c:v>-122.2080286038353</c:v>
                </c:pt>
                <c:pt idx="115">
                  <c:v>-122.52771833163706</c:v>
                </c:pt>
                <c:pt idx="116">
                  <c:v>-122.84626990135811</c:v>
                </c:pt>
                <c:pt idx="117">
                  <c:v>-123.17111889962143</c:v>
                </c:pt>
                <c:pt idx="118">
                  <c:v>-123.49476101940127</c:v>
                </c:pt>
                <c:pt idx="119">
                  <c:v>-123.82457591633633</c:v>
                </c:pt>
                <c:pt idx="120">
                  <c:v>-124.15311419214935</c:v>
                </c:pt>
                <c:pt idx="121">
                  <c:v>-124.48789581765216</c:v>
                </c:pt>
                <c:pt idx="122">
                  <c:v>-124.82132862365134</c:v>
                </c:pt>
                <c:pt idx="123">
                  <c:v>-125.16126425494589</c:v>
                </c:pt>
                <c:pt idx="124">
                  <c:v>-125.49977478154165</c:v>
                </c:pt>
                <c:pt idx="125">
                  <c:v>-125.84464541272047</c:v>
                </c:pt>
                <c:pt idx="126">
                  <c:v>-126.18801385525465</c:v>
                </c:pt>
                <c:pt idx="127">
                  <c:v>-126.53779001454268</c:v>
                </c:pt>
                <c:pt idx="128">
                  <c:v>-126.8859845593043</c:v>
                </c:pt>
                <c:pt idx="129">
                  <c:v>-127.24062665269854</c:v>
                </c:pt>
                <c:pt idx="130">
                  <c:v>-127.59360543272427</c:v>
                </c:pt>
                <c:pt idx="131">
                  <c:v>-127.95306377246773</c:v>
                </c:pt>
                <c:pt idx="132">
                  <c:v>-128.13213788359209</c:v>
                </c:pt>
                <c:pt idx="133">
                  <c:v>-128.31077491260444</c:v>
                </c:pt>
                <c:pt idx="134">
                  <c:v>-128.49320542126719</c:v>
                </c:pt>
                <c:pt idx="135">
                  <c:v>-128.67517734418396</c:v>
                </c:pt>
                <c:pt idx="136">
                  <c:v>-128.85669049239536</c:v>
                </c:pt>
                <c:pt idx="137">
                  <c:v>-129.03774471101627</c:v>
                </c:pt>
                <c:pt idx="138">
                  <c:v>-129.22243474830844</c:v>
                </c:pt>
                <c:pt idx="139">
                  <c:v>-129.40664455922564</c:v>
                </c:pt>
                <c:pt idx="140">
                  <c:v>-129.59037408455225</c:v>
                </c:pt>
                <c:pt idx="141">
                  <c:v>-129.77362329960278</c:v>
                </c:pt>
                <c:pt idx="142">
                  <c:v>-129.9607204601684</c:v>
                </c:pt>
                <c:pt idx="143">
                  <c:v>-130.14731431642304</c:v>
                </c:pt>
                <c:pt idx="144">
                  <c:v>-130.33340495001875</c:v>
                </c:pt>
                <c:pt idx="145">
                  <c:v>-130.51899247765553</c:v>
                </c:pt>
                <c:pt idx="146">
                  <c:v>-130.70835841290577</c:v>
                </c:pt>
                <c:pt idx="147">
                  <c:v>-130.89719802076078</c:v>
                </c:pt>
                <c:pt idx="148">
                  <c:v>-131.08551153562721</c:v>
                </c:pt>
                <c:pt idx="149">
                  <c:v>-131.27329922731258</c:v>
                </c:pt>
                <c:pt idx="150">
                  <c:v>-131.46488494832431</c:v>
                </c:pt>
                <c:pt idx="151">
                  <c:v>-131.65592093125767</c:v>
                </c:pt>
                <c:pt idx="152">
                  <c:v>-131.84640757539864</c:v>
                </c:pt>
                <c:pt idx="153">
                  <c:v>-132.03634531567374</c:v>
                </c:pt>
                <c:pt idx="154">
                  <c:v>-132.23018633575478</c:v>
                </c:pt>
                <c:pt idx="155">
                  <c:v>-132.42345333797127</c:v>
                </c:pt>
                <c:pt idx="156">
                  <c:v>-132.61614689973621</c:v>
                </c:pt>
                <c:pt idx="157">
                  <c:v>-132.80826763427515</c:v>
                </c:pt>
                <c:pt idx="158">
                  <c:v>-133.00430287582262</c:v>
                </c:pt>
                <c:pt idx="159">
                  <c:v>-133.1997395101225</c:v>
                </c:pt>
                <c:pt idx="160">
                  <c:v>-133.39457830590595</c:v>
                </c:pt>
                <c:pt idx="161">
                  <c:v>-133.58882006773231</c:v>
                </c:pt>
                <c:pt idx="162">
                  <c:v>-133.78689727008506</c:v>
                </c:pt>
                <c:pt idx="163">
                  <c:v>-133.98435156936168</c:v>
                </c:pt>
                <c:pt idx="164">
                  <c:v>-134.18118393764664</c:v>
                </c:pt>
                <c:pt idx="165">
                  <c:v>-134.37739538262798</c:v>
                </c:pt>
                <c:pt idx="166">
                  <c:v>-134.57762000054223</c:v>
                </c:pt>
                <c:pt idx="167">
                  <c:v>-134.77719612952313</c:v>
                </c:pt>
                <c:pt idx="168">
                  <c:v>-134.97612496094965</c:v>
                </c:pt>
                <c:pt idx="169">
                  <c:v>-135.17440772150618</c:v>
                </c:pt>
                <c:pt idx="170">
                  <c:v>-135.37627977247863</c:v>
                </c:pt>
                <c:pt idx="171">
                  <c:v>-135.57748042267124</c:v>
                </c:pt>
                <c:pt idx="172">
                  <c:v>-135.77801108761574</c:v>
                </c:pt>
                <c:pt idx="173">
                  <c:v>-135.97787321733873</c:v>
                </c:pt>
                <c:pt idx="174">
                  <c:v>-136.18208141304066</c:v>
                </c:pt>
                <c:pt idx="175">
                  <c:v>-136.3855901346308</c:v>
                </c:pt>
                <c:pt idx="176">
                  <c:v>-136.58840105128763</c:v>
                </c:pt>
                <c:pt idx="177">
                  <c:v>-136.79051586615398</c:v>
                </c:pt>
                <c:pt idx="178">
                  <c:v>-136.99688054495192</c:v>
                </c:pt>
                <c:pt idx="179">
                  <c:v>-137.20251819137064</c:v>
                </c:pt>
                <c:pt idx="180">
                  <c:v>-137.40743074173002</c:v>
                </c:pt>
                <c:pt idx="181">
                  <c:v>-137.61162016543759</c:v>
                </c:pt>
                <c:pt idx="182">
                  <c:v>-137.81915048834196</c:v>
                </c:pt>
                <c:pt idx="183">
                  <c:v>-138.02593270987433</c:v>
                </c:pt>
                <c:pt idx="184">
                  <c:v>-138.2319690196727</c:v>
                </c:pt>
                <c:pt idx="185">
                  <c:v>-138.43726163874106</c:v>
                </c:pt>
                <c:pt idx="186">
                  <c:v>-138.64741751449185</c:v>
                </c:pt>
                <c:pt idx="187">
                  <c:v>-138.85679315974232</c:v>
                </c:pt>
                <c:pt idx="188">
                  <c:v>-139.06539107989192</c:v>
                </c:pt>
                <c:pt idx="189">
                  <c:v>-139.27321381060688</c:v>
                </c:pt>
                <c:pt idx="190">
                  <c:v>-139.4842077584523</c:v>
                </c:pt>
                <c:pt idx="191">
                  <c:v>-139.69440205528753</c:v>
                </c:pt>
                <c:pt idx="192">
                  <c:v>-139.90379947456319</c:v>
                </c:pt>
                <c:pt idx="193">
                  <c:v>-140.11240281761101</c:v>
                </c:pt>
                <c:pt idx="194">
                  <c:v>-140.32565255145079</c:v>
                </c:pt>
                <c:pt idx="195">
                  <c:v>-140.53807208916191</c:v>
                </c:pt>
                <c:pt idx="196">
                  <c:v>-140.74966454235701</c:v>
                </c:pt>
                <c:pt idx="197">
                  <c:v>-140.96043304861524</c:v>
                </c:pt>
                <c:pt idx="198">
                  <c:v>-141.17496900616166</c:v>
                </c:pt>
                <c:pt idx="199">
                  <c:v>-141.38865123902781</c:v>
                </c:pt>
                <c:pt idx="200">
                  <c:v>-141.6014831718615</c:v>
                </c:pt>
                <c:pt idx="201">
                  <c:v>-141.81346825256921</c:v>
                </c:pt>
                <c:pt idx="202">
                  <c:v>-142.02912521191317</c:v>
                </c:pt>
                <c:pt idx="203">
                  <c:v>-142.24390597726517</c:v>
                </c:pt>
                <c:pt idx="204">
                  <c:v>-142.4578142903836</c:v>
                </c:pt>
                <c:pt idx="205">
                  <c:v>-142.67085391322402</c:v>
                </c:pt>
                <c:pt idx="206">
                  <c:v>-142.88821090260254</c:v>
                </c:pt>
                <c:pt idx="207">
                  <c:v>-143.10466421113045</c:v>
                </c:pt>
                <c:pt idx="208">
                  <c:v>-143.32021794186076</c:v>
                </c:pt>
                <c:pt idx="209">
                  <c:v>-143.53487621486744</c:v>
                </c:pt>
                <c:pt idx="210">
                  <c:v>-143.75446734515782</c:v>
                </c:pt>
                <c:pt idx="211">
                  <c:v>-143.97312231626566</c:v>
                </c:pt>
                <c:pt idx="212">
                  <c:v>-144.19084564303253</c:v>
                </c:pt>
                <c:pt idx="213">
                  <c:v>-144.40764185387349</c:v>
                </c:pt>
                <c:pt idx="214">
                  <c:v>-144.62780927119528</c:v>
                </c:pt>
                <c:pt idx="215">
                  <c:v>-144.84702179588933</c:v>
                </c:pt>
                <c:pt idx="216">
                  <c:v>-145.06528426812719</c:v>
                </c:pt>
                <c:pt idx="217">
                  <c:v>-145.28260153742238</c:v>
                </c:pt>
                <c:pt idx="218">
                  <c:v>-145.50390121040678</c:v>
                </c:pt>
                <c:pt idx="219">
                  <c:v>-145.72422237191802</c:v>
                </c:pt>
                <c:pt idx="220">
                  <c:v>-145.94357023306844</c:v>
                </c:pt>
                <c:pt idx="221">
                  <c:v>-146.1619500098696</c:v>
                </c:pt>
                <c:pt idx="222">
                  <c:v>-146.3842028641013</c:v>
                </c:pt>
                <c:pt idx="223">
                  <c:v>-146.60545502407192</c:v>
                </c:pt>
                <c:pt idx="224">
                  <c:v>-146.82571207034792</c:v>
                </c:pt>
                <c:pt idx="225">
                  <c:v>-147.04497958358348</c:v>
                </c:pt>
                <c:pt idx="226">
                  <c:v>-147.26869071341599</c:v>
                </c:pt>
                <c:pt idx="227">
                  <c:v>-147.49137423875376</c:v>
                </c:pt>
                <c:pt idx="228">
                  <c:v>-147.71303616032696</c:v>
                </c:pt>
                <c:pt idx="229">
                  <c:v>-147.93368247373832</c:v>
                </c:pt>
                <c:pt idx="230">
                  <c:v>-148.38255934894397</c:v>
                </c:pt>
                <c:pt idx="231">
                  <c:v>-148.6054248748687</c:v>
                </c:pt>
                <c:pt idx="232">
                  <c:v>-148.82725034108438</c:v>
                </c:pt>
                <c:pt idx="233">
                  <c:v>-149.05327098452506</c:v>
                </c:pt>
                <c:pt idx="234">
                  <c:v>-149.27821515467863</c:v>
                </c:pt>
                <c:pt idx="235">
                  <c:v>-149.50208968449917</c:v>
                </c:pt>
                <c:pt idx="236">
                  <c:v>-149.72490139012052</c:v>
                </c:pt>
                <c:pt idx="237">
                  <c:v>-149.9511455769231</c:v>
                </c:pt>
                <c:pt idx="238">
                  <c:v>-150.17629764962194</c:v>
                </c:pt>
                <c:pt idx="239">
                  <c:v>-150.40036478636324</c:v>
                </c:pt>
                <c:pt idx="240">
                  <c:v>-150.62335414235784</c:v>
                </c:pt>
                <c:pt idx="241">
                  <c:v>-150.85093293236903</c:v>
                </c:pt>
                <c:pt idx="242">
                  <c:v>-151.07739328863346</c:v>
                </c:pt>
                <c:pt idx="243">
                  <c:v>-151.30274284730118</c:v>
                </c:pt>
                <c:pt idx="244">
                  <c:v>-151.52698921466185</c:v>
                </c:pt>
                <c:pt idx="245">
                  <c:v>-151.75507278397555</c:v>
                </c:pt>
                <c:pt idx="246">
                  <c:v>-151.98201969596749</c:v>
                </c:pt>
                <c:pt idx="247">
                  <c:v>-152.2078379707537</c:v>
                </c:pt>
                <c:pt idx="248">
                  <c:v>-152.43253559169332</c:v>
                </c:pt>
                <c:pt idx="249">
                  <c:v>-152.66155996117624</c:v>
                </c:pt>
                <c:pt idx="250">
                  <c:v>-152.88942518133467</c:v>
                </c:pt>
                <c:pt idx="251">
                  <c:v>-153.11613970815895</c:v>
                </c:pt>
                <c:pt idx="252">
                  <c:v>-153.34171195334994</c:v>
                </c:pt>
                <c:pt idx="253">
                  <c:v>-153.57088810865912</c:v>
                </c:pt>
                <c:pt idx="254">
                  <c:v>-153.79889070412327</c:v>
                </c:pt>
                <c:pt idx="255">
                  <c:v>-154.0257285486791</c:v>
                </c:pt>
                <c:pt idx="256">
                  <c:v>-154.25141039973929</c:v>
                </c:pt>
                <c:pt idx="257">
                  <c:v>-154.48174675156093</c:v>
                </c:pt>
                <c:pt idx="258">
                  <c:v>-154.71088494132414</c:v>
                </c:pt>
                <c:pt idx="259">
                  <c:v>-154.93883425121038</c:v>
                </c:pt>
                <c:pt idx="260">
                  <c:v>-155.16560390340101</c:v>
                </c:pt>
                <c:pt idx="261">
                  <c:v>-155.39631678104948</c:v>
                </c:pt>
                <c:pt idx="262">
                  <c:v>-155.62581508769134</c:v>
                </c:pt>
                <c:pt idx="263">
                  <c:v>-155.8541084901467</c:v>
                </c:pt>
                <c:pt idx="264">
                  <c:v>-156.08120658719747</c:v>
                </c:pt>
                <c:pt idx="265">
                  <c:v>-156.31212578743248</c:v>
                </c:pt>
                <c:pt idx="266">
                  <c:v>-156.54181603094162</c:v>
                </c:pt>
                <c:pt idx="267">
                  <c:v>-156.77028734737974</c:v>
                </c:pt>
                <c:pt idx="268">
                  <c:v>-156.99754969030747</c:v>
                </c:pt>
                <c:pt idx="269">
                  <c:v>-157.22905865205502</c:v>
                </c:pt>
                <c:pt idx="270">
                  <c:v>-157.45932041702162</c:v>
                </c:pt>
                <c:pt idx="271">
                  <c:v>-157.68834542742795</c:v>
                </c:pt>
                <c:pt idx="272">
                  <c:v>-157.91614404060121</c:v>
                </c:pt>
                <c:pt idx="273">
                  <c:v>-158.14805585918901</c:v>
                </c:pt>
                <c:pt idx="274">
                  <c:v>-158.37870443548451</c:v>
                </c:pt>
                <c:pt idx="275">
                  <c:v>-158.60810059974935</c:v>
                </c:pt>
                <c:pt idx="276">
                  <c:v>-158.83625508856292</c:v>
                </c:pt>
                <c:pt idx="277">
                  <c:v>-159.06787137728375</c:v>
                </c:pt>
                <c:pt idx="278">
                  <c:v>-159.29821626525336</c:v>
                </c:pt>
                <c:pt idx="279">
                  <c:v>-159.52730086907692</c:v>
                </c:pt>
                <c:pt idx="280">
                  <c:v>-159.75513620390041</c:v>
                </c:pt>
                <c:pt idx="281">
                  <c:v>-159.98785412598193</c:v>
                </c:pt>
                <c:pt idx="282">
                  <c:v>-160.21927740855804</c:v>
                </c:pt>
                <c:pt idx="283">
                  <c:v>-160.44941765342682</c:v>
                </c:pt>
                <c:pt idx="284">
                  <c:v>-160.67828635050637</c:v>
                </c:pt>
                <c:pt idx="285">
                  <c:v>-160.91038439185468</c:v>
                </c:pt>
                <c:pt idx="286">
                  <c:v>-161.14118386557399</c:v>
                </c:pt>
                <c:pt idx="287">
                  <c:v>-161.3706966000245</c:v>
                </c:pt>
                <c:pt idx="288">
                  <c:v>-161.59893430439942</c:v>
                </c:pt>
                <c:pt idx="289">
                  <c:v>-161.8317619362966</c:v>
                </c:pt>
                <c:pt idx="290">
                  <c:v>-162.06327231704304</c:v>
                </c:pt>
                <c:pt idx="291">
                  <c:v>-162.29347770088282</c:v>
                </c:pt>
                <c:pt idx="292">
                  <c:v>-162.52239021279257</c:v>
                </c:pt>
                <c:pt idx="293">
                  <c:v>-162.75526719703279</c:v>
                </c:pt>
                <c:pt idx="294">
                  <c:v>-162.98681613035981</c:v>
                </c:pt>
                <c:pt idx="295">
                  <c:v>-163.21704958301024</c:v>
                </c:pt>
                <c:pt idx="296">
                  <c:v>-163.44597998720124</c:v>
                </c:pt>
                <c:pt idx="297">
                  <c:v>-163.67874658452192</c:v>
                </c:pt>
                <c:pt idx="298">
                  <c:v>-163.91017646054266</c:v>
                </c:pt>
                <c:pt idx="299">
                  <c:v>-164.1402824679169</c:v>
                </c:pt>
                <c:pt idx="300">
                  <c:v>-164.36907731291885</c:v>
                </c:pt>
                <c:pt idx="301">
                  <c:v>-164.6015840100543</c:v>
                </c:pt>
                <c:pt idx="302">
                  <c:v>-164.8327473604663</c:v>
                </c:pt>
                <c:pt idx="303">
                  <c:v>-165.06258046507628</c:v>
                </c:pt>
                <c:pt idx="304">
                  <c:v>-165.29109627052614</c:v>
                </c:pt>
                <c:pt idx="305">
                  <c:v>-165.52409363763829</c:v>
                </c:pt>
                <c:pt idx="306">
                  <c:v>-165.75573264685252</c:v>
                </c:pt>
                <c:pt idx="307">
                  <c:v>-165.98602676629477</c:v>
                </c:pt>
                <c:pt idx="308">
                  <c:v>-166.21498929994186</c:v>
                </c:pt>
                <c:pt idx="309">
                  <c:v>-166.44741639694712</c:v>
                </c:pt>
                <c:pt idx="310">
                  <c:v>-166.67848271396659</c:v>
                </c:pt>
                <c:pt idx="311">
                  <c:v>-166.90820189510873</c:v>
                </c:pt>
                <c:pt idx="312">
                  <c:v>-167.13658741350042</c:v>
                </c:pt>
                <c:pt idx="313">
                  <c:v>-167.36917436423235</c:v>
                </c:pt>
                <c:pt idx="314">
                  <c:v>-167.6003898819059</c:v>
                </c:pt>
                <c:pt idx="315">
                  <c:v>-167.83024790414791</c:v>
                </c:pt>
                <c:pt idx="316">
                  <c:v>-168.0587621887924</c:v>
                </c:pt>
                <c:pt idx="317">
                  <c:v>-168.29133936024803</c:v>
                </c:pt>
                <c:pt idx="318">
                  <c:v>-168.52253666161405</c:v>
                </c:pt>
                <c:pt idx="319">
                  <c:v>-168.75236828542944</c:v>
                </c:pt>
                <c:pt idx="320">
                  <c:v>-168.98084823623739</c:v>
                </c:pt>
                <c:pt idx="321">
                  <c:v>-169.21325689888218</c:v>
                </c:pt>
                <c:pt idx="322">
                  <c:v>-169.44427936449989</c:v>
                </c:pt>
                <c:pt idx="323">
                  <c:v>-169.67393004201722</c:v>
                </c:pt>
                <c:pt idx="324">
                  <c:v>-169.90222314483111</c:v>
                </c:pt>
                <c:pt idx="325">
                  <c:v>-170.134315131817</c:v>
                </c:pt>
                <c:pt idx="326">
                  <c:v>-170.36501659174175</c:v>
                </c:pt>
                <c:pt idx="327">
                  <c:v>-170.59434211188972</c:v>
                </c:pt>
                <c:pt idx="328">
                  <c:v>-170.82230607719865</c:v>
                </c:pt>
                <c:pt idx="329">
                  <c:v>-171.05432958410515</c:v>
                </c:pt>
                <c:pt idx="330">
                  <c:v>-171.28495547457442</c:v>
                </c:pt>
                <c:pt idx="331">
                  <c:v>-171.51419855056969</c:v>
                </c:pt>
                <c:pt idx="332">
                  <c:v>-171.74207340425951</c:v>
                </c:pt>
                <c:pt idx="333">
                  <c:v>-171.97349566652875</c:v>
                </c:pt>
                <c:pt idx="334">
                  <c:v>-172.20351981248069</c:v>
                </c:pt>
                <c:pt idx="335">
                  <c:v>-172.43216074683178</c:v>
                </c:pt>
                <c:pt idx="336">
                  <c:v>-172.65943315924002</c:v>
                </c:pt>
                <c:pt idx="337">
                  <c:v>-172.89087186349457</c:v>
                </c:pt>
                <c:pt idx="338">
                  <c:v>-173.12090467666863</c:v>
                </c:pt>
                <c:pt idx="339">
                  <c:v>-173.34954671476601</c:v>
                </c:pt>
                <c:pt idx="340">
                  <c:v>-173.57681287146929</c:v>
                </c:pt>
                <c:pt idx="341">
                  <c:v>-173.80810569437787</c:v>
                </c:pt>
                <c:pt idx="342">
                  <c:v>-174.03798692121143</c:v>
                </c:pt>
                <c:pt idx="343">
                  <c:v>-174.26647183919818</c:v>
                </c:pt>
                <c:pt idx="344">
                  <c:v>-174.49357550683274</c:v>
                </c:pt>
                <c:pt idx="345">
                  <c:v>-174.724220263479</c:v>
                </c:pt>
                <c:pt idx="346">
                  <c:v>-174.95345394509161</c:v>
                </c:pt>
                <c:pt idx="347">
                  <c:v>-175.18129190160457</c:v>
                </c:pt>
                <c:pt idx="348">
                  <c:v>-175.40774925009453</c:v>
                </c:pt>
                <c:pt idx="349">
                  <c:v>-175.63831398124717</c:v>
                </c:pt>
                <c:pt idx="350">
                  <c:v>-175.86746131847661</c:v>
                </c:pt>
                <c:pt idx="351">
                  <c:v>-176.0952067782857</c:v>
                </c:pt>
                <c:pt idx="352">
                  <c:v>-176.32156563824134</c:v>
                </c:pt>
                <c:pt idx="353">
                  <c:v>-176.55189318719644</c:v>
                </c:pt>
                <c:pt idx="354">
                  <c:v>-176.78079898134482</c:v>
                </c:pt>
                <c:pt idx="355">
                  <c:v>-177.00829866495309</c:v>
                </c:pt>
                <c:pt idx="356">
                  <c:v>-177.23440763819838</c:v>
                </c:pt>
                <c:pt idx="357">
                  <c:v>-177.46402556334988</c:v>
                </c:pt>
                <c:pt idx="358">
                  <c:v>-177.69222322385636</c:v>
                </c:pt>
                <c:pt idx="359">
                  <c:v>-177.91901628837928</c:v>
                </c:pt>
                <c:pt idx="360">
                  <c:v>-178.14442017866429</c:v>
                </c:pt>
                <c:pt idx="361">
                  <c:v>-178.37385069287413</c:v>
                </c:pt>
                <c:pt idx="362">
                  <c:v>-178.60185600479281</c:v>
                </c:pt>
                <c:pt idx="363">
                  <c:v>-178.82845190693234</c:v>
                </c:pt>
                <c:pt idx="364">
                  <c:v>-179.05365394017173</c:v>
                </c:pt>
                <c:pt idx="365">
                  <c:v>-179.28243571102513</c:v>
                </c:pt>
                <c:pt idx="366">
                  <c:v>-179.50979303048516</c:v>
                </c:pt>
                <c:pt idx="367">
                  <c:v>-179.73574171458503</c:v>
                </c:pt>
                <c:pt idx="368">
                  <c:v>-179.9602973253362</c:v>
                </c:pt>
                <c:pt idx="369">
                  <c:v>-180.18891619790062</c:v>
                </c:pt>
                <c:pt idx="370">
                  <c:v>-180.41610529304629</c:v>
                </c:pt>
                <c:pt idx="371">
                  <c:v>-180.6418805457823</c:v>
                </c:pt>
                <c:pt idx="372">
                  <c:v>-180.86625763288419</c:v>
                </c:pt>
                <c:pt idx="373">
                  <c:v>-181.09426388104998</c:v>
                </c:pt>
                <c:pt idx="374">
                  <c:v>-181.32084055426321</c:v>
                </c:pt>
                <c:pt idx="375">
                  <c:v>-181.54600360956732</c:v>
                </c:pt>
                <c:pt idx="376">
                  <c:v>-181.7697687438752</c:v>
                </c:pt>
                <c:pt idx="377">
                  <c:v>-181.99761432204522</c:v>
                </c:pt>
                <c:pt idx="378">
                  <c:v>-182.22402478324466</c:v>
                </c:pt>
                <c:pt idx="379">
                  <c:v>-182.44901619840283</c:v>
                </c:pt>
                <c:pt idx="380">
                  <c:v>-182.67260437466828</c:v>
                </c:pt>
                <c:pt idx="381">
                  <c:v>-182.89957125195124</c:v>
                </c:pt>
                <c:pt idx="382">
                  <c:v>-183.1251063742516</c:v>
                </c:pt>
                <c:pt idx="383">
                  <c:v>-183.34922577397685</c:v>
                </c:pt>
                <c:pt idx="384">
                  <c:v>-183.57194521968196</c:v>
                </c:pt>
                <c:pt idx="385">
                  <c:v>-183.79874815032323</c:v>
                </c:pt>
                <c:pt idx="386">
                  <c:v>-184.02411358091501</c:v>
                </c:pt>
                <c:pt idx="387">
                  <c:v>-184.24805765551392</c:v>
                </c:pt>
                <c:pt idx="388">
                  <c:v>-184.47059625122691</c:v>
                </c:pt>
                <c:pt idx="389">
                  <c:v>-184.69680957879254</c:v>
                </c:pt>
                <c:pt idx="390">
                  <c:v>-184.92158488600552</c:v>
                </c:pt>
                <c:pt idx="391">
                  <c:v>-185.14493833946736</c:v>
                </c:pt>
                <c:pt idx="392">
                  <c:v>-185.3668858379549</c:v>
                </c:pt>
                <c:pt idx="393">
                  <c:v>-185.59238058668035</c:v>
                </c:pt>
                <c:pt idx="394">
                  <c:v>-185.81643830285731</c:v>
                </c:pt>
                <c:pt idx="395">
                  <c:v>-186.0390751497761</c:v>
                </c:pt>
                <c:pt idx="396">
                  <c:v>-186.26030702287127</c:v>
                </c:pt>
                <c:pt idx="397">
                  <c:v>-186.48546962844864</c:v>
                </c:pt>
                <c:pt idx="398">
                  <c:v>-186.70919113580476</c:v>
                </c:pt>
                <c:pt idx="399">
                  <c:v>-186.93148779066135</c:v>
                </c:pt>
                <c:pt idx="400">
                  <c:v>-187.15237556923839</c:v>
                </c:pt>
                <c:pt idx="401">
                  <c:v>-187.3768089575824</c:v>
                </c:pt>
                <c:pt idx="402">
                  <c:v>-187.59980209716747</c:v>
                </c:pt>
                <c:pt idx="403">
                  <c:v>-187.82137123517091</c:v>
                </c:pt>
                <c:pt idx="404">
                  <c:v>-188.04153234968166</c:v>
                </c:pt>
                <c:pt idx="405">
                  <c:v>-188.26535556997342</c:v>
                </c:pt>
                <c:pt idx="406">
                  <c:v>-188.48773774346375</c:v>
                </c:pt>
                <c:pt idx="407">
                  <c:v>-188.7086951496016</c:v>
                </c:pt>
                <c:pt idx="408">
                  <c:v>-188.92824379875228</c:v>
                </c:pt>
                <c:pt idx="409">
                  <c:v>-189.15156001592626</c:v>
                </c:pt>
                <c:pt idx="410">
                  <c:v>-189.3734329351563</c:v>
                </c:pt>
                <c:pt idx="411">
                  <c:v>-189.59387889708464</c:v>
                </c:pt>
                <c:pt idx="412">
                  <c:v>-189.81291397290445</c:v>
                </c:pt>
                <c:pt idx="413">
                  <c:v>-190.03558294507059</c:v>
                </c:pt>
                <c:pt idx="414">
                  <c:v>-190.2568080602947</c:v>
                </c:pt>
                <c:pt idx="415">
                  <c:v>-190.47660569743346</c:v>
                </c:pt>
                <c:pt idx="416">
                  <c:v>-190.6949919662913</c:v>
                </c:pt>
                <c:pt idx="417">
                  <c:v>-190.91710576516155</c:v>
                </c:pt>
                <c:pt idx="418">
                  <c:v>-191.13777386866892</c:v>
                </c:pt>
                <c:pt idx="419">
                  <c:v>-191.35701272260252</c:v>
                </c:pt>
                <c:pt idx="420">
                  <c:v>-191.57483850371528</c:v>
                </c:pt>
                <c:pt idx="421">
                  <c:v>-191.79604161279366</c:v>
                </c:pt>
                <c:pt idx="422">
                  <c:v>-192.01580174855098</c:v>
                </c:pt>
                <c:pt idx="423">
                  <c:v>-192.23413535434725</c:v>
                </c:pt>
                <c:pt idx="424">
                  <c:v>-192.45105860625679</c:v>
                </c:pt>
                <c:pt idx="425">
                  <c:v>-192.67187334134658</c:v>
                </c:pt>
                <c:pt idx="426">
                  <c:v>-192.89124100951116</c:v>
                </c:pt>
                <c:pt idx="427">
                  <c:v>-193.10917817760622</c:v>
                </c:pt>
                <c:pt idx="428">
                  <c:v>-193.32570114444329</c:v>
                </c:pt>
                <c:pt idx="429">
                  <c:v>-193.5457692339121</c:v>
                </c:pt>
                <c:pt idx="430">
                  <c:v>-193.76439084133153</c:v>
                </c:pt>
                <c:pt idx="431">
                  <c:v>-193.9815825882232</c:v>
                </c:pt>
                <c:pt idx="432">
                  <c:v>-194.19736082898584</c:v>
                </c:pt>
                <c:pt idx="433">
                  <c:v>-194.41655679755974</c:v>
                </c:pt>
                <c:pt idx="434">
                  <c:v>-194.63430859161861</c:v>
                </c:pt>
                <c:pt idx="435">
                  <c:v>-194.85063286987665</c:v>
                </c:pt>
                <c:pt idx="436">
                  <c:v>-195.06554602538037</c:v>
                </c:pt>
                <c:pt idx="437">
                  <c:v>-195.28414504351929</c:v>
                </c:pt>
                <c:pt idx="438">
                  <c:v>-195.50129870688181</c:v>
                </c:pt>
                <c:pt idx="439">
                  <c:v>-195.71702378517477</c:v>
                </c:pt>
                <c:pt idx="440">
                  <c:v>-195.93133678246781</c:v>
                </c:pt>
                <c:pt idx="441">
                  <c:v>-196.14920230319282</c:v>
                </c:pt>
                <c:pt idx="442">
                  <c:v>-196.36562326320663</c:v>
                </c:pt>
                <c:pt idx="443">
                  <c:v>-196.58061652409759</c:v>
                </c:pt>
                <c:pt idx="444">
                  <c:v>-196.79419868236937</c:v>
                </c:pt>
                <c:pt idx="445">
                  <c:v>-197.01120506932037</c:v>
                </c:pt>
                <c:pt idx="446">
                  <c:v>-197.2267696072434</c:v>
                </c:pt>
                <c:pt idx="447">
                  <c:v>-197.44090923214944</c:v>
                </c:pt>
                <c:pt idx="448">
                  <c:v>-197.65364061596017</c:v>
                </c:pt>
                <c:pt idx="449">
                  <c:v>-197.87003390986055</c:v>
                </c:pt>
                <c:pt idx="450">
                  <c:v>-198.0849851357676</c:v>
                </c:pt>
                <c:pt idx="451">
                  <c:v>-198.2985113730625</c:v>
                </c:pt>
                <c:pt idx="452">
                  <c:v>-198.51062943665283</c:v>
                </c:pt>
                <c:pt idx="453">
                  <c:v>-198.72610111739584</c:v>
                </c:pt>
                <c:pt idx="454">
                  <c:v>-198.94013501598366</c:v>
                </c:pt>
                <c:pt idx="455">
                  <c:v>-199.15274829391888</c:v>
                </c:pt>
                <c:pt idx="456">
                  <c:v>-199.36395784912082</c:v>
                </c:pt>
                <c:pt idx="457">
                  <c:v>-199.57874302766598</c:v>
                </c:pt>
                <c:pt idx="458">
                  <c:v>-199.79209208633137</c:v>
                </c:pt>
                <c:pt idx="459">
                  <c:v>-200.00402233501009</c:v>
                </c:pt>
                <c:pt idx="460">
                  <c:v>-200.21455081952362</c:v>
                </c:pt>
                <c:pt idx="461">
                  <c:v>-200.42852628608088</c:v>
                </c:pt>
                <c:pt idx="462">
                  <c:v>-200.64106952844114</c:v>
                </c:pt>
                <c:pt idx="463">
                  <c:v>-200.85219798539768</c:v>
                </c:pt>
                <c:pt idx="464">
                  <c:v>-201.06192883152235</c:v>
                </c:pt>
                <c:pt idx="465">
                  <c:v>-201.27514576579065</c:v>
                </c:pt>
                <c:pt idx="466">
                  <c:v>-201.48693438579082</c:v>
                </c:pt>
                <c:pt idx="467">
                  <c:v>-201.69731228046044</c:v>
                </c:pt>
                <c:pt idx="468">
                  <c:v>-201.90629677383845</c:v>
                </c:pt>
                <c:pt idx="469">
                  <c:v>-202.11864332895755</c:v>
                </c:pt>
                <c:pt idx="470">
                  <c:v>-202.32956777682389</c:v>
                </c:pt>
                <c:pt idx="471">
                  <c:v>-202.53908783636615</c:v>
                </c:pt>
                <c:pt idx="472">
                  <c:v>-202.74722096120206</c:v>
                </c:pt>
                <c:pt idx="473">
                  <c:v>-202.95890537300758</c:v>
                </c:pt>
                <c:pt idx="474">
                  <c:v>-203.16917202132532</c:v>
                </c:pt>
                <c:pt idx="475">
                  <c:v>-203.37803881298078</c:v>
                </c:pt>
                <c:pt idx="476">
                  <c:v>-203.58552338774825</c:v>
                </c:pt>
                <c:pt idx="477">
                  <c:v>-203.79643443209306</c:v>
                </c:pt>
                <c:pt idx="478">
                  <c:v>-204.00593457439871</c:v>
                </c:pt>
                <c:pt idx="479">
                  <c:v>-204.21404188609162</c:v>
                </c:pt>
                <c:pt idx="480">
                  <c:v>-204.42077417005706</c:v>
                </c:pt>
                <c:pt idx="481">
                  <c:v>-204.63081418714148</c:v>
                </c:pt>
                <c:pt idx="482">
                  <c:v>-204.83945261901601</c:v>
                </c:pt>
                <c:pt idx="483">
                  <c:v>-205.04670767853523</c:v>
                </c:pt>
                <c:pt idx="484">
                  <c:v>-205.25259730872705</c:v>
                </c:pt>
                <c:pt idx="485">
                  <c:v>-205.46182396007538</c:v>
                </c:pt>
                <c:pt idx="486">
                  <c:v>-205.66965884990955</c:v>
                </c:pt>
                <c:pt idx="487">
                  <c:v>-205.87612034654975</c:v>
                </c:pt>
                <c:pt idx="488">
                  <c:v>-206.08122654663833</c:v>
                </c:pt>
                <c:pt idx="489">
                  <c:v>-206.28983405233484</c:v>
                </c:pt>
                <c:pt idx="490">
                  <c:v>-206.49705845207018</c:v>
                </c:pt>
                <c:pt idx="491">
                  <c:v>-206.70291831790607</c:v>
                </c:pt>
                <c:pt idx="492">
                  <c:v>-206.90743194710262</c:v>
                </c:pt>
                <c:pt idx="493">
                  <c:v>-207.1153300807529</c:v>
                </c:pt>
                <c:pt idx="494">
                  <c:v>-207.32185649739424</c:v>
                </c:pt>
                <c:pt idx="495">
                  <c:v>-207.52702994383009</c:v>
                </c:pt>
                <c:pt idx="496">
                  <c:v>-207.73086888915316</c:v>
                </c:pt>
                <c:pt idx="497">
                  <c:v>-207.93811329177129</c:v>
                </c:pt>
                <c:pt idx="498">
                  <c:v>-208.14399830209268</c:v>
                </c:pt>
                <c:pt idx="499">
                  <c:v>-208.34854284804254</c:v>
                </c:pt>
                <c:pt idx="500">
                  <c:v>-208.55176557641306</c:v>
                </c:pt>
                <c:pt idx="501">
                  <c:v>-208.75841283628171</c:v>
                </c:pt>
                <c:pt idx="502">
                  <c:v>-208.96371409145371</c:v>
                </c:pt>
                <c:pt idx="503">
                  <c:v>-209.16768845466933</c:v>
                </c:pt>
                <c:pt idx="504">
                  <c:v>-209.37035475362151</c:v>
                </c:pt>
                <c:pt idx="505">
                  <c:v>-209.57633871475335</c:v>
                </c:pt>
                <c:pt idx="506">
                  <c:v>-209.78099284126046</c:v>
                </c:pt>
                <c:pt idx="507">
                  <c:v>-209.98433639684245</c:v>
                </c:pt>
                <c:pt idx="508">
                  <c:v>-210.18638835646379</c:v>
                </c:pt>
                <c:pt idx="509">
                  <c:v>-210.39177936082439</c:v>
                </c:pt>
                <c:pt idx="510">
                  <c:v>-210.59585783063594</c:v>
                </c:pt>
                <c:pt idx="511">
                  <c:v>-210.79864318040413</c:v>
                </c:pt>
                <c:pt idx="512">
                  <c:v>-211.00015453174913</c:v>
                </c:pt>
                <c:pt idx="513">
                  <c:v>-211.2051438583139</c:v>
                </c:pt>
                <c:pt idx="514">
                  <c:v>-211.40883769207846</c:v>
                </c:pt>
                <c:pt idx="515">
                  <c:v>-211.61125562911045</c:v>
                </c:pt>
                <c:pt idx="516">
                  <c:v>-211.81241696732923</c:v>
                </c:pt>
                <c:pt idx="517">
                  <c:v>-212.01695674210822</c:v>
                </c:pt>
                <c:pt idx="518">
                  <c:v>-212.22022097474905</c:v>
                </c:pt>
                <c:pt idx="519">
                  <c:v>-212.42222940202296</c:v>
                </c:pt>
                <c:pt idx="520">
                  <c:v>-212.62300145759764</c:v>
                </c:pt>
                <c:pt idx="521">
                  <c:v>-212.82717228377243</c:v>
                </c:pt>
                <c:pt idx="522">
                  <c:v>-213.030088913328</c:v>
                </c:pt>
                <c:pt idx="523">
                  <c:v>-213.23177121497775</c:v>
                </c:pt>
                <c:pt idx="524">
                  <c:v>-213.4322387490231</c:v>
                </c:pt>
                <c:pt idx="525">
                  <c:v>-213.63612582381541</c:v>
                </c:pt>
                <c:pt idx="526">
                  <c:v>-213.83878150744854</c:v>
                </c:pt>
                <c:pt idx="527">
                  <c:v>-214.04022578893088</c:v>
                </c:pt>
                <c:pt idx="528">
                  <c:v>-214.24047834323835</c:v>
                </c:pt>
                <c:pt idx="529">
                  <c:v>-214.44417201844962</c:v>
                </c:pt>
                <c:pt idx="530">
                  <c:v>-214.64665862022727</c:v>
                </c:pt>
                <c:pt idx="531">
                  <c:v>-214.84795824335475</c:v>
                </c:pt>
                <c:pt idx="532">
                  <c:v>-215.0480906626984</c:v>
                </c:pt>
                <c:pt idx="533">
                  <c:v>-215.25179175266319</c:v>
                </c:pt>
                <c:pt idx="534">
                  <c:v>-215.45431042880773</c:v>
                </c:pt>
                <c:pt idx="535">
                  <c:v>-215.65566690534931</c:v>
                </c:pt>
                <c:pt idx="536">
                  <c:v>-215.85588106981839</c:v>
                </c:pt>
                <c:pt idx="537">
                  <c:v>-216.0594797409812</c:v>
                </c:pt>
                <c:pt idx="538">
                  <c:v>-216.26192469475504</c:v>
                </c:pt>
                <c:pt idx="539">
                  <c:v>-216.46323618190996</c:v>
                </c:pt>
                <c:pt idx="540">
                  <c:v>-216.66343412093974</c:v>
                </c:pt>
                <c:pt idx="541">
                  <c:v>-216.86724642069436</c:v>
                </c:pt>
                <c:pt idx="542">
                  <c:v>-217.06993293661165</c:v>
                </c:pt>
                <c:pt idx="543">
                  <c:v>-217.27151399459765</c:v>
                </c:pt>
                <c:pt idx="544">
                  <c:v>-217.47200958123631</c:v>
                </c:pt>
                <c:pt idx="545">
                  <c:v>-217.67604648980256</c:v>
                </c:pt>
                <c:pt idx="546">
                  <c:v>-217.87898832616892</c:v>
                </c:pt>
                <c:pt idx="547">
                  <c:v>-218.08085543469522</c:v>
                </c:pt>
                <c:pt idx="548">
                  <c:v>-218.28166781399111</c:v>
                </c:pt>
                <c:pt idx="549">
                  <c:v>-218.48605216367073</c:v>
                </c:pt>
                <c:pt idx="550">
                  <c:v>-218.68937371732289</c:v>
                </c:pt>
                <c:pt idx="551">
                  <c:v>-218.89165280958949</c:v>
                </c:pt>
                <c:pt idx="552">
                  <c:v>-219.09290942292813</c:v>
                </c:pt>
                <c:pt idx="553">
                  <c:v>-219.29786534171126</c:v>
                </c:pt>
                <c:pt idx="554">
                  <c:v>-219.50179133421187</c:v>
                </c:pt>
                <c:pt idx="555">
                  <c:v>-219.70470772248063</c:v>
                </c:pt>
                <c:pt idx="556">
                  <c:v>-219.90663446934522</c:v>
                </c:pt>
                <c:pt idx="557">
                  <c:v>-220.31695800465724</c:v>
                </c:pt>
                <c:pt idx="558">
                  <c:v>-220.72338054607278</c:v>
                </c:pt>
                <c:pt idx="559">
                  <c:v>-221.13524722055021</c:v>
                </c:pt>
                <c:pt idx="560">
                  <c:v>-221.5433599902378</c:v>
                </c:pt>
                <c:pt idx="561">
                  <c:v>-221.95743077138235</c:v>
                </c:pt>
                <c:pt idx="562">
                  <c:v>-222.36789387189015</c:v>
                </c:pt>
                <c:pt idx="563">
                  <c:v>-222.7836027415882</c:v>
                </c:pt>
                <c:pt idx="564">
                  <c:v>-223.19587016060765</c:v>
                </c:pt>
                <c:pt idx="565">
                  <c:v>-223.61511920406573</c:v>
                </c:pt>
                <c:pt idx="566">
                  <c:v>-224.03107209550541</c:v>
                </c:pt>
                <c:pt idx="567">
                  <c:v>-224.45399462042673</c:v>
                </c:pt>
                <c:pt idx="568">
                  <c:v>-224.87377559904135</c:v>
                </c:pt>
                <c:pt idx="569">
                  <c:v>-225.29887301350996</c:v>
                </c:pt>
                <c:pt idx="570">
                  <c:v>-225.72101404368635</c:v>
                </c:pt>
                <c:pt idx="571">
                  <c:v>-226.15181945043702</c:v>
                </c:pt>
                <c:pt idx="572">
                  <c:v>-226.57981369679504</c:v>
                </c:pt>
                <c:pt idx="573">
                  <c:v>-227.01323583403806</c:v>
                </c:pt>
                <c:pt idx="574">
                  <c:v>-227.44404000830889</c:v>
                </c:pt>
                <c:pt idx="575">
                  <c:v>-227.88356599791169</c:v>
                </c:pt>
                <c:pt idx="576">
                  <c:v>-228.32063153662784</c:v>
                </c:pt>
                <c:pt idx="577">
                  <c:v>-230.1468300805393</c:v>
                </c:pt>
                <c:pt idx="578">
                  <c:v>-231.94069741346044</c:v>
                </c:pt>
                <c:pt idx="579">
                  <c:v>-235.79391427872994</c:v>
                </c:pt>
                <c:pt idx="580">
                  <c:v>-239.9516391152377</c:v>
                </c:pt>
                <c:pt idx="581">
                  <c:v>-244.46989205458294</c:v>
                </c:pt>
                <c:pt idx="582">
                  <c:v>-249.40232690939115</c:v>
                </c:pt>
                <c:pt idx="583">
                  <c:v>-254.77485296493967</c:v>
                </c:pt>
                <c:pt idx="584">
                  <c:v>-260.58833021841656</c:v>
                </c:pt>
                <c:pt idx="585">
                  <c:v>-266.79313185900156</c:v>
                </c:pt>
                <c:pt idx="586">
                  <c:v>-273.29552427563885</c:v>
                </c:pt>
                <c:pt idx="587">
                  <c:v>-279.96178934738498</c:v>
                </c:pt>
                <c:pt idx="588">
                  <c:v>-286.62260305062608</c:v>
                </c:pt>
                <c:pt idx="589">
                  <c:v>-293.11967767695603</c:v>
                </c:pt>
                <c:pt idx="590">
                  <c:v>-299.31064298187408</c:v>
                </c:pt>
                <c:pt idx="591">
                  <c:v>-305.09577318705561</c:v>
                </c:pt>
                <c:pt idx="592">
                  <c:v>-310.41769093778612</c:v>
                </c:pt>
                <c:pt idx="593">
                  <c:v>-315.25950846459409</c:v>
                </c:pt>
                <c:pt idx="594">
                  <c:v>-319.6296785408872</c:v>
                </c:pt>
                <c:pt idx="595">
                  <c:v>-323.55662302087347</c:v>
                </c:pt>
                <c:pt idx="596">
                  <c:v>-327.07626050899216</c:v>
                </c:pt>
                <c:pt idx="597">
                  <c:v>-330.2292133295299</c:v>
                </c:pt>
                <c:pt idx="598">
                  <c:v>-333.05400572437605</c:v>
                </c:pt>
                <c:pt idx="599">
                  <c:v>-335.5880580099622</c:v>
                </c:pt>
                <c:pt idx="600">
                  <c:v>-337.86412898358685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55-41F1-84E2-E768F8DC0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18368"/>
        <c:axId val="159237248"/>
      </c:scatterChart>
      <c:valAx>
        <c:axId val="159014272"/>
        <c:scaling>
          <c:logBase val="10"/>
          <c:orientation val="minMax"/>
          <c:max val="100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2857142857142855"/>
              <c:y val="0.883611403413284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016448"/>
        <c:crossesAt val="-40"/>
        <c:crossBetween val="midCat"/>
        <c:majorUnit val="10"/>
        <c:minorUnit val="10"/>
      </c:valAx>
      <c:valAx>
        <c:axId val="159016448"/>
        <c:scaling>
          <c:orientation val="minMax"/>
          <c:max val="80"/>
          <c:min val="-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Gain (dB)</a:t>
                </a:r>
              </a:p>
            </c:rich>
          </c:tx>
          <c:layout>
            <c:manualLayout>
              <c:xMode val="edge"/>
              <c:yMode val="edge"/>
              <c:x val="1.5549076773566581E-2"/>
              <c:y val="0.392716233051513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014272"/>
        <c:crossesAt val="0.1"/>
        <c:crossBetween val="midCat"/>
        <c:majorUnit val="20"/>
        <c:minorUnit val="4"/>
      </c:valAx>
      <c:valAx>
        <c:axId val="159018368"/>
        <c:scaling>
          <c:logBase val="10"/>
          <c:orientation val="minMax"/>
        </c:scaling>
        <c:delete val="1"/>
        <c:axPos val="t"/>
        <c:numFmt formatCode="General" sourceLinked="1"/>
        <c:majorTickMark val="out"/>
        <c:minorTickMark val="none"/>
        <c:tickLblPos val="none"/>
        <c:crossAx val="159237248"/>
        <c:crossesAt val="0"/>
        <c:crossBetween val="midCat"/>
      </c:valAx>
      <c:valAx>
        <c:axId val="159237248"/>
        <c:scaling>
          <c:orientation val="minMax"/>
          <c:max val="0"/>
          <c:min val="-270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Phase (°)</a:t>
                </a:r>
              </a:p>
            </c:rich>
          </c:tx>
          <c:layout>
            <c:manualLayout>
              <c:xMode val="edge"/>
              <c:yMode val="edge"/>
              <c:x val="0.96550048590864856"/>
              <c:y val="0.398258282230851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018368"/>
        <c:crosses val="max"/>
        <c:crossBetween val="midCat"/>
        <c:majorUnit val="45"/>
        <c:minorUnit val="22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67" r="0.75000000000000167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22" fmlaRange="$1:$1048576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6" fmlaLink="$E$71" max="100" min="1" page="10" val="7"/>
</file>

<file path=xl/ctrlProps/ctrlProp5.xml><?xml version="1.0" encoding="utf-8"?>
<formControlPr xmlns="http://schemas.microsoft.com/office/spreadsheetml/2009/9/main" objectType="Spin" dx="16" fmlaLink="$E$7" max="58" page="10" val="12"/>
</file>

<file path=xl/ctrlProps/ctrlProp6.xml><?xml version="1.0" encoding="utf-8"?>
<formControlPr xmlns="http://schemas.microsoft.com/office/spreadsheetml/2009/9/main" objectType="Drop" dropLines="2" dropStyle="combo" dx="16" fmlaLink="'Variable Management'!$L$10" fmlaRange="'Variable Management'!$K$8:$K$9" noThreeD="1" sel="1" val="0"/>
</file>

<file path=xl/ctrlProps/ctrlProp7.xml><?xml version="1.0" encoding="utf-8"?>
<formControlPr xmlns="http://schemas.microsoft.com/office/spreadsheetml/2009/9/main" objectType="Drop" dropLines="2" dropStyle="combo" dx="16" fmlaLink="'Variable Management'!$O$10" fmlaRange="'Variable Management'!$M$8:$M$9" noThreeD="1" sel="1" val="0"/>
</file>

<file path=xl/ctrlProps/ctrlProp8.xml><?xml version="1.0" encoding="utf-8"?>
<formControlPr xmlns="http://schemas.microsoft.com/office/spreadsheetml/2009/9/main" objectType="Spin" dx="16" fmlaLink="$E$7" max="58" page="10" val="12"/>
</file>

<file path=xl/ctrlProps/ctrlProp9.xml><?xml version="1.0" encoding="utf-8"?>
<formControlPr xmlns="http://schemas.microsoft.com/office/spreadsheetml/2009/9/main" objectType="Spin" dx="16" fmlaLink="$E$7" max="58" page="10" val="1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image" Target="../media/image5.emf"/><Relationship Id="rId5" Type="http://schemas.openxmlformats.org/officeDocument/2006/relationships/image" Target="../media/image4.jpg"/><Relationship Id="rId4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ti.com/corp/docs/legal/copyright.shtml" TargetMode="External"/><Relationship Id="rId2" Type="http://schemas.openxmlformats.org/officeDocument/2006/relationships/image" Target="../media/image11.gif"/><Relationship Id="rId1" Type="http://schemas.openxmlformats.org/officeDocument/2006/relationships/hyperlink" Target="http://www.ti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3" Type="http://schemas.openxmlformats.org/officeDocument/2006/relationships/image" Target="../media/image14.jpg"/><Relationship Id="rId7" Type="http://schemas.openxmlformats.org/officeDocument/2006/relationships/image" Target="../media/image18.jpg"/><Relationship Id="rId12" Type="http://schemas.openxmlformats.org/officeDocument/2006/relationships/image" Target="../media/image23.jpg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jpg"/><Relationship Id="rId11" Type="http://schemas.openxmlformats.org/officeDocument/2006/relationships/image" Target="../media/image22.jpg"/><Relationship Id="rId5" Type="http://schemas.openxmlformats.org/officeDocument/2006/relationships/image" Target="../media/image16.jpg"/><Relationship Id="rId10" Type="http://schemas.openxmlformats.org/officeDocument/2006/relationships/image" Target="../media/image21.jpg"/><Relationship Id="rId4" Type="http://schemas.openxmlformats.org/officeDocument/2006/relationships/image" Target="../media/image15.jpg"/><Relationship Id="rId9" Type="http://schemas.openxmlformats.org/officeDocument/2006/relationships/image" Target="../media/image20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8.png"/><Relationship Id="rId4" Type="http://schemas.openxmlformats.org/officeDocument/2006/relationships/image" Target="../media/image2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315686</xdr:colOff>
          <xdr:row>77</xdr:row>
          <xdr:rowOff>76200</xdr:rowOff>
        </xdr:from>
        <xdr:to>
          <xdr:col>2</xdr:col>
          <xdr:colOff>898071</xdr:colOff>
          <xdr:row>79</xdr:row>
          <xdr:rowOff>136071</xdr:rowOff>
        </xdr:to>
        <xdr:sp macro="" textlink="">
          <xdr:nvSpPr>
            <xdr:cNvPr id="673260" name="Button 492" hidden="1">
              <a:extLst>
                <a:ext uri="{63B3BB69-23CF-44E3-9099-C40C66FF867C}">
                  <a14:compatExt spid="_x0000_s673260"/>
                </a:ext>
                <a:ext uri="{FF2B5EF4-FFF2-40B4-BE49-F238E27FC236}">
                  <a16:creationId xmlns:a16="http://schemas.microsoft.com/office/drawing/2014/main" id="{00000000-0008-0000-0000-0000EC4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VALUES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315686</xdr:colOff>
          <xdr:row>77</xdr:row>
          <xdr:rowOff>76200</xdr:rowOff>
        </xdr:from>
        <xdr:to>
          <xdr:col>2</xdr:col>
          <xdr:colOff>898071</xdr:colOff>
          <xdr:row>79</xdr:row>
          <xdr:rowOff>136071</xdr:rowOff>
        </xdr:to>
        <xdr:sp macro="" textlink="">
          <xdr:nvSpPr>
            <xdr:cNvPr id="673288" name="Button 520" hidden="1">
              <a:extLst>
                <a:ext uri="{63B3BB69-23CF-44E3-9099-C40C66FF867C}">
                  <a14:compatExt spid="_x0000_s673288"/>
                </a:ext>
                <a:ext uri="{FF2B5EF4-FFF2-40B4-BE49-F238E27FC236}">
                  <a16:creationId xmlns:a16="http://schemas.microsoft.com/office/drawing/2014/main" id="{00000000-0008-0000-0000-00000846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</a:t>
              </a:r>
            </a:p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VALUES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517071</xdr:colOff>
          <xdr:row>11</xdr:row>
          <xdr:rowOff>65314</xdr:rowOff>
        </xdr:from>
        <xdr:to>
          <xdr:col>7</xdr:col>
          <xdr:colOff>97971</xdr:colOff>
          <xdr:row>13</xdr:row>
          <xdr:rowOff>48986</xdr:rowOff>
        </xdr:to>
        <xdr:sp macro="" textlink="">
          <xdr:nvSpPr>
            <xdr:cNvPr id="673660" name="Drop Down 892" hidden="1">
              <a:extLst>
                <a:ext uri="{63B3BB69-23CF-44E3-9099-C40C66FF867C}">
                  <a14:compatExt spid="_x0000_s673660"/>
                </a:ext>
                <a:ext uri="{FF2B5EF4-FFF2-40B4-BE49-F238E27FC236}">
                  <a16:creationId xmlns:a16="http://schemas.microsoft.com/office/drawing/2014/main" id="{00000000-0008-0000-0000-00007C4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1360848</xdr:colOff>
      <xdr:row>0</xdr:row>
      <xdr:rowOff>108713</xdr:rowOff>
    </xdr:from>
    <xdr:to>
      <xdr:col>16</xdr:col>
      <xdr:colOff>2417480</xdr:colOff>
      <xdr:row>2</xdr:row>
      <xdr:rowOff>124979</xdr:rowOff>
    </xdr:to>
    <xdr:pic macro="[0]!OpenLM27403ProductFolder">
      <xdr:nvPicPr>
        <xdr:cNvPr id="70" name="Pictur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0098" y="108713"/>
          <a:ext cx="1056632" cy="832241"/>
        </a:xfrm>
        <a:prstGeom prst="rect">
          <a:avLst/>
        </a:prstGeom>
      </xdr:spPr>
    </xdr:pic>
    <xdr:clientData/>
  </xdr:twoCellAnchor>
  <xdr:twoCellAnchor editAs="absolute">
    <xdr:from>
      <xdr:col>6</xdr:col>
      <xdr:colOff>266700</xdr:colOff>
      <xdr:row>45</xdr:row>
      <xdr:rowOff>70486</xdr:rowOff>
    </xdr:from>
    <xdr:to>
      <xdr:col>16</xdr:col>
      <xdr:colOff>2352675</xdr:colOff>
      <xdr:row>74</xdr:row>
      <xdr:rowOff>27321</xdr:rowOff>
    </xdr:to>
    <xdr:graphicFrame macro="">
      <xdr:nvGraphicFramePr>
        <xdr:cNvPr id="65" name="Chart 12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190500</xdr:colOff>
          <xdr:row>84</xdr:row>
          <xdr:rowOff>60876</xdr:rowOff>
        </xdr:from>
        <xdr:to>
          <xdr:col>16</xdr:col>
          <xdr:colOff>2468096</xdr:colOff>
          <xdr:row>112</xdr:row>
          <xdr:rowOff>151644</xdr:rowOff>
        </xdr:to>
        <xdr:pic>
          <xdr:nvPicPr>
            <xdr:cNvPr id="72" name="Picture 8888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" spid="_x0000_s67370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505325" y="16139076"/>
              <a:ext cx="8449796" cy="5253318"/>
            </a:xfrm>
            <a:prstGeom prst="rect">
              <a:avLst/>
            </a:prstGeom>
            <a:noFill/>
            <a:ln w="1587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392728</xdr:colOff>
      <xdr:row>64</xdr:row>
      <xdr:rowOff>4766</xdr:rowOff>
    </xdr:from>
    <xdr:to>
      <xdr:col>10</xdr:col>
      <xdr:colOff>361950</xdr:colOff>
      <xdr:row>65</xdr:row>
      <xdr:rowOff>14928</xdr:rowOff>
    </xdr:to>
    <xdr:sp macro="" textlink="'Variable Management'!A453">
      <xdr:nvSpPr>
        <xdr:cNvPr id="2071" name="Text Box 23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 txBox="1">
          <a:spLocks noChangeArrowheads="1" noTextEdit="1"/>
        </xdr:cNvSpPr>
      </xdr:nvSpPr>
      <xdr:spPr bwMode="auto">
        <a:xfrm>
          <a:off x="4700959" y="12057554"/>
          <a:ext cx="2196606" cy="200662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fld id="{10952A97-D9C5-44B7-89A3-65441574648A}" type="TxLink">
            <a:rPr lang="en-US" sz="1100" b="1" i="0" u="none" strike="noStrike" baseline="0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Crossover Frequency = 6.8 kHz</a:t>
          </a:fld>
          <a:endParaRPr lang="en-US" sz="1100" b="1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422779</xdr:colOff>
      <xdr:row>65</xdr:row>
      <xdr:rowOff>162115</xdr:rowOff>
    </xdr:from>
    <xdr:to>
      <xdr:col>9</xdr:col>
      <xdr:colOff>457199</xdr:colOff>
      <xdr:row>66</xdr:row>
      <xdr:rowOff>201318</xdr:rowOff>
    </xdr:to>
    <xdr:sp macro="" textlink="'Variable Management'!A454">
      <xdr:nvSpPr>
        <xdr:cNvPr id="2072" name="Text Box 24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 txBox="1">
          <a:spLocks noChangeArrowheads="1" noTextEdit="1"/>
        </xdr:cNvSpPr>
      </xdr:nvSpPr>
      <xdr:spPr bwMode="auto">
        <a:xfrm>
          <a:off x="4731010" y="12405403"/>
          <a:ext cx="1433862" cy="207723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fld id="{95DD25AA-EC3B-4C80-B80E-8DC148525216}" type="TxLink">
            <a:rPr lang="en-US" sz="1100" b="1" i="0" u="none" strike="noStrike" baseline="0">
              <a:solidFill>
                <a:srgbClr val="002060"/>
              </a:solidFill>
              <a:latin typeface="Arial"/>
              <a:cs typeface="Arial"/>
            </a:rPr>
            <a:pPr algn="l" rtl="0">
              <a:defRPr sz="1000"/>
            </a:pPr>
            <a:t>Phase Margin = 57°</a:t>
          </a:fld>
          <a:endParaRPr lang="en-US" sz="1100" b="1" i="0" u="none" strike="noStrike" baseline="0">
            <a:solidFill>
              <a:srgbClr val="00206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70</xdr:row>
          <xdr:rowOff>0</xdr:rowOff>
        </xdr:from>
        <xdr:to>
          <xdr:col>5</xdr:col>
          <xdr:colOff>179614</xdr:colOff>
          <xdr:row>70</xdr:row>
          <xdr:rowOff>179614</xdr:rowOff>
        </xdr:to>
        <xdr:sp macro="" textlink="">
          <xdr:nvSpPr>
            <xdr:cNvPr id="672829" name="Spinner 61" hidden="1">
              <a:extLst>
                <a:ext uri="{63B3BB69-23CF-44E3-9099-C40C66FF867C}">
                  <a14:compatExt spid="_x0000_s672829"/>
                </a:ext>
                <a:ext uri="{FF2B5EF4-FFF2-40B4-BE49-F238E27FC236}">
                  <a16:creationId xmlns:a16="http://schemas.microsoft.com/office/drawing/2014/main" id="{00000000-0008-0000-0000-00003D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125186</xdr:colOff>
          <xdr:row>6</xdr:row>
          <xdr:rowOff>10886</xdr:rowOff>
        </xdr:from>
        <xdr:to>
          <xdr:col>5</xdr:col>
          <xdr:colOff>304800</xdr:colOff>
          <xdr:row>7</xdr:row>
          <xdr:rowOff>21771</xdr:rowOff>
        </xdr:to>
        <xdr:sp macro="" textlink="">
          <xdr:nvSpPr>
            <xdr:cNvPr id="672895" name="Spinner 127" hidden="1">
              <a:extLst>
                <a:ext uri="{63B3BB69-23CF-44E3-9099-C40C66FF867C}">
                  <a14:compatExt spid="_x0000_s672895"/>
                </a:ext>
                <a:ext uri="{FF2B5EF4-FFF2-40B4-BE49-F238E27FC236}">
                  <a16:creationId xmlns:a16="http://schemas.microsoft.com/office/drawing/2014/main" id="{00000000-0008-0000-0000-00007F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58613</xdr:colOff>
      <xdr:row>0</xdr:row>
      <xdr:rowOff>29308</xdr:rowOff>
    </xdr:from>
    <xdr:to>
      <xdr:col>3</xdr:col>
      <xdr:colOff>331909</xdr:colOff>
      <xdr:row>0</xdr:row>
      <xdr:rowOff>567964</xdr:rowOff>
    </xdr:to>
    <xdr:pic macro="[0]!OpenLM27403ProductFolder"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96" b="8304"/>
        <a:stretch/>
      </xdr:blipFill>
      <xdr:spPr>
        <a:xfrm>
          <a:off x="58613" y="29308"/>
          <a:ext cx="2283071" cy="538656"/>
        </a:xfrm>
        <a:prstGeom prst="rect">
          <a:avLst/>
        </a:prstGeom>
      </xdr:spPr>
    </xdr:pic>
    <xdr:clientData/>
  </xdr:twoCellAnchor>
  <xdr:twoCellAnchor editAs="oneCell">
    <xdr:from>
      <xdr:col>16</xdr:col>
      <xdr:colOff>1372551</xdr:colOff>
      <xdr:row>0</xdr:row>
      <xdr:rowOff>89535</xdr:rowOff>
    </xdr:from>
    <xdr:to>
      <xdr:col>16</xdr:col>
      <xdr:colOff>2433255</xdr:colOff>
      <xdr:row>2</xdr:row>
      <xdr:rowOff>103756</xdr:rowOff>
    </xdr:to>
    <xdr:pic macro="[0]!OpenLM27403ProductFolder"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2471" y="89535"/>
          <a:ext cx="1060704" cy="8219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217714</xdr:colOff>
          <xdr:row>83</xdr:row>
          <xdr:rowOff>65314</xdr:rowOff>
        </xdr:from>
        <xdr:to>
          <xdr:col>9</xdr:col>
          <xdr:colOff>201386</xdr:colOff>
          <xdr:row>84</xdr:row>
          <xdr:rowOff>59871</xdr:rowOff>
        </xdr:to>
        <xdr:sp macro="" textlink="">
          <xdr:nvSpPr>
            <xdr:cNvPr id="672924" name="Drop Down 156" hidden="1">
              <a:extLst>
                <a:ext uri="{63B3BB69-23CF-44E3-9099-C40C66FF867C}">
                  <a14:compatExt spid="_x0000_s672924"/>
                </a:ext>
                <a:ext uri="{FF2B5EF4-FFF2-40B4-BE49-F238E27FC236}">
                  <a16:creationId xmlns:a16="http://schemas.microsoft.com/office/drawing/2014/main" id="{00000000-0008-0000-0000-00009C4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942415</xdr:colOff>
      <xdr:row>88</xdr:row>
      <xdr:rowOff>24932</xdr:rowOff>
    </xdr:from>
    <xdr:to>
      <xdr:col>16</xdr:col>
      <xdr:colOff>1364358</xdr:colOff>
      <xdr:row>89</xdr:row>
      <xdr:rowOff>72557</xdr:rowOff>
    </xdr:to>
    <xdr:sp macro="" textlink="'Variable Management'!$B$457">
      <xdr:nvSpPr>
        <xdr:cNvPr id="73" name="Text Box 24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429440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F0AFB1C-0795-4024-9821-D34D86340D40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129.7%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12</xdr:col>
      <xdr:colOff>580465</xdr:colOff>
      <xdr:row>88</xdr:row>
      <xdr:rowOff>24932</xdr:rowOff>
    </xdr:from>
    <xdr:to>
      <xdr:col>13</xdr:col>
      <xdr:colOff>392808</xdr:colOff>
      <xdr:row>89</xdr:row>
      <xdr:rowOff>72557</xdr:rowOff>
    </xdr:to>
    <xdr:sp macro="" textlink="'Variable Management'!$B$458">
      <xdr:nvSpPr>
        <xdr:cNvPr id="74" name="Text Box 24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2415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7D4567B-D519-4FF8-A1F3-102CF08055A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92.1%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</xdr:col>
      <xdr:colOff>151840</xdr:colOff>
      <xdr:row>88</xdr:row>
      <xdr:rowOff>24932</xdr:rowOff>
    </xdr:from>
    <xdr:to>
      <xdr:col>8</xdr:col>
      <xdr:colOff>573783</xdr:colOff>
      <xdr:row>89</xdr:row>
      <xdr:rowOff>72557</xdr:rowOff>
    </xdr:to>
    <xdr:sp macro="" textlink="'Variable Management'!$B$456">
      <xdr:nvSpPr>
        <xdr:cNvPr id="89" name="Text Box 24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257240" y="16922282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432ED2DE-3BD0-4309-A8FE-05B28CC10D2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 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10886</xdr:colOff>
          <xdr:row>59</xdr:row>
          <xdr:rowOff>0</xdr:rowOff>
        </xdr:from>
        <xdr:to>
          <xdr:col>1</xdr:col>
          <xdr:colOff>478971</xdr:colOff>
          <xdr:row>60</xdr:row>
          <xdr:rowOff>27214</xdr:rowOff>
        </xdr:to>
        <xdr:sp macro="" textlink="">
          <xdr:nvSpPr>
            <xdr:cNvPr id="673029" name="Drop Down 261" hidden="1">
              <a:extLst>
                <a:ext uri="{63B3BB69-23CF-44E3-9099-C40C66FF867C}">
                  <a14:compatExt spid="_x0000_s673029"/>
                </a:ext>
                <a:ext uri="{FF2B5EF4-FFF2-40B4-BE49-F238E27FC236}">
                  <a16:creationId xmlns:a16="http://schemas.microsoft.com/office/drawing/2014/main" id="{00000000-0008-0000-0000-00000545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321205</xdr:colOff>
          <xdr:row>10</xdr:row>
          <xdr:rowOff>130404</xdr:rowOff>
        </xdr:from>
        <xdr:to>
          <xdr:col>16</xdr:col>
          <xdr:colOff>2405565</xdr:colOff>
          <xdr:row>37</xdr:row>
          <xdr:rowOff>76200</xdr:rowOff>
        </xdr:to>
        <xdr:pic>
          <xdr:nvPicPr>
            <xdr:cNvPr id="96" name="Picture 8888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2" spid="_x0000_s67370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845455" y="2321154"/>
              <a:ext cx="9047135" cy="4965471"/>
            </a:xfrm>
            <a:prstGeom prst="rect">
              <a:avLst/>
            </a:prstGeom>
            <a:noFill/>
            <a:ln w="15875">
              <a:noFill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429986</xdr:colOff>
          <xdr:row>46</xdr:row>
          <xdr:rowOff>0</xdr:rowOff>
        </xdr:from>
        <xdr:to>
          <xdr:col>14</xdr:col>
          <xdr:colOff>0</xdr:colOff>
          <xdr:row>47</xdr:row>
          <xdr:rowOff>10886</xdr:rowOff>
        </xdr:to>
        <xdr:sp macro="" textlink="">
          <xdr:nvSpPr>
            <xdr:cNvPr id="673295" name="Spinner 527" hidden="1">
              <a:extLst>
                <a:ext uri="{63B3BB69-23CF-44E3-9099-C40C66FF867C}">
                  <a14:compatExt spid="_x0000_s673295"/>
                </a:ext>
                <a:ext uri="{FF2B5EF4-FFF2-40B4-BE49-F238E27FC236}">
                  <a16:creationId xmlns:a16="http://schemas.microsoft.com/office/drawing/2014/main" id="{00000000-0008-0000-0000-00000F46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822960</xdr:colOff>
      <xdr:row>22</xdr:row>
      <xdr:rowOff>167640</xdr:rowOff>
    </xdr:from>
    <xdr:to>
      <xdr:col>11</xdr:col>
      <xdr:colOff>205740</xdr:colOff>
      <xdr:row>25</xdr:row>
      <xdr:rowOff>68580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 bwMode="auto">
        <a:xfrm>
          <a:off x="6713220" y="4579620"/>
          <a:ext cx="861060" cy="525780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  <xdr:txBody>
        <a:bodyPr vertOverflow="clip" horzOverflow="clip" wrap="square" lIns="27432" tIns="27432" rIns="0" bIns="0" rtlCol="0" anchor="ctr" upright="1"/>
        <a:lstStyle/>
        <a:p>
          <a:pPr algn="ctr" rtl="0"/>
          <a:r>
            <a:rPr lang="en-US" sz="1100" b="1" i="0" strike="noStrike">
              <a:solidFill>
                <a:srgbClr val="000000"/>
              </a:solidFill>
              <a:latin typeface="Calibri"/>
            </a:rPr>
            <a:t>LM5176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429986</xdr:colOff>
          <xdr:row>83</xdr:row>
          <xdr:rowOff>0</xdr:rowOff>
        </xdr:from>
        <xdr:to>
          <xdr:col>14</xdr:col>
          <xdr:colOff>0</xdr:colOff>
          <xdr:row>84</xdr:row>
          <xdr:rowOff>10886</xdr:rowOff>
        </xdr:to>
        <xdr:sp macro="" textlink="">
          <xdr:nvSpPr>
            <xdr:cNvPr id="673669" name="Spinner 901" hidden="1">
              <a:extLst>
                <a:ext uri="{63B3BB69-23CF-44E3-9099-C40C66FF867C}">
                  <a14:compatExt spid="_x0000_s673669"/>
                </a:ext>
                <a:ext uri="{FF2B5EF4-FFF2-40B4-BE49-F238E27FC236}">
                  <a16:creationId xmlns:a16="http://schemas.microsoft.com/office/drawing/2014/main" id="{00000000-0008-0000-0000-00008547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0.08469</cdr:x>
      <cdr:y>0.4934</cdr:y>
    </cdr:from>
    <cdr:to>
      <cdr:x>0.9187</cdr:x>
      <cdr:y>0.49511</cdr:y>
    </cdr:to>
    <cdr:sp macro="" textlink="">
      <cdr:nvSpPr>
        <cdr:cNvPr id="8195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733103" y="2356792"/>
          <a:ext cx="7219652" cy="816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0.92392</cdr:x>
      <cdr:y>0.56277</cdr:y>
    </cdr:from>
    <cdr:to>
      <cdr:x>0.97055</cdr:x>
      <cdr:y>0.61867</cdr:y>
    </cdr:to>
    <cdr:sp macro="" textlink="'Variable Management'!$B$454">
      <cdr:nvSpPr>
        <cdr:cNvPr id="3" name="Text Box 2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8004815" y="2953578"/>
          <a:ext cx="404001" cy="2933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22860" rIns="0" bIns="22860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BB1BCF51-C5DA-4454-8307-018A0FF9C118}" type="TxLink"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57°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9524</xdr:rowOff>
    </xdr:from>
    <xdr:to>
      <xdr:col>9</xdr:col>
      <xdr:colOff>1219200</xdr:colOff>
      <xdr:row>44</xdr:row>
      <xdr:rowOff>85725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71449"/>
          <a:ext cx="10734675" cy="7077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428625</xdr:colOff>
      <xdr:row>3</xdr:row>
      <xdr:rowOff>47624</xdr:rowOff>
    </xdr:from>
    <xdr:to>
      <xdr:col>9</xdr:col>
      <xdr:colOff>1200150</xdr:colOff>
      <xdr:row>42</xdr:row>
      <xdr:rowOff>81752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533399"/>
          <a:ext cx="10410825" cy="6349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742225</xdr:colOff>
      <xdr:row>11</xdr:row>
      <xdr:rowOff>54039</xdr:rowOff>
    </xdr:from>
    <xdr:to>
      <xdr:col>10</xdr:col>
      <xdr:colOff>113596</xdr:colOff>
      <xdr:row>12</xdr:row>
      <xdr:rowOff>137902</xdr:rowOff>
    </xdr:to>
    <xdr:sp macro="" textlink="'Variable Management'!B431">
      <xdr:nvSpPr>
        <xdr:cNvPr id="23" name="Text Box 285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376082" y="1850182"/>
          <a:ext cx="521175" cy="2471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48V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9</xdr:col>
      <xdr:colOff>611176</xdr:colOff>
      <xdr:row>12</xdr:row>
      <xdr:rowOff>116821</xdr:rowOff>
    </xdr:from>
    <xdr:to>
      <xdr:col>9</xdr:col>
      <xdr:colOff>1171576</xdr:colOff>
      <xdr:row>14</xdr:row>
      <xdr:rowOff>29271</xdr:rowOff>
    </xdr:to>
    <xdr:sp macro="" textlink="'Variable Management'!B473">
      <xdr:nvSpPr>
        <xdr:cNvPr id="24" name="Text Box 286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250476" y="2059921"/>
          <a:ext cx="560400" cy="23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10A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215765</xdr:colOff>
      <xdr:row>21</xdr:row>
      <xdr:rowOff>138591</xdr:rowOff>
    </xdr:from>
    <xdr:to>
      <xdr:col>7</xdr:col>
      <xdr:colOff>621919</xdr:colOff>
      <xdr:row>23</xdr:row>
      <xdr:rowOff>25832</xdr:rowOff>
    </xdr:to>
    <xdr:sp macro="" textlink="'Variable Management'!B438">
      <xdr:nvSpPr>
        <xdr:cNvPr id="26" name="Text Box 276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796351" y="3587298"/>
          <a:ext cx="406154" cy="2156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8EC17DC9-9599-436B-83BE-CF5CE434479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10µF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365389</xdr:colOff>
      <xdr:row>21</xdr:row>
      <xdr:rowOff>135869</xdr:rowOff>
    </xdr:from>
    <xdr:to>
      <xdr:col>1</xdr:col>
      <xdr:colOff>230978</xdr:colOff>
      <xdr:row>23</xdr:row>
      <xdr:rowOff>26451</xdr:rowOff>
    </xdr:to>
    <xdr:sp macro="" textlink="">
      <xdr:nvSpPr>
        <xdr:cNvPr id="30" name="Text Box 224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>
          <a:spLocks noChangeArrowheads="1"/>
        </xdr:cNvSpPr>
      </xdr:nvSpPr>
      <xdr:spPr bwMode="auto">
        <a:xfrm>
          <a:off x="365389" y="3614565"/>
          <a:ext cx="503350" cy="2218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>
    <xdr:from>
      <xdr:col>2</xdr:col>
      <xdr:colOff>159713</xdr:colOff>
      <xdr:row>37</xdr:row>
      <xdr:rowOff>159333</xdr:rowOff>
    </xdr:from>
    <xdr:to>
      <xdr:col>2</xdr:col>
      <xdr:colOff>479651</xdr:colOff>
      <xdr:row>39</xdr:row>
      <xdr:rowOff>38653</xdr:rowOff>
    </xdr:to>
    <xdr:sp macro="" textlink="">
      <xdr:nvSpPr>
        <xdr:cNvPr id="31" name="Text Box 225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>
          <a:spLocks noChangeArrowheads="1"/>
        </xdr:cNvSpPr>
      </xdr:nvSpPr>
      <xdr:spPr bwMode="auto">
        <a:xfrm>
          <a:off x="2150438" y="6150558"/>
          <a:ext cx="319938" cy="2031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>
    <xdr:from>
      <xdr:col>7</xdr:col>
      <xdr:colOff>1034941</xdr:colOff>
      <xdr:row>19</xdr:row>
      <xdr:rowOff>127711</xdr:rowOff>
    </xdr:from>
    <xdr:to>
      <xdr:col>8</xdr:col>
      <xdr:colOff>381857</xdr:colOff>
      <xdr:row>20</xdr:row>
      <xdr:rowOff>159098</xdr:rowOff>
    </xdr:to>
    <xdr:sp macro="" textlink="">
      <xdr:nvSpPr>
        <xdr:cNvPr id="33" name="Text Box 228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>
          <a:spLocks noChangeArrowheads="1"/>
        </xdr:cNvSpPr>
      </xdr:nvSpPr>
      <xdr:spPr bwMode="auto">
        <a:xfrm>
          <a:off x="8615527" y="3247970"/>
          <a:ext cx="424227" cy="1956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>
    <xdr:from>
      <xdr:col>9</xdr:col>
      <xdr:colOff>141502</xdr:colOff>
      <xdr:row>11</xdr:row>
      <xdr:rowOff>18316</xdr:rowOff>
    </xdr:from>
    <xdr:to>
      <xdr:col>9</xdr:col>
      <xdr:colOff>606793</xdr:colOff>
      <xdr:row>12</xdr:row>
      <xdr:rowOff>78135</xdr:rowOff>
    </xdr:to>
    <xdr:sp macro="" textlink="">
      <xdr:nvSpPr>
        <xdr:cNvPr id="34" name="Text Box 23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>
          <a:spLocks noChangeArrowheads="1"/>
        </xdr:cNvSpPr>
      </xdr:nvSpPr>
      <xdr:spPr bwMode="auto">
        <a:xfrm>
          <a:off x="9775359" y="1814459"/>
          <a:ext cx="465291" cy="2231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>
    <xdr:from>
      <xdr:col>1</xdr:col>
      <xdr:colOff>575103</xdr:colOff>
      <xdr:row>15</xdr:row>
      <xdr:rowOff>71293</xdr:rowOff>
    </xdr:from>
    <xdr:to>
      <xdr:col>1</xdr:col>
      <xdr:colOff>1033728</xdr:colOff>
      <xdr:row>16</xdr:row>
      <xdr:rowOff>121097</xdr:rowOff>
    </xdr:to>
    <xdr:sp macro="" textlink="">
      <xdr:nvSpPr>
        <xdr:cNvPr id="35" name="Text Box 233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>
          <a:spLocks noChangeArrowheads="1"/>
        </xdr:cNvSpPr>
      </xdr:nvSpPr>
      <xdr:spPr bwMode="auto">
        <a:xfrm>
          <a:off x="1213278" y="2500168"/>
          <a:ext cx="458625" cy="2117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DITH</a:t>
          </a:r>
        </a:p>
      </xdr:txBody>
    </xdr:sp>
    <xdr:clientData/>
  </xdr:twoCellAnchor>
  <xdr:twoCellAnchor>
    <xdr:from>
      <xdr:col>7</xdr:col>
      <xdr:colOff>920230</xdr:colOff>
      <xdr:row>27</xdr:row>
      <xdr:rowOff>76146</xdr:rowOff>
    </xdr:from>
    <xdr:to>
      <xdr:col>8</xdr:col>
      <xdr:colOff>33391</xdr:colOff>
      <xdr:row>28</xdr:row>
      <xdr:rowOff>131403</xdr:rowOff>
    </xdr:to>
    <xdr:sp macro="" textlink="">
      <xdr:nvSpPr>
        <xdr:cNvPr id="36" name="Text Box 234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>
          <a:spLocks noChangeArrowheads="1"/>
        </xdr:cNvSpPr>
      </xdr:nvSpPr>
      <xdr:spPr bwMode="auto">
        <a:xfrm>
          <a:off x="8502130" y="4448121"/>
          <a:ext cx="189486" cy="2171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>
    <xdr:from>
      <xdr:col>7</xdr:col>
      <xdr:colOff>423180</xdr:colOff>
      <xdr:row>14</xdr:row>
      <xdr:rowOff>151191</xdr:rowOff>
    </xdr:from>
    <xdr:to>
      <xdr:col>7</xdr:col>
      <xdr:colOff>765561</xdr:colOff>
      <xdr:row>16</xdr:row>
      <xdr:rowOff>38470</xdr:rowOff>
    </xdr:to>
    <xdr:sp macro="" textlink="">
      <xdr:nvSpPr>
        <xdr:cNvPr id="37" name="Text Box 235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>
          <a:spLocks noChangeArrowheads="1"/>
        </xdr:cNvSpPr>
      </xdr:nvSpPr>
      <xdr:spPr bwMode="auto">
        <a:xfrm>
          <a:off x="8005080" y="2418141"/>
          <a:ext cx="342381" cy="211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>
    <xdr:from>
      <xdr:col>4</xdr:col>
      <xdr:colOff>120315</xdr:colOff>
      <xdr:row>40</xdr:row>
      <xdr:rowOff>73324</xdr:rowOff>
    </xdr:from>
    <xdr:to>
      <xdr:col>4</xdr:col>
      <xdr:colOff>524058</xdr:colOff>
      <xdr:row>41</xdr:row>
      <xdr:rowOff>126640</xdr:rowOff>
    </xdr:to>
    <xdr:sp macro="" textlink="">
      <xdr:nvSpPr>
        <xdr:cNvPr id="38" name="Text Box 2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>
          <a:spLocks noChangeArrowheads="1"/>
        </xdr:cNvSpPr>
      </xdr:nvSpPr>
      <xdr:spPr bwMode="auto">
        <a:xfrm>
          <a:off x="4530390" y="6550324"/>
          <a:ext cx="403743" cy="2152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>
    <xdr:from>
      <xdr:col>7</xdr:col>
      <xdr:colOff>230281</xdr:colOff>
      <xdr:row>19</xdr:row>
      <xdr:rowOff>118899</xdr:rowOff>
    </xdr:from>
    <xdr:to>
      <xdr:col>7</xdr:col>
      <xdr:colOff>481762</xdr:colOff>
      <xdr:row>20</xdr:row>
      <xdr:rowOff>159567</xdr:rowOff>
    </xdr:to>
    <xdr:sp macro="" textlink="">
      <xdr:nvSpPr>
        <xdr:cNvPr id="39" name="Text Box 2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>
          <a:spLocks noChangeArrowheads="1"/>
        </xdr:cNvSpPr>
      </xdr:nvSpPr>
      <xdr:spPr bwMode="auto">
        <a:xfrm>
          <a:off x="7810867" y="3239158"/>
          <a:ext cx="251481" cy="2048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>
    <xdr:from>
      <xdr:col>2</xdr:col>
      <xdr:colOff>690613</xdr:colOff>
      <xdr:row>7</xdr:row>
      <xdr:rowOff>112069</xdr:rowOff>
    </xdr:from>
    <xdr:to>
      <xdr:col>2</xdr:col>
      <xdr:colOff>1019019</xdr:colOff>
      <xdr:row>9</xdr:row>
      <xdr:rowOff>13359</xdr:rowOff>
    </xdr:to>
    <xdr:sp macro="" textlink="">
      <xdr:nvSpPr>
        <xdr:cNvPr id="40" name="Text Box 2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>
          <a:spLocks noChangeArrowheads="1"/>
        </xdr:cNvSpPr>
      </xdr:nvSpPr>
      <xdr:spPr bwMode="auto">
        <a:xfrm>
          <a:off x="2681338" y="1245544"/>
          <a:ext cx="328406" cy="2251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2</xdr:col>
      <xdr:colOff>604626</xdr:colOff>
      <xdr:row>4</xdr:row>
      <xdr:rowOff>101811</xdr:rowOff>
    </xdr:from>
    <xdr:to>
      <xdr:col>2</xdr:col>
      <xdr:colOff>930926</xdr:colOff>
      <xdr:row>5</xdr:row>
      <xdr:rowOff>137577</xdr:rowOff>
    </xdr:to>
    <xdr:sp macro="" textlink="">
      <xdr:nvSpPr>
        <xdr:cNvPr id="41" name="Text Box 2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>
          <a:spLocks noChangeArrowheads="1"/>
        </xdr:cNvSpPr>
      </xdr:nvSpPr>
      <xdr:spPr bwMode="auto">
        <a:xfrm>
          <a:off x="2595351" y="749511"/>
          <a:ext cx="326300" cy="197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4</xdr:col>
      <xdr:colOff>420809</xdr:colOff>
      <xdr:row>5</xdr:row>
      <xdr:rowOff>36340</xdr:rowOff>
    </xdr:from>
    <xdr:to>
      <xdr:col>4</xdr:col>
      <xdr:colOff>941827</xdr:colOff>
      <xdr:row>6</xdr:row>
      <xdr:rowOff>104790</xdr:rowOff>
    </xdr:to>
    <xdr:sp macro="" textlink="">
      <xdr:nvSpPr>
        <xdr:cNvPr id="42" name="Text Box 248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>
          <a:spLocks noChangeArrowheads="1"/>
        </xdr:cNvSpPr>
      </xdr:nvSpPr>
      <xdr:spPr bwMode="auto">
        <a:xfrm>
          <a:off x="4830884" y="845965"/>
          <a:ext cx="521018" cy="230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>
    <xdr:from>
      <xdr:col>5</xdr:col>
      <xdr:colOff>681590</xdr:colOff>
      <xdr:row>20</xdr:row>
      <xdr:rowOff>92429</xdr:rowOff>
    </xdr:from>
    <xdr:to>
      <xdr:col>5</xdr:col>
      <xdr:colOff>1050728</xdr:colOff>
      <xdr:row>21</xdr:row>
      <xdr:rowOff>132267</xdr:rowOff>
    </xdr:to>
    <xdr:sp macro="" textlink="">
      <xdr:nvSpPr>
        <xdr:cNvPr id="43" name="Text Box 249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>
          <a:spLocks noChangeArrowheads="1"/>
        </xdr:cNvSpPr>
      </xdr:nvSpPr>
      <xdr:spPr bwMode="auto">
        <a:xfrm>
          <a:off x="6239220" y="3405472"/>
          <a:ext cx="369138" cy="2054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>
    <xdr:from>
      <xdr:col>1</xdr:col>
      <xdr:colOff>615609</xdr:colOff>
      <xdr:row>25</xdr:row>
      <xdr:rowOff>16697</xdr:rowOff>
    </xdr:from>
    <xdr:to>
      <xdr:col>1</xdr:col>
      <xdr:colOff>941178</xdr:colOff>
      <xdr:row>26</xdr:row>
      <xdr:rowOff>87108</xdr:rowOff>
    </xdr:to>
    <xdr:sp macro="" textlink="">
      <xdr:nvSpPr>
        <xdr:cNvPr id="45" name="Text Box 25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>
          <a:spLocks noChangeArrowheads="1"/>
        </xdr:cNvSpPr>
      </xdr:nvSpPr>
      <xdr:spPr bwMode="auto">
        <a:xfrm>
          <a:off x="1253370" y="4158001"/>
          <a:ext cx="325569" cy="2360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>
    <xdr:from>
      <xdr:col>1</xdr:col>
      <xdr:colOff>620109</xdr:colOff>
      <xdr:row>35</xdr:row>
      <xdr:rowOff>18502</xdr:rowOff>
    </xdr:from>
    <xdr:to>
      <xdr:col>1</xdr:col>
      <xdr:colOff>975998</xdr:colOff>
      <xdr:row>36</xdr:row>
      <xdr:rowOff>58189</xdr:rowOff>
    </xdr:to>
    <xdr:sp macro="" textlink="">
      <xdr:nvSpPr>
        <xdr:cNvPr id="46" name="Text Box 25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>
          <a:spLocks noChangeArrowheads="1"/>
        </xdr:cNvSpPr>
      </xdr:nvSpPr>
      <xdr:spPr bwMode="auto">
        <a:xfrm>
          <a:off x="1258284" y="5685877"/>
          <a:ext cx="355889" cy="201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>
    <xdr:from>
      <xdr:col>0</xdr:col>
      <xdr:colOff>248672</xdr:colOff>
      <xdr:row>28</xdr:row>
      <xdr:rowOff>99817</xdr:rowOff>
    </xdr:from>
    <xdr:to>
      <xdr:col>0</xdr:col>
      <xdr:colOff>496177</xdr:colOff>
      <xdr:row>29</xdr:row>
      <xdr:rowOff>147296</xdr:rowOff>
    </xdr:to>
    <xdr:sp macro="" textlink="">
      <xdr:nvSpPr>
        <xdr:cNvPr id="47" name="Text Box 25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>
          <a:spLocks noChangeArrowheads="1"/>
        </xdr:cNvSpPr>
      </xdr:nvSpPr>
      <xdr:spPr bwMode="auto">
        <a:xfrm>
          <a:off x="248672" y="4633717"/>
          <a:ext cx="247505" cy="2094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>
    <xdr:from>
      <xdr:col>1</xdr:col>
      <xdr:colOff>513058</xdr:colOff>
      <xdr:row>32</xdr:row>
      <xdr:rowOff>14364</xdr:rowOff>
    </xdr:from>
    <xdr:to>
      <xdr:col>1</xdr:col>
      <xdr:colOff>826519</xdr:colOff>
      <xdr:row>33</xdr:row>
      <xdr:rowOff>80087</xdr:rowOff>
    </xdr:to>
    <xdr:sp macro="" textlink="">
      <xdr:nvSpPr>
        <xdr:cNvPr id="48" name="Text Box 25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>
          <a:spLocks noChangeArrowheads="1"/>
        </xdr:cNvSpPr>
      </xdr:nvSpPr>
      <xdr:spPr bwMode="auto">
        <a:xfrm>
          <a:off x="1151233" y="5195964"/>
          <a:ext cx="313461" cy="2276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>
    <xdr:from>
      <xdr:col>1</xdr:col>
      <xdr:colOff>373551</xdr:colOff>
      <xdr:row>29</xdr:row>
      <xdr:rowOff>70727</xdr:rowOff>
    </xdr:from>
    <xdr:to>
      <xdr:col>1</xdr:col>
      <xdr:colOff>865344</xdr:colOff>
      <xdr:row>30</xdr:row>
      <xdr:rowOff>141637</xdr:rowOff>
    </xdr:to>
    <xdr:sp macro="" textlink="">
      <xdr:nvSpPr>
        <xdr:cNvPr id="49" name="Text Box 25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>
          <a:spLocks noChangeArrowheads="1"/>
        </xdr:cNvSpPr>
      </xdr:nvSpPr>
      <xdr:spPr bwMode="auto">
        <a:xfrm>
          <a:off x="1011726" y="4766552"/>
          <a:ext cx="491793" cy="2328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>
    <xdr:from>
      <xdr:col>3</xdr:col>
      <xdr:colOff>995933</xdr:colOff>
      <xdr:row>40</xdr:row>
      <xdr:rowOff>24379</xdr:rowOff>
    </xdr:from>
    <xdr:to>
      <xdr:col>4</xdr:col>
      <xdr:colOff>8382</xdr:colOff>
      <xdr:row>41</xdr:row>
      <xdr:rowOff>74707</xdr:rowOff>
    </xdr:to>
    <xdr:sp macro="" textlink="">
      <xdr:nvSpPr>
        <xdr:cNvPr id="50" name="Text Box 25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>
          <a:spLocks noChangeArrowheads="1"/>
        </xdr:cNvSpPr>
      </xdr:nvSpPr>
      <xdr:spPr bwMode="auto">
        <a:xfrm>
          <a:off x="4062983" y="6501379"/>
          <a:ext cx="355474" cy="2122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>
    <xdr:from>
      <xdr:col>5</xdr:col>
      <xdr:colOff>680852</xdr:colOff>
      <xdr:row>22</xdr:row>
      <xdr:rowOff>30506</xdr:rowOff>
    </xdr:from>
    <xdr:to>
      <xdr:col>5</xdr:col>
      <xdr:colOff>1092245</xdr:colOff>
      <xdr:row>23</xdr:row>
      <xdr:rowOff>102262</xdr:rowOff>
    </xdr:to>
    <xdr:sp macro="" textlink="">
      <xdr:nvSpPr>
        <xdr:cNvPr id="51" name="Text Box 26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>
          <a:spLocks noChangeArrowheads="1"/>
        </xdr:cNvSpPr>
      </xdr:nvSpPr>
      <xdr:spPr bwMode="auto">
        <a:xfrm>
          <a:off x="6238197" y="3643437"/>
          <a:ext cx="411393" cy="2359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μ</a:t>
          </a: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>
    <xdr:from>
      <xdr:col>1</xdr:col>
      <xdr:colOff>475307</xdr:colOff>
      <xdr:row>33</xdr:row>
      <xdr:rowOff>47050</xdr:rowOff>
    </xdr:from>
    <xdr:to>
      <xdr:col>1</xdr:col>
      <xdr:colOff>976607</xdr:colOff>
      <xdr:row>34</xdr:row>
      <xdr:rowOff>93389</xdr:rowOff>
    </xdr:to>
    <xdr:sp macro="" textlink="'Variable Management'!B442">
      <xdr:nvSpPr>
        <xdr:cNvPr id="52" name="Text Box 26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13482" y="5390575"/>
          <a:ext cx="501300" cy="208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491934A6-59AB-480F-A883-A2630DEA478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12nF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65780</xdr:colOff>
      <xdr:row>29</xdr:row>
      <xdr:rowOff>152907</xdr:rowOff>
    </xdr:from>
    <xdr:to>
      <xdr:col>0</xdr:col>
      <xdr:colOff>493109</xdr:colOff>
      <xdr:row>31</xdr:row>
      <xdr:rowOff>28938</xdr:rowOff>
    </xdr:to>
    <xdr:sp macro="" textlink="'Variable Management'!B443">
      <xdr:nvSpPr>
        <xdr:cNvPr id="53" name="Text Box 26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80" y="4848732"/>
          <a:ext cx="427329" cy="1998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308705</xdr:colOff>
      <xdr:row>36</xdr:row>
      <xdr:rowOff>59874</xdr:rowOff>
    </xdr:from>
    <xdr:to>
      <xdr:col>1</xdr:col>
      <xdr:colOff>915457</xdr:colOff>
      <xdr:row>37</xdr:row>
      <xdr:rowOff>101302</xdr:rowOff>
    </xdr:to>
    <xdr:sp macro="" textlink="'Variable Management'!B452">
      <xdr:nvSpPr>
        <xdr:cNvPr id="54" name="Text Box 26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946880" y="5889174"/>
          <a:ext cx="606752" cy="2033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1.69kΩ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331510</xdr:colOff>
      <xdr:row>6</xdr:row>
      <xdr:rowOff>15898</xdr:rowOff>
    </xdr:from>
    <xdr:to>
      <xdr:col>1</xdr:col>
      <xdr:colOff>150224</xdr:colOff>
      <xdr:row>7</xdr:row>
      <xdr:rowOff>105957</xdr:rowOff>
    </xdr:to>
    <xdr:sp macro="" textlink="'Variable Management'!B444">
      <xdr:nvSpPr>
        <xdr:cNvPr id="55" name="Text Box 26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31510" y="987448"/>
          <a:ext cx="399739" cy="251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8A5847E3-10F5-4FFF-8A55-57AE8AD8F48A}" type="TxLink">
            <a:rPr lang="el-GR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342427</xdr:colOff>
      <xdr:row>23</xdr:row>
      <xdr:rowOff>11119</xdr:rowOff>
    </xdr:from>
    <xdr:to>
      <xdr:col>1</xdr:col>
      <xdr:colOff>241897</xdr:colOff>
      <xdr:row>24</xdr:row>
      <xdr:rowOff>30597</xdr:rowOff>
    </xdr:to>
    <xdr:sp macro="" textlink="'Variable Management'!B449">
      <xdr:nvSpPr>
        <xdr:cNvPr id="56" name="Text Box 26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42427" y="3821119"/>
          <a:ext cx="537231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6C3BF70F-B67A-49A8-941F-82145361171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470pF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138114</xdr:colOff>
      <xdr:row>39</xdr:row>
      <xdr:rowOff>24182</xdr:rowOff>
    </xdr:from>
    <xdr:to>
      <xdr:col>2</xdr:col>
      <xdr:colOff>737223</xdr:colOff>
      <xdr:row>40</xdr:row>
      <xdr:rowOff>100589</xdr:rowOff>
    </xdr:to>
    <xdr:sp macro="" textlink="'Variable Management'!B451">
      <xdr:nvSpPr>
        <xdr:cNvPr id="58" name="Text Box 26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128839" y="6339257"/>
          <a:ext cx="599109" cy="238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871333</xdr:colOff>
      <xdr:row>28</xdr:row>
      <xdr:rowOff>94989</xdr:rowOff>
    </xdr:from>
    <xdr:to>
      <xdr:col>8</xdr:col>
      <xdr:colOff>238953</xdr:colOff>
      <xdr:row>29</xdr:row>
      <xdr:rowOff>153991</xdr:rowOff>
    </xdr:to>
    <xdr:sp macro="" textlink="'Variable Management'!B428">
      <xdr:nvSpPr>
        <xdr:cNvPr id="59" name="Text Box 26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453233" y="4628889"/>
          <a:ext cx="443945" cy="2209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93CAFF9C-D0F9-46B6-B2B7-EF65E2F3688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3mΩ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9</xdr:col>
      <xdr:colOff>152402</xdr:colOff>
      <xdr:row>12</xdr:row>
      <xdr:rowOff>50107</xdr:rowOff>
    </xdr:from>
    <xdr:to>
      <xdr:col>9</xdr:col>
      <xdr:colOff>720245</xdr:colOff>
      <xdr:row>13</xdr:row>
      <xdr:rowOff>96840</xdr:rowOff>
    </xdr:to>
    <xdr:sp macro="" textlink="'Variable Management'!B464">
      <xdr:nvSpPr>
        <xdr:cNvPr id="60" name="Text Box 27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9791702" y="1993207"/>
          <a:ext cx="567843" cy="208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B92BB06-DA54-414A-9DCD-8FA61A7BAA1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2.5mΩ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429021</xdr:colOff>
      <xdr:row>16</xdr:row>
      <xdr:rowOff>76214</xdr:rowOff>
    </xdr:from>
    <xdr:to>
      <xdr:col>1</xdr:col>
      <xdr:colOff>907105</xdr:colOff>
      <xdr:row>18</xdr:row>
      <xdr:rowOff>1354</xdr:rowOff>
    </xdr:to>
    <xdr:sp macro="" textlink="'Variable Management'!B460">
      <xdr:nvSpPr>
        <xdr:cNvPr id="61" name="Text Box 274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67196" y="2667014"/>
          <a:ext cx="478084" cy="248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0DC16DAA-59E9-44C1-A2D2-01ECF4509AE4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716970</xdr:colOff>
      <xdr:row>14</xdr:row>
      <xdr:rowOff>56268</xdr:rowOff>
    </xdr:from>
    <xdr:to>
      <xdr:col>8</xdr:col>
      <xdr:colOff>89785</xdr:colOff>
      <xdr:row>15</xdr:row>
      <xdr:rowOff>135004</xdr:rowOff>
    </xdr:to>
    <xdr:sp macro="" textlink="'Variable Management'!B426">
      <xdr:nvSpPr>
        <xdr:cNvPr id="62" name="Text Box 275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298870" y="2323218"/>
          <a:ext cx="449140" cy="2406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ED0F9337-3E5A-436B-8905-45EE6C1A24B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3.3µH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980756</xdr:colOff>
      <xdr:row>7</xdr:row>
      <xdr:rowOff>136396</xdr:rowOff>
    </xdr:from>
    <xdr:to>
      <xdr:col>3</xdr:col>
      <xdr:colOff>278958</xdr:colOff>
      <xdr:row>9</xdr:row>
      <xdr:rowOff>33148</xdr:rowOff>
    </xdr:to>
    <xdr:sp macro="" textlink="">
      <xdr:nvSpPr>
        <xdr:cNvPr id="64" name="Text Box 277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>
          <a:spLocks noChangeArrowheads="1"/>
        </xdr:cNvSpPr>
      </xdr:nvSpPr>
      <xdr:spPr bwMode="auto">
        <a:xfrm>
          <a:off x="2971481" y="1269871"/>
          <a:ext cx="374527" cy="22060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2.2Ω</a:t>
          </a:r>
        </a:p>
      </xdr:txBody>
    </xdr:sp>
    <xdr:clientData/>
  </xdr:twoCellAnchor>
  <xdr:twoCellAnchor>
    <xdr:from>
      <xdr:col>2</xdr:col>
      <xdr:colOff>997828</xdr:colOff>
      <xdr:row>4</xdr:row>
      <xdr:rowOff>118970</xdr:rowOff>
    </xdr:from>
    <xdr:to>
      <xdr:col>3</xdr:col>
      <xdr:colOff>294718</xdr:colOff>
      <xdr:row>6</xdr:row>
      <xdr:rowOff>1420</xdr:rowOff>
    </xdr:to>
    <xdr:sp macro="" textlink="">
      <xdr:nvSpPr>
        <xdr:cNvPr id="65" name="Text Box 278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>
          <a:spLocks noChangeArrowheads="1"/>
        </xdr:cNvSpPr>
      </xdr:nvSpPr>
      <xdr:spPr bwMode="auto">
        <a:xfrm>
          <a:off x="2988553" y="766670"/>
          <a:ext cx="373215" cy="20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0.1µF</a:t>
          </a:r>
        </a:p>
      </xdr:txBody>
    </xdr:sp>
    <xdr:clientData/>
  </xdr:twoCellAnchor>
  <xdr:twoCellAnchor>
    <xdr:from>
      <xdr:col>3</xdr:col>
      <xdr:colOff>869838</xdr:colOff>
      <xdr:row>5</xdr:row>
      <xdr:rowOff>157620</xdr:rowOff>
    </xdr:from>
    <xdr:to>
      <xdr:col>3</xdr:col>
      <xdr:colOff>1237172</xdr:colOff>
      <xdr:row>7</xdr:row>
      <xdr:rowOff>51606</xdr:rowOff>
    </xdr:to>
    <xdr:sp macro="" textlink="">
      <xdr:nvSpPr>
        <xdr:cNvPr id="66" name="Text Box 279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>
          <a:spLocks noChangeArrowheads="1"/>
        </xdr:cNvSpPr>
      </xdr:nvSpPr>
      <xdr:spPr bwMode="auto">
        <a:xfrm>
          <a:off x="3936888" y="967245"/>
          <a:ext cx="367334" cy="2178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554935</xdr:colOff>
      <xdr:row>26</xdr:row>
      <xdr:rowOff>53675</xdr:rowOff>
    </xdr:from>
    <xdr:to>
      <xdr:col>1</xdr:col>
      <xdr:colOff>982330</xdr:colOff>
      <xdr:row>27</xdr:row>
      <xdr:rowOff>107675</xdr:rowOff>
    </xdr:to>
    <xdr:sp macro="" textlink="'Variable Management'!B470">
      <xdr:nvSpPr>
        <xdr:cNvPr id="67" name="Text Box 281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192696" y="4360632"/>
          <a:ext cx="427395" cy="2196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330nF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183342</xdr:colOff>
      <xdr:row>11</xdr:row>
      <xdr:rowOff>45280</xdr:rowOff>
    </xdr:from>
    <xdr:to>
      <xdr:col>7</xdr:col>
      <xdr:colOff>1038225</xdr:colOff>
      <xdr:row>12</xdr:row>
      <xdr:rowOff>122378</xdr:rowOff>
    </xdr:to>
    <xdr:sp macro="" textlink="'Variable Management'!B475">
      <xdr:nvSpPr>
        <xdr:cNvPr id="68" name="Text Box 283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765242" y="1826455"/>
          <a:ext cx="854883" cy="239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CF96CF7C-BD7E-4CCA-B5EE-051D5ECE3C3A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5V...20V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496011</xdr:colOff>
      <xdr:row>19</xdr:row>
      <xdr:rowOff>38863</xdr:rowOff>
    </xdr:from>
    <xdr:to>
      <xdr:col>1</xdr:col>
      <xdr:colOff>159316</xdr:colOff>
      <xdr:row>20</xdr:row>
      <xdr:rowOff>104749</xdr:rowOff>
    </xdr:to>
    <xdr:sp macro="" textlink="">
      <xdr:nvSpPr>
        <xdr:cNvPr id="69" name="Text Box 251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>
          <a:spLocks noChangeArrowheads="1"/>
        </xdr:cNvSpPr>
      </xdr:nvSpPr>
      <xdr:spPr bwMode="auto">
        <a:xfrm>
          <a:off x="496011" y="3186254"/>
          <a:ext cx="301066" cy="231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>
    <xdr:from>
      <xdr:col>0</xdr:col>
      <xdr:colOff>377770</xdr:colOff>
      <xdr:row>20</xdr:row>
      <xdr:rowOff>80751</xdr:rowOff>
    </xdr:from>
    <xdr:to>
      <xdr:col>1</xdr:col>
      <xdr:colOff>252241</xdr:colOff>
      <xdr:row>21</xdr:row>
      <xdr:rowOff>137042</xdr:rowOff>
    </xdr:to>
    <xdr:sp macro="" textlink="'Variable Management'!B469">
      <xdr:nvSpPr>
        <xdr:cNvPr id="70" name="Text Box 281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77770" y="3393794"/>
          <a:ext cx="512232" cy="2219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84EB9262-B954-486D-9975-AAB24967BDA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12.7kΩ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796942</xdr:colOff>
      <xdr:row>4</xdr:row>
      <xdr:rowOff>118318</xdr:rowOff>
    </xdr:from>
    <xdr:to>
      <xdr:col>3</xdr:col>
      <xdr:colOff>1286666</xdr:colOff>
      <xdr:row>6</xdr:row>
      <xdr:rowOff>13165</xdr:rowOff>
    </xdr:to>
    <xdr:sp macro="" textlink="">
      <xdr:nvSpPr>
        <xdr:cNvPr id="71" name="Text Box 24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>
          <a:spLocks noChangeArrowheads="1"/>
        </xdr:cNvSpPr>
      </xdr:nvSpPr>
      <xdr:spPr bwMode="auto">
        <a:xfrm>
          <a:off x="3863992" y="766018"/>
          <a:ext cx="489724" cy="218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>
    <xdr:from>
      <xdr:col>5</xdr:col>
      <xdr:colOff>76508</xdr:colOff>
      <xdr:row>34</xdr:row>
      <xdr:rowOff>63521</xdr:rowOff>
    </xdr:from>
    <xdr:to>
      <xdr:col>5</xdr:col>
      <xdr:colOff>561776</xdr:colOff>
      <xdr:row>35</xdr:row>
      <xdr:rowOff>131086</xdr:rowOff>
    </xdr:to>
    <xdr:sp macro="" textlink="">
      <xdr:nvSpPr>
        <xdr:cNvPr id="72" name="Text Box 25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>
          <a:spLocks noChangeArrowheads="1"/>
        </xdr:cNvSpPr>
      </xdr:nvSpPr>
      <xdr:spPr bwMode="auto">
        <a:xfrm>
          <a:off x="5639108" y="5568971"/>
          <a:ext cx="485268" cy="2294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PGOOD</a:t>
          </a:r>
        </a:p>
      </xdr:txBody>
    </xdr:sp>
    <xdr:clientData/>
  </xdr:twoCellAnchor>
  <xdr:twoCellAnchor>
    <xdr:from>
      <xdr:col>5</xdr:col>
      <xdr:colOff>138771</xdr:colOff>
      <xdr:row>35</xdr:row>
      <xdr:rowOff>74703</xdr:rowOff>
    </xdr:from>
    <xdr:to>
      <xdr:col>5</xdr:col>
      <xdr:colOff>737568</xdr:colOff>
      <xdr:row>36</xdr:row>
      <xdr:rowOff>137829</xdr:rowOff>
    </xdr:to>
    <xdr:sp macro="" textlink="'Variable Management'!B466">
      <xdr:nvSpPr>
        <xdr:cNvPr id="75" name="Text Box 281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701371" y="5742078"/>
          <a:ext cx="598797" cy="2250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2B60B3D7-A35E-42EC-ADCF-A28C0EEDE92A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20kΩ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660744</xdr:colOff>
      <xdr:row>2</xdr:row>
      <xdr:rowOff>83758</xdr:rowOff>
    </xdr:from>
    <xdr:to>
      <xdr:col>3</xdr:col>
      <xdr:colOff>142704</xdr:colOff>
      <xdr:row>3</xdr:row>
      <xdr:rowOff>137564</xdr:rowOff>
    </xdr:to>
    <xdr:sp macro="" textlink="'Variable Management'!H213">
      <xdr:nvSpPr>
        <xdr:cNvPr id="77" name="Text Box 26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651469" y="407608"/>
          <a:ext cx="558285" cy="2157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123D91BC-1DE9-4CAD-9801-8A70C08E2402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76.8kΩ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</xdr:col>
      <xdr:colOff>742259</xdr:colOff>
      <xdr:row>1</xdr:row>
      <xdr:rowOff>51892</xdr:rowOff>
    </xdr:from>
    <xdr:to>
      <xdr:col>3</xdr:col>
      <xdr:colOff>72733</xdr:colOff>
      <xdr:row>2</xdr:row>
      <xdr:rowOff>84849</xdr:rowOff>
    </xdr:to>
    <xdr:sp macro="" textlink="">
      <xdr:nvSpPr>
        <xdr:cNvPr id="78" name="Text Box 25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2732984" y="213817"/>
          <a:ext cx="406799" cy="1948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UV2</a:t>
          </a:r>
        </a:p>
      </xdr:txBody>
    </xdr:sp>
    <xdr:clientData/>
  </xdr:twoCellAnchor>
  <xdr:twoCellAnchor>
    <xdr:from>
      <xdr:col>3</xdr:col>
      <xdr:colOff>767565</xdr:colOff>
      <xdr:row>2</xdr:row>
      <xdr:rowOff>104846</xdr:rowOff>
    </xdr:from>
    <xdr:to>
      <xdr:col>3</xdr:col>
      <xdr:colOff>1320774</xdr:colOff>
      <xdr:row>3</xdr:row>
      <xdr:rowOff>146368</xdr:rowOff>
    </xdr:to>
    <xdr:sp macro="" textlink="'Variable Management'!H212">
      <xdr:nvSpPr>
        <xdr:cNvPr id="79" name="Text Box 264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3834615" y="428696"/>
          <a:ext cx="553209" cy="20344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BC79D-87FA-43D3-B7A3-AC5513B978CE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249kΩ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907336</xdr:colOff>
      <xdr:row>1</xdr:row>
      <xdr:rowOff>55949</xdr:rowOff>
    </xdr:from>
    <xdr:to>
      <xdr:col>3</xdr:col>
      <xdr:colOff>1310539</xdr:colOff>
      <xdr:row>2</xdr:row>
      <xdr:rowOff>90786</xdr:rowOff>
    </xdr:to>
    <xdr:sp macro="" textlink="">
      <xdr:nvSpPr>
        <xdr:cNvPr id="80" name="Text Box 255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3974386" y="217874"/>
          <a:ext cx="403203" cy="1967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UV1</a:t>
          </a:r>
        </a:p>
      </xdr:txBody>
    </xdr:sp>
    <xdr:clientData/>
  </xdr:twoCellAnchor>
  <xdr:twoCellAnchor>
    <xdr:from>
      <xdr:col>7</xdr:col>
      <xdr:colOff>736760</xdr:colOff>
      <xdr:row>15</xdr:row>
      <xdr:rowOff>71843</xdr:rowOff>
    </xdr:from>
    <xdr:to>
      <xdr:col>8</xdr:col>
      <xdr:colOff>170918</xdr:colOff>
      <xdr:row>16</xdr:row>
      <xdr:rowOff>150126</xdr:rowOff>
    </xdr:to>
    <xdr:sp macro="" textlink="'Variable Management'!B427">
      <xdr:nvSpPr>
        <xdr:cNvPr id="81" name="Text Box 275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318660" y="2500718"/>
          <a:ext cx="510483" cy="2402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8F944446-DDAD-4884-A5E8-09BF985C0BD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7mΩ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955380</xdr:colOff>
      <xdr:row>37</xdr:row>
      <xdr:rowOff>90714</xdr:rowOff>
    </xdr:from>
    <xdr:to>
      <xdr:col>5</xdr:col>
      <xdr:colOff>134259</xdr:colOff>
      <xdr:row>38</xdr:row>
      <xdr:rowOff>146676</xdr:rowOff>
    </xdr:to>
    <xdr:sp macro="" textlink="">
      <xdr:nvSpPr>
        <xdr:cNvPr id="82" name="Text Box 245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5365455" y="6081939"/>
          <a:ext cx="331404" cy="21788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>
    <xdr:from>
      <xdr:col>1</xdr:col>
      <xdr:colOff>379931</xdr:colOff>
      <xdr:row>30</xdr:row>
      <xdr:rowOff>84193</xdr:rowOff>
    </xdr:from>
    <xdr:to>
      <xdr:col>1</xdr:col>
      <xdr:colOff>939469</xdr:colOff>
      <xdr:row>31</xdr:row>
      <xdr:rowOff>120656</xdr:rowOff>
    </xdr:to>
    <xdr:sp macro="" textlink="'Variable Management'!B441">
      <xdr:nvSpPr>
        <xdr:cNvPr id="85" name="Text Box 268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18106" y="4941943"/>
          <a:ext cx="559538" cy="1983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4B33C4C3-0115-4071-92DE-EA7C9B86DB41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68.1kΩ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398601</xdr:colOff>
      <xdr:row>14</xdr:row>
      <xdr:rowOff>62329</xdr:rowOff>
    </xdr:from>
    <xdr:to>
      <xdr:col>6</xdr:col>
      <xdr:colOff>586155</xdr:colOff>
      <xdr:row>15</xdr:row>
      <xdr:rowOff>117096</xdr:rowOff>
    </xdr:to>
    <xdr:sp macro="" textlink="">
      <xdr:nvSpPr>
        <xdr:cNvPr id="87" name="Text Box 234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328860" y="2361467"/>
          <a:ext cx="187554" cy="2189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6</xdr:col>
      <xdr:colOff>382198</xdr:colOff>
      <xdr:row>21</xdr:row>
      <xdr:rowOff>60849</xdr:rowOff>
    </xdr:from>
    <xdr:to>
      <xdr:col>6</xdr:col>
      <xdr:colOff>569752</xdr:colOff>
      <xdr:row>22</xdr:row>
      <xdr:rowOff>118648</xdr:rowOff>
    </xdr:to>
    <xdr:sp macro="" textlink="">
      <xdr:nvSpPr>
        <xdr:cNvPr id="88" name="Text Box 23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7312457" y="3509556"/>
          <a:ext cx="187554" cy="2220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7</xdr:col>
      <xdr:colOff>236598</xdr:colOff>
      <xdr:row>20</xdr:row>
      <xdr:rowOff>126296</xdr:rowOff>
    </xdr:from>
    <xdr:to>
      <xdr:col>7</xdr:col>
      <xdr:colOff>642752</xdr:colOff>
      <xdr:row>22</xdr:row>
      <xdr:rowOff>11441</xdr:rowOff>
    </xdr:to>
    <xdr:sp macro="" textlink="'Variable Management'!B439">
      <xdr:nvSpPr>
        <xdr:cNvPr id="92" name="Text Box 276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817184" y="3410779"/>
          <a:ext cx="406154" cy="2135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F7819C42-9D73-4A1D-B514-80CDFD54256D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10 x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1246665</xdr:colOff>
      <xdr:row>12</xdr:row>
      <xdr:rowOff>149462</xdr:rowOff>
    </xdr:from>
    <xdr:to>
      <xdr:col>2</xdr:col>
      <xdr:colOff>157529</xdr:colOff>
      <xdr:row>14</xdr:row>
      <xdr:rowOff>35568</xdr:rowOff>
    </xdr:to>
    <xdr:sp macro="" textlink="">
      <xdr:nvSpPr>
        <xdr:cNvPr id="94" name="Text Box 259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1884840" y="2092562"/>
          <a:ext cx="263414" cy="2099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U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7</xdr:col>
      <xdr:colOff>1063737</xdr:colOff>
      <xdr:row>21</xdr:row>
      <xdr:rowOff>145566</xdr:rowOff>
    </xdr:from>
    <xdr:to>
      <xdr:col>8</xdr:col>
      <xdr:colOff>391049</xdr:colOff>
      <xdr:row>23</xdr:row>
      <xdr:rowOff>33474</xdr:rowOff>
    </xdr:to>
    <xdr:sp macro="" textlink="'Variable Management'!B434">
      <xdr:nvSpPr>
        <xdr:cNvPr id="95" name="Text Box 276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644323" y="3594273"/>
          <a:ext cx="404623" cy="2163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85D3738-5ABE-4B4E-B06A-00C3820FCB43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22µF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1055995</xdr:colOff>
      <xdr:row>20</xdr:row>
      <xdr:rowOff>136150</xdr:rowOff>
    </xdr:from>
    <xdr:to>
      <xdr:col>8</xdr:col>
      <xdr:colOff>383307</xdr:colOff>
      <xdr:row>22</xdr:row>
      <xdr:rowOff>22694</xdr:rowOff>
    </xdr:to>
    <xdr:sp macro="" textlink="'Variable Management'!B435">
      <xdr:nvSpPr>
        <xdr:cNvPr id="96" name="Text Box 276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636581" y="3420633"/>
          <a:ext cx="404623" cy="2149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55A5E480-A149-4617-A245-D5E398CDA407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28 x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714753</xdr:colOff>
      <xdr:row>24</xdr:row>
      <xdr:rowOff>130910</xdr:rowOff>
    </xdr:from>
    <xdr:to>
      <xdr:col>5</xdr:col>
      <xdr:colOff>1237179</xdr:colOff>
      <xdr:row>26</xdr:row>
      <xdr:rowOff>38166</xdr:rowOff>
    </xdr:to>
    <xdr:sp macro="" textlink="">
      <xdr:nvSpPr>
        <xdr:cNvPr id="93" name="Text Box 248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6273271" y="4049767"/>
          <a:ext cx="522426" cy="2338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>
    <xdr:from>
      <xdr:col>8</xdr:col>
      <xdr:colOff>534347</xdr:colOff>
      <xdr:row>14</xdr:row>
      <xdr:rowOff>72993</xdr:rowOff>
    </xdr:from>
    <xdr:to>
      <xdr:col>8</xdr:col>
      <xdr:colOff>721901</xdr:colOff>
      <xdr:row>15</xdr:row>
      <xdr:rowOff>127760</xdr:rowOff>
    </xdr:to>
    <xdr:sp macro="" textlink="">
      <xdr:nvSpPr>
        <xdr:cNvPr id="97" name="Text Box 234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9192244" y="2372131"/>
          <a:ext cx="187554" cy="2189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8</xdr:col>
      <xdr:colOff>545862</xdr:colOff>
      <xdr:row>21</xdr:row>
      <xdr:rowOff>55234</xdr:rowOff>
    </xdr:from>
    <xdr:to>
      <xdr:col>8</xdr:col>
      <xdr:colOff>733416</xdr:colOff>
      <xdr:row>22</xdr:row>
      <xdr:rowOff>113033</xdr:rowOff>
    </xdr:to>
    <xdr:sp macro="" textlink="">
      <xdr:nvSpPr>
        <xdr:cNvPr id="98" name="Text Box 234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9201188" y="3533930"/>
          <a:ext cx="187554" cy="2234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5</xdr:col>
      <xdr:colOff>770091</xdr:colOff>
      <xdr:row>29</xdr:row>
      <xdr:rowOff>48773</xdr:rowOff>
    </xdr:from>
    <xdr:to>
      <xdr:col>5</xdr:col>
      <xdr:colOff>1136667</xdr:colOff>
      <xdr:row>30</xdr:row>
      <xdr:rowOff>110312</xdr:rowOff>
    </xdr:to>
    <xdr:sp macro="" textlink="">
      <xdr:nvSpPr>
        <xdr:cNvPr id="99" name="Text Box 27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6332691" y="4744598"/>
          <a:ext cx="366576" cy="2234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</xdr:col>
      <xdr:colOff>739057</xdr:colOff>
      <xdr:row>28</xdr:row>
      <xdr:rowOff>10125</xdr:rowOff>
    </xdr:from>
    <xdr:to>
      <xdr:col>5</xdr:col>
      <xdr:colOff>1228023</xdr:colOff>
      <xdr:row>29</xdr:row>
      <xdr:rowOff>64929</xdr:rowOff>
    </xdr:to>
    <xdr:sp macro="" textlink="">
      <xdr:nvSpPr>
        <xdr:cNvPr id="100" name="Text Box 247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6301657" y="4544025"/>
          <a:ext cx="488966" cy="2167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>
    <xdr:from>
      <xdr:col>4</xdr:col>
      <xdr:colOff>956346</xdr:colOff>
      <xdr:row>42</xdr:row>
      <xdr:rowOff>10652</xdr:rowOff>
    </xdr:from>
    <xdr:to>
      <xdr:col>5</xdr:col>
      <xdr:colOff>168728</xdr:colOff>
      <xdr:row>43</xdr:row>
      <xdr:rowOff>69644</xdr:rowOff>
    </xdr:to>
    <xdr:sp macro="" textlink="">
      <xdr:nvSpPr>
        <xdr:cNvPr id="101" name="Text Box 245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5366421" y="6811502"/>
          <a:ext cx="364907" cy="220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CSG</a:t>
          </a:r>
        </a:p>
      </xdr:txBody>
    </xdr:sp>
    <xdr:clientData/>
  </xdr:twoCellAnchor>
  <xdr:twoCellAnchor>
    <xdr:from>
      <xdr:col>4</xdr:col>
      <xdr:colOff>938047</xdr:colOff>
      <xdr:row>43</xdr:row>
      <xdr:rowOff>43495</xdr:rowOff>
    </xdr:from>
    <xdr:to>
      <xdr:col>5</xdr:col>
      <xdr:colOff>158314</xdr:colOff>
      <xdr:row>44</xdr:row>
      <xdr:rowOff>66371</xdr:rowOff>
    </xdr:to>
    <xdr:sp macro="" textlink="">
      <xdr:nvSpPr>
        <xdr:cNvPr id="103" name="Text Box 277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>
          <a:spLocks noChangeArrowheads="1"/>
        </xdr:cNvSpPr>
      </xdr:nvSpPr>
      <xdr:spPr bwMode="auto">
        <a:xfrm>
          <a:off x="5348122" y="7006270"/>
          <a:ext cx="372792" cy="2229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Ω</a:t>
          </a:r>
        </a:p>
      </xdr:txBody>
    </xdr:sp>
    <xdr:clientData/>
  </xdr:twoCellAnchor>
  <xdr:twoCellAnchor>
    <xdr:from>
      <xdr:col>2</xdr:col>
      <xdr:colOff>127802</xdr:colOff>
      <xdr:row>7</xdr:row>
      <xdr:rowOff>69925</xdr:rowOff>
    </xdr:from>
    <xdr:to>
      <xdr:col>2</xdr:col>
      <xdr:colOff>561808</xdr:colOff>
      <xdr:row>8</xdr:row>
      <xdr:rowOff>143499</xdr:rowOff>
    </xdr:to>
    <xdr:sp macro="" textlink="">
      <xdr:nvSpPr>
        <xdr:cNvPr id="104" name="Text Box 248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>
          <a:spLocks noChangeArrowheads="1"/>
        </xdr:cNvSpPr>
      </xdr:nvSpPr>
      <xdr:spPr bwMode="auto">
        <a:xfrm>
          <a:off x="2118527" y="1203400"/>
          <a:ext cx="434006" cy="2354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>
    <xdr:from>
      <xdr:col>4</xdr:col>
      <xdr:colOff>903979</xdr:colOff>
      <xdr:row>39</xdr:row>
      <xdr:rowOff>8956</xdr:rowOff>
    </xdr:from>
    <xdr:to>
      <xdr:col>5</xdr:col>
      <xdr:colOff>123188</xdr:colOff>
      <xdr:row>40</xdr:row>
      <xdr:rowOff>72374</xdr:rowOff>
    </xdr:to>
    <xdr:sp macro="" textlink="">
      <xdr:nvSpPr>
        <xdr:cNvPr id="73" name="Text Box 277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>
          <a:spLocks noChangeArrowheads="1"/>
        </xdr:cNvSpPr>
      </xdr:nvSpPr>
      <xdr:spPr bwMode="auto">
        <a:xfrm>
          <a:off x="5314054" y="6324031"/>
          <a:ext cx="371734" cy="2253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</a:t>
          </a: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Ω</a:t>
          </a:r>
        </a:p>
      </xdr:txBody>
    </xdr:sp>
    <xdr:clientData/>
  </xdr:twoCellAnchor>
  <xdr:twoCellAnchor>
    <xdr:from>
      <xdr:col>3</xdr:col>
      <xdr:colOff>190500</xdr:colOff>
      <xdr:row>22</xdr:row>
      <xdr:rowOff>15240</xdr:rowOff>
    </xdr:from>
    <xdr:to>
      <xdr:col>4</xdr:col>
      <xdr:colOff>38100</xdr:colOff>
      <xdr:row>25</xdr:row>
      <xdr:rowOff>38100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 bwMode="auto">
        <a:xfrm>
          <a:off x="3345180" y="3703320"/>
          <a:ext cx="1226820" cy="525780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  <xdr:txBody>
        <a:bodyPr vertOverflow="clip" horzOverflow="clip" wrap="square" lIns="27432" tIns="27432" rIns="0" bIns="0" rtlCol="0" anchor="ctr" upright="1"/>
        <a:lstStyle/>
        <a:p>
          <a:pPr algn="ctr" rtl="0"/>
          <a:r>
            <a:rPr lang="en-US" sz="2000" b="1" i="0" strike="noStrike">
              <a:solidFill>
                <a:srgbClr val="FF0000"/>
              </a:solidFill>
              <a:latin typeface="Calibri"/>
            </a:rPr>
            <a:t>LM5176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152400</xdr:rowOff>
    </xdr:from>
    <xdr:to>
      <xdr:col>1</xdr:col>
      <xdr:colOff>600075</xdr:colOff>
      <xdr:row>2</xdr:row>
      <xdr:rowOff>85676</xdr:rowOff>
    </xdr:to>
    <xdr:pic>
      <xdr:nvPicPr>
        <xdr:cNvPr id="2" name="Picture 1" descr="ti 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"/>
          <a:ext cx="2314575" cy="2952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200025</xdr:colOff>
      <xdr:row>0</xdr:row>
      <xdr:rowOff>114300</xdr:rowOff>
    </xdr:from>
    <xdr:ext cx="3752850" cy="38170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914525" y="114300"/>
          <a:ext cx="375285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600">
              <a:latin typeface="Arial Black" panose="020B0A04020102020204" pitchFamily="34" charset="0"/>
            </a:rPr>
            <a:t>About this tool...</a:t>
          </a:r>
        </a:p>
      </xdr:txBody>
    </xdr:sp>
    <xdr:clientData/>
  </xdr:oneCellAnchor>
  <xdr:oneCellAnchor>
    <xdr:from>
      <xdr:col>3</xdr:col>
      <xdr:colOff>323850</xdr:colOff>
      <xdr:row>1</xdr:row>
      <xdr:rowOff>28575</xdr:rowOff>
    </xdr:from>
    <xdr:ext cx="4641014" cy="254557"/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419850" y="209550"/>
          <a:ext cx="464101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i="0" u="none" strike="noStrike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  <a:hlinkClick xmlns:r="http://schemas.openxmlformats.org/officeDocument/2006/relationships" r:id=""/>
            </a:rPr>
            <a:t>© Copyright 2026</a:t>
          </a:r>
          <a:r>
            <a:rPr lang="en-US" sz="1100" b="0" i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Texas Instruments Incorporated. All rights reserved.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95247</xdr:colOff>
      <xdr:row>6</xdr:row>
      <xdr:rowOff>47623</xdr:rowOff>
    </xdr:from>
    <xdr:ext cx="11229977" cy="418147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5247" y="1114423"/>
          <a:ext cx="11229977" cy="41814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IMPORTANT NOTICE AND DISCLAIMER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PROVIDES TECHNICAL AND RELIABILITY DATA (INCLUDING DATA SHEETS), DESIGN RESOURCES (INCLUDING REFERENCE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DESIGNS), APPLICATION OR OTHER DESIGN ADVICE, WEB TOOLS, SAFETY INFORMATION, AND OTHER RESOURCES “AS IS”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AND WITH ALL FAULTS, AND DISCLAIMS ALL WARRANTIES, EXPRESS AND IMPLIED, INCLUDING WITHOUT LIMITATION ANY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IMPLIED WARRANTIES OF MERCHANTABILITY, FITNESS FOR A PARTICULAR PURPOSE OR NON-INFRINGEMENT OF THIRD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PARTY INTELLECTUAL PROPERTY RIGHTS.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These resources are intended for skilled developers designing with TI products. You are solely responsible for (1) selecting the appropriate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products for your application, (2) designing, validating and testing your application, and (3) ensuring your application meets applicable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standards, and any other safety, security, regulatory or other requirements.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These resources are subject to change without notice. TI grants you permission to use these resources only for development of an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application that uses the TI products described in the resource. Other reproduction and display of these resources is prohibited. No license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is granted to any other TI intellectual property right or to any third party intellectual property right. TI disclaims responsibility for, and you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will fully indemnify TI and its representatives against, any claims, damages, costs, losses, and liabilities arising out of your use of these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resources.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TI’s products are provided subject to TI’s Terms of Sale or other applicable terms available either on ti.com or provided in conjunction with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such TI products. TI’s provision of these resources does not expand or otherwise alter TI’s applicable warranties or warranty disclaimers for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products.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TI objects to and rejects any additional or different terms you may have proposed. IMPORTANT NOTICE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Mailing Address: Texas Instruments, Post Office Box 655303, Dallas, Texas 75265</a:t>
          </a:r>
          <a: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/>
          </a:r>
          <a:br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</a:br>
          <a:r>
            <a:rPr kumimoji="0" 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Copyright © 2026, Texas Instruments Incorporated</a:t>
          </a:r>
          <a:endParaRPr kumimoji="0" lang="en-US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95247</xdr:colOff>
      <xdr:row>30</xdr:row>
      <xdr:rowOff>28575</xdr:rowOff>
    </xdr:from>
    <xdr:ext cx="11229977" cy="6477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47" y="5438775"/>
          <a:ext cx="11229977" cy="6477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  </a:t>
          </a:r>
          <a:endParaRPr lang="en-US" sz="800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 Do not delete this worksheet!</a:t>
          </a:r>
          <a:endParaRPr lang="en-US" sz="800">
            <a:effectLst/>
          </a:endParaRPr>
        </a:p>
        <a:p>
          <a:pPr eaLnBrk="1" fontAlgn="auto" latinLnBrk="0" hangingPunct="1"/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 Redistributions must retain the above copyright and the following disclaimer.</a:t>
          </a:r>
          <a:endParaRPr lang="en-US" sz="800">
            <a:effectLst/>
          </a:endParaRPr>
        </a:p>
        <a:p>
          <a:endParaRPr lang="en-US" sz="800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564696</xdr:colOff>
      <xdr:row>107</xdr:row>
      <xdr:rowOff>123652</xdr:rowOff>
    </xdr:from>
    <xdr:to>
      <xdr:col>9</xdr:col>
      <xdr:colOff>564696</xdr:colOff>
      <xdr:row>136</xdr:row>
      <xdr:rowOff>141527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696" y="18125902"/>
          <a:ext cx="5510893" cy="47531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564696</xdr:colOff>
      <xdr:row>137</xdr:row>
      <xdr:rowOff>138794</xdr:rowOff>
    </xdr:from>
    <xdr:to>
      <xdr:col>9</xdr:col>
      <xdr:colOff>564696</xdr:colOff>
      <xdr:row>166</xdr:row>
      <xdr:rowOff>136279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696" y="23039615"/>
          <a:ext cx="5510893" cy="4732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564696</xdr:colOff>
      <xdr:row>34</xdr:row>
      <xdr:rowOff>51297</xdr:rowOff>
    </xdr:from>
    <xdr:to>
      <xdr:col>9</xdr:col>
      <xdr:colOff>540203</xdr:colOff>
      <xdr:row>56</xdr:row>
      <xdr:rowOff>136448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696" y="6133690"/>
          <a:ext cx="5486400" cy="3677437"/>
        </a:xfrm>
        <a:prstGeom prst="rect">
          <a:avLst/>
        </a:prstGeom>
      </xdr:spPr>
    </xdr:pic>
    <xdr:clientData/>
  </xdr:twoCellAnchor>
  <xdr:twoCellAnchor editAs="oneCell">
    <xdr:from>
      <xdr:col>0</xdr:col>
      <xdr:colOff>564696</xdr:colOff>
      <xdr:row>82</xdr:row>
      <xdr:rowOff>128683</xdr:rowOff>
    </xdr:from>
    <xdr:to>
      <xdr:col>9</xdr:col>
      <xdr:colOff>540203</xdr:colOff>
      <xdr:row>106</xdr:row>
      <xdr:rowOff>126387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696" y="14048790"/>
          <a:ext cx="5486400" cy="3916561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9</xdr:row>
      <xdr:rowOff>12307</xdr:rowOff>
    </xdr:from>
    <xdr:to>
      <xdr:col>20</xdr:col>
      <xdr:colOff>88900</xdr:colOff>
      <xdr:row>34</xdr:row>
      <xdr:rowOff>139706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384" t="7673" r="5497" b="7948"/>
        <a:stretch/>
      </xdr:blipFill>
      <xdr:spPr>
        <a:xfrm>
          <a:off x="7302500" y="1980807"/>
          <a:ext cx="5486400" cy="4096149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35</xdr:row>
      <xdr:rowOff>153607</xdr:rowOff>
    </xdr:from>
    <xdr:to>
      <xdr:col>20</xdr:col>
      <xdr:colOff>63873</xdr:colOff>
      <xdr:row>68</xdr:row>
      <xdr:rowOff>64167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4" t="3892" r="994" b="4124"/>
        <a:stretch/>
      </xdr:blipFill>
      <xdr:spPr>
        <a:xfrm>
          <a:off x="7296150" y="6249607"/>
          <a:ext cx="5467723" cy="514931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69</xdr:row>
      <xdr:rowOff>78068</xdr:rowOff>
    </xdr:from>
    <xdr:to>
      <xdr:col>20</xdr:col>
      <xdr:colOff>63873</xdr:colOff>
      <xdr:row>100</xdr:row>
      <xdr:rowOff>62923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8" t="6200" r="277" b="3403"/>
        <a:stretch/>
      </xdr:blipFill>
      <xdr:spPr>
        <a:xfrm>
          <a:off x="7296150" y="11571568"/>
          <a:ext cx="5467723" cy="49061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9</xdr:row>
      <xdr:rowOff>10102</xdr:rowOff>
    </xdr:from>
    <xdr:to>
      <xdr:col>33</xdr:col>
      <xdr:colOff>259771</xdr:colOff>
      <xdr:row>38</xdr:row>
      <xdr:rowOff>14251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" t="3176" r="2120" b="4976"/>
        <a:stretch/>
      </xdr:blipFill>
      <xdr:spPr>
        <a:xfrm>
          <a:off x="13975771" y="1978602"/>
          <a:ext cx="6826250" cy="4607899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38</xdr:row>
      <xdr:rowOff>153610</xdr:rowOff>
    </xdr:from>
    <xdr:to>
      <xdr:col>33</xdr:col>
      <xdr:colOff>252695</xdr:colOff>
      <xdr:row>68</xdr:row>
      <xdr:rowOff>49701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67" t="10113" r="4940" b="8223"/>
        <a:stretch/>
      </xdr:blipFill>
      <xdr:spPr>
        <a:xfrm>
          <a:off x="13975771" y="6725860"/>
          <a:ext cx="6819174" cy="4658591"/>
        </a:xfrm>
        <a:prstGeom prst="rect">
          <a:avLst/>
        </a:prstGeom>
      </xdr:spPr>
    </xdr:pic>
    <xdr:clientData/>
  </xdr:twoCellAnchor>
  <xdr:twoCellAnchor editAs="oneCell">
    <xdr:from>
      <xdr:col>22</xdr:col>
      <xdr:colOff>69271</xdr:colOff>
      <xdr:row>69</xdr:row>
      <xdr:rowOff>27423</xdr:rowOff>
    </xdr:from>
    <xdr:to>
      <xdr:col>33</xdr:col>
      <xdr:colOff>259771</xdr:colOff>
      <xdr:row>98</xdr:row>
      <xdr:rowOff>109158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42" t="8673" r="3293" b="4723"/>
        <a:stretch/>
      </xdr:blipFill>
      <xdr:spPr>
        <a:xfrm>
          <a:off x="13975771" y="11520923"/>
          <a:ext cx="6826250" cy="4685485"/>
        </a:xfrm>
        <a:prstGeom prst="rect">
          <a:avLst/>
        </a:prstGeom>
      </xdr:spPr>
    </xdr:pic>
    <xdr:clientData/>
  </xdr:twoCellAnchor>
  <xdr:twoCellAnchor editAs="oneCell">
    <xdr:from>
      <xdr:col>0</xdr:col>
      <xdr:colOff>559596</xdr:colOff>
      <xdr:row>9</xdr:row>
      <xdr:rowOff>83343</xdr:rowOff>
    </xdr:from>
    <xdr:to>
      <xdr:col>9</xdr:col>
      <xdr:colOff>500062</xdr:colOff>
      <xdr:row>33</xdr:row>
      <xdr:rowOff>35718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58" t="7197" r="4310" b="7455"/>
        <a:stretch/>
      </xdr:blipFill>
      <xdr:spPr>
        <a:xfrm>
          <a:off x="559596" y="2107406"/>
          <a:ext cx="5405435" cy="3952875"/>
        </a:xfrm>
        <a:prstGeom prst="rect">
          <a:avLst/>
        </a:prstGeom>
      </xdr:spPr>
    </xdr:pic>
    <xdr:clientData/>
  </xdr:twoCellAnchor>
  <xdr:twoCellAnchor editAs="oneCell">
    <xdr:from>
      <xdr:col>0</xdr:col>
      <xdr:colOff>567877</xdr:colOff>
      <xdr:row>58</xdr:row>
      <xdr:rowOff>59530</xdr:rowOff>
    </xdr:from>
    <xdr:to>
      <xdr:col>9</xdr:col>
      <xdr:colOff>521805</xdr:colOff>
      <xdr:row>81</xdr:row>
      <xdr:rowOff>113822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16" t="10975" r="8251" b="10033"/>
        <a:stretch/>
      </xdr:blipFill>
      <xdr:spPr>
        <a:xfrm>
          <a:off x="567877" y="10189160"/>
          <a:ext cx="5470145" cy="38642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809625</xdr:colOff>
      <xdr:row>24</xdr:row>
      <xdr:rowOff>66675</xdr:rowOff>
    </xdr:from>
    <xdr:to>
      <xdr:col>19</xdr:col>
      <xdr:colOff>190500</xdr:colOff>
      <xdr:row>55</xdr:row>
      <xdr:rowOff>0</xdr:rowOff>
    </xdr:to>
    <xdr:grpSp>
      <xdr:nvGrpSpPr>
        <xdr:cNvPr id="2" name="Group 1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10896600" y="4181475"/>
          <a:ext cx="6229350" cy="5010150"/>
          <a:chOff x="3209925" y="19650076"/>
          <a:chExt cx="5619750" cy="5910101"/>
        </a:xfrm>
      </xdr:grpSpPr>
      <xdr:pic>
        <xdr:nvPicPr>
          <xdr:cNvPr id="3" name="Picture 11" descr="Error amp - no ref des.tif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3209925" y="19659867"/>
            <a:ext cx="5619750" cy="590031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$A$442">
        <xdr:nvSpPr>
          <xdr:cNvPr id="4" name="Text Box 5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400675" y="23797353"/>
            <a:ext cx="961159" cy="2876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646744A9-B6E0-4B97-A665-5D50832E7F13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l" rtl="0">
                <a:defRPr sz="1000"/>
              </a:pPr>
              <a:t>CC1 = 12nF</a:t>
            </a:fld>
            <a:endParaRPr lang="en-US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#REF!">
        <xdr:nvSpPr>
          <xdr:cNvPr id="5" name="Text Box 6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3322493" y="23862299"/>
            <a:ext cx="805295" cy="55668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872494E3-3BCB-4B8A-8556-319E6FBD4F6C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 </a:t>
            </a:fld>
            <a:endParaRPr lang="en-US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51">
        <xdr:nvSpPr>
          <xdr:cNvPr id="6" name="Text Box 9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539470" y="20865497"/>
            <a:ext cx="909205" cy="52884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52D31661-C732-4DB5-B625-AC6B80EEA28C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RFB1 = 100kΩ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52">
        <xdr:nvSpPr>
          <xdr:cNvPr id="7" name="Text Box 10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565449" y="22257201"/>
            <a:ext cx="917864" cy="32473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49F0D989-1BAE-4B3F-9979-B5F5B92776AD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RFB2 = 1.69kΩ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41">
        <xdr:nvSpPr>
          <xdr:cNvPr id="8" name="Text Box 4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5314083" y="22860271"/>
            <a:ext cx="874568" cy="4175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fld id="{899FBA2F-0000-4A1A-AACB-0C4C45759FAE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l" rtl="0">
                <a:defRPr sz="1000"/>
              </a:pPr>
              <a:t>RC1 = 68.1kΩ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A$431">
        <xdr:nvSpPr>
          <xdr:cNvPr id="9" name="Text Box 9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452880" y="19650076"/>
            <a:ext cx="1082386" cy="31545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r" rtl="0">
              <a:defRPr sz="1000"/>
            </a:pPr>
            <a:fld id="{97BF0309-416E-405E-B585-4983CCA02D3E}" type="TxLink">
              <a:rPr lang="en-US" sz="1000" b="1" i="0" u="none" strike="noStrike" baseline="0">
                <a:solidFill>
                  <a:srgbClr val="000000"/>
                </a:solidFill>
                <a:latin typeface="Arialri"/>
                <a:cs typeface="Arial"/>
              </a:rPr>
              <a:pPr algn="r" rtl="0">
                <a:defRPr sz="1000"/>
              </a:pPr>
              <a:t>VOUT = 48V</a:t>
            </a:fld>
            <a:endParaRPr lang="el-GR" sz="10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13</xdr:col>
      <xdr:colOff>66675</xdr:colOff>
      <xdr:row>16</xdr:row>
      <xdr:rowOff>152401</xdr:rowOff>
    </xdr:from>
    <xdr:to>
      <xdr:col>14</xdr:col>
      <xdr:colOff>504825</xdr:colOff>
      <xdr:row>18</xdr:row>
      <xdr:rowOff>95251</xdr:rowOff>
    </xdr:to>
    <xdr:sp macro="" textlink="$A$445">
      <xdr:nvSpPr>
        <xdr:cNvPr id="10" name="Text Box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173075" y="2647951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DCFBE156-977E-4C45-9B24-0A2E6E91FFAB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gm = 1.27mS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95250</xdr:colOff>
      <xdr:row>21</xdr:row>
      <xdr:rowOff>0</xdr:rowOff>
    </xdr:from>
    <xdr:to>
      <xdr:col>14</xdr:col>
      <xdr:colOff>533400</xdr:colOff>
      <xdr:row>23</xdr:row>
      <xdr:rowOff>104775</xdr:rowOff>
    </xdr:to>
    <xdr:sp macro="" textlink="$A$446">
      <xdr:nvSpPr>
        <xdr:cNvPr id="11" name="Text Box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201650" y="3267075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4772262A-5BC4-4AF8-A8E2-DF3959B443C1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RoEA = 20MΩ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95250</xdr:colOff>
      <xdr:row>19</xdr:row>
      <xdr:rowOff>0</xdr:rowOff>
    </xdr:from>
    <xdr:to>
      <xdr:col>14</xdr:col>
      <xdr:colOff>533400</xdr:colOff>
      <xdr:row>20</xdr:row>
      <xdr:rowOff>104775</xdr:rowOff>
    </xdr:to>
    <xdr:sp macro="" textlink="$A$447">
      <xdr:nvSpPr>
        <xdr:cNvPr id="12" name="Text Box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201650" y="2981325"/>
          <a:ext cx="96202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6540ECFD-AAA0-44C8-8BEA-3C65071BF767}" type="TxLink">
            <a:rPr lang="en-US" sz="1000" b="1" i="0" u="none" strike="noStrike" baseline="0">
              <a:solidFill>
                <a:srgbClr val="000000"/>
              </a:solidFill>
              <a:latin typeface="Arialri"/>
              <a:cs typeface="Arial"/>
            </a:rPr>
            <a:pPr algn="r" rtl="0">
              <a:defRPr sz="1000"/>
            </a:pPr>
            <a:t>GBW = 8MHz</a:t>
          </a:fld>
          <a:endParaRPr lang="el-G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2</xdr:col>
      <xdr:colOff>352425</xdr:colOff>
      <xdr:row>35</xdr:row>
      <xdr:rowOff>123825</xdr:rowOff>
    </xdr:from>
    <xdr:to>
      <xdr:col>5</xdr:col>
      <xdr:colOff>361657</xdr:colOff>
      <xdr:row>39</xdr:row>
      <xdr:rowOff>18982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43325" y="5857875"/>
          <a:ext cx="2342857" cy="542857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35</xdr:row>
      <xdr:rowOff>28575</xdr:rowOff>
    </xdr:from>
    <xdr:to>
      <xdr:col>7</xdr:col>
      <xdr:colOff>704662</xdr:colOff>
      <xdr:row>39</xdr:row>
      <xdr:rowOff>18970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62700" y="5762625"/>
          <a:ext cx="1504762" cy="6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</xdr:row>
      <xdr:rowOff>114300</xdr:rowOff>
    </xdr:from>
    <xdr:to>
      <xdr:col>4</xdr:col>
      <xdr:colOff>409374</xdr:colOff>
      <xdr:row>43</xdr:row>
      <xdr:rowOff>9457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2850" y="6496050"/>
          <a:ext cx="1609524" cy="542857"/>
        </a:xfrm>
        <a:prstGeom prst="rect">
          <a:avLst/>
        </a:prstGeom>
      </xdr:spPr>
    </xdr:pic>
    <xdr:clientData/>
  </xdr:twoCellAnchor>
  <xdr:twoCellAnchor editAs="oneCell">
    <xdr:from>
      <xdr:col>4</xdr:col>
      <xdr:colOff>752475</xdr:colOff>
      <xdr:row>39</xdr:row>
      <xdr:rowOff>85725</xdr:rowOff>
    </xdr:from>
    <xdr:to>
      <xdr:col>7</xdr:col>
      <xdr:colOff>1056961</xdr:colOff>
      <xdr:row>42</xdr:row>
      <xdr:rowOff>142807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05475" y="6467475"/>
          <a:ext cx="2514286" cy="5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8839200</xdr:colOff>
      <xdr:row>5</xdr:row>
      <xdr:rowOff>9525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47700"/>
          <a:ext cx="88392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8839200</xdr:colOff>
      <xdr:row>8</xdr:row>
      <xdr:rowOff>9525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229350"/>
          <a:ext cx="88392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1741435</xdr:colOff>
      <xdr:row>4</xdr:row>
      <xdr:rowOff>4449692</xdr:rowOff>
    </xdr:from>
    <xdr:to>
      <xdr:col>1</xdr:col>
      <xdr:colOff>2083824</xdr:colOff>
      <xdr:row>4</xdr:row>
      <xdr:rowOff>4711252</xdr:rowOff>
    </xdr:to>
    <xdr:sp macro="" textlink="">
      <xdr:nvSpPr>
        <xdr:cNvPr id="6" name="Text Box 22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2446285" y="5097392"/>
          <a:ext cx="342389" cy="261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 editAs="absolute">
    <xdr:from>
      <xdr:col>1</xdr:col>
      <xdr:colOff>6856439</xdr:colOff>
      <xdr:row>4</xdr:row>
      <xdr:rowOff>2095432</xdr:rowOff>
    </xdr:from>
    <xdr:to>
      <xdr:col>1</xdr:col>
      <xdr:colOff>7240372</xdr:colOff>
      <xdr:row>4</xdr:row>
      <xdr:rowOff>2323782</xdr:rowOff>
    </xdr:to>
    <xdr:sp macro="" textlink="">
      <xdr:nvSpPr>
        <xdr:cNvPr id="7" name="Text Box 228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7561289" y="2743132"/>
          <a:ext cx="383933" cy="228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 editAs="absolute">
    <xdr:from>
      <xdr:col>1</xdr:col>
      <xdr:colOff>7914727</xdr:colOff>
      <xdr:row>4</xdr:row>
      <xdr:rowOff>985582</xdr:rowOff>
    </xdr:from>
    <xdr:to>
      <xdr:col>1</xdr:col>
      <xdr:colOff>8390563</xdr:colOff>
      <xdr:row>4</xdr:row>
      <xdr:rowOff>1229566</xdr:rowOff>
    </xdr:to>
    <xdr:sp macro="" textlink="">
      <xdr:nvSpPr>
        <xdr:cNvPr id="8" name="Text Box 23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19577" y="1633282"/>
          <a:ext cx="475836" cy="243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 editAs="absolute">
    <xdr:from>
      <xdr:col>1</xdr:col>
      <xdr:colOff>3248284</xdr:colOff>
      <xdr:row>4</xdr:row>
      <xdr:rowOff>4341824</xdr:rowOff>
    </xdr:from>
    <xdr:to>
      <xdr:col>1</xdr:col>
      <xdr:colOff>3522445</xdr:colOff>
      <xdr:row>4</xdr:row>
      <xdr:rowOff>4590206</xdr:rowOff>
    </xdr:to>
    <xdr:sp macro="" textlink="">
      <xdr:nvSpPr>
        <xdr:cNvPr id="9" name="Text Box 23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3953134" y="4989524"/>
          <a:ext cx="274161" cy="2483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 editAs="absolute">
    <xdr:from>
      <xdr:col>1</xdr:col>
      <xdr:colOff>6888908</xdr:colOff>
      <xdr:row>4</xdr:row>
      <xdr:rowOff>2971350</xdr:rowOff>
    </xdr:from>
    <xdr:to>
      <xdr:col>1</xdr:col>
      <xdr:colOff>7132769</xdr:colOff>
      <xdr:row>4</xdr:row>
      <xdr:rowOff>3192646</xdr:rowOff>
    </xdr:to>
    <xdr:sp macro="" textlink="">
      <xdr:nvSpPr>
        <xdr:cNvPr id="10" name="Text Box 234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7593758" y="3619050"/>
          <a:ext cx="243861" cy="221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 editAs="absolute">
    <xdr:from>
      <xdr:col>1</xdr:col>
      <xdr:colOff>6587606</xdr:colOff>
      <xdr:row>4</xdr:row>
      <xdr:rowOff>1269925</xdr:rowOff>
    </xdr:from>
    <xdr:to>
      <xdr:col>1</xdr:col>
      <xdr:colOff>6927606</xdr:colOff>
      <xdr:row>4</xdr:row>
      <xdr:rowOff>1547630</xdr:rowOff>
    </xdr:to>
    <xdr:sp macro="" textlink="">
      <xdr:nvSpPr>
        <xdr:cNvPr id="11" name="Text Box 235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7292456" y="1917625"/>
          <a:ext cx="340000" cy="2777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 editAs="absolute">
    <xdr:from>
      <xdr:col>1</xdr:col>
      <xdr:colOff>3618738</xdr:colOff>
      <xdr:row>4</xdr:row>
      <xdr:rowOff>4540413</xdr:rowOff>
    </xdr:from>
    <xdr:to>
      <xdr:col>1</xdr:col>
      <xdr:colOff>4025437</xdr:colOff>
      <xdr:row>4</xdr:row>
      <xdr:rowOff>4788337</xdr:rowOff>
    </xdr:to>
    <xdr:sp macro="" textlink="">
      <xdr:nvSpPr>
        <xdr:cNvPr id="12" name="Text Box 243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4323588" y="5188113"/>
          <a:ext cx="406699" cy="2479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 editAs="absolute">
    <xdr:from>
      <xdr:col>1</xdr:col>
      <xdr:colOff>6345478</xdr:colOff>
      <xdr:row>4</xdr:row>
      <xdr:rowOff>2121792</xdr:rowOff>
    </xdr:from>
    <xdr:to>
      <xdr:col>1</xdr:col>
      <xdr:colOff>6670916</xdr:colOff>
      <xdr:row>4</xdr:row>
      <xdr:rowOff>2348038</xdr:rowOff>
    </xdr:to>
    <xdr:sp macro="" textlink="">
      <xdr:nvSpPr>
        <xdr:cNvPr id="13" name="Text Box 244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>
          <a:spLocks noChangeArrowheads="1"/>
        </xdr:cNvSpPr>
      </xdr:nvSpPr>
      <xdr:spPr bwMode="auto">
        <a:xfrm>
          <a:off x="7050328" y="2769492"/>
          <a:ext cx="325438" cy="2262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 editAs="absolute">
    <xdr:from>
      <xdr:col>1</xdr:col>
      <xdr:colOff>3985001</xdr:colOff>
      <xdr:row>4</xdr:row>
      <xdr:rowOff>69606</xdr:rowOff>
    </xdr:from>
    <xdr:to>
      <xdr:col>1</xdr:col>
      <xdr:colOff>4393844</xdr:colOff>
      <xdr:row>4</xdr:row>
      <xdr:rowOff>311250</xdr:rowOff>
    </xdr:to>
    <xdr:sp macro="" textlink="">
      <xdr:nvSpPr>
        <xdr:cNvPr id="14" name="Text Box 248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>
          <a:spLocks noChangeArrowheads="1"/>
        </xdr:cNvSpPr>
      </xdr:nvSpPr>
      <xdr:spPr bwMode="auto">
        <a:xfrm>
          <a:off x="4689851" y="717306"/>
          <a:ext cx="408843" cy="2416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5069341</xdr:colOff>
      <xdr:row>4</xdr:row>
      <xdr:rowOff>2108325</xdr:rowOff>
    </xdr:from>
    <xdr:to>
      <xdr:col>1</xdr:col>
      <xdr:colOff>5444036</xdr:colOff>
      <xdr:row>4</xdr:row>
      <xdr:rowOff>2358596</xdr:rowOff>
    </xdr:to>
    <xdr:sp macro="" textlink="">
      <xdr:nvSpPr>
        <xdr:cNvPr id="15" name="Text Box 249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>
          <a:spLocks noChangeArrowheads="1"/>
        </xdr:cNvSpPr>
      </xdr:nvSpPr>
      <xdr:spPr bwMode="auto">
        <a:xfrm>
          <a:off x="5774191" y="2756025"/>
          <a:ext cx="374695" cy="2502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 editAs="absolute">
    <xdr:from>
      <xdr:col>1</xdr:col>
      <xdr:colOff>4599220</xdr:colOff>
      <xdr:row>4</xdr:row>
      <xdr:rowOff>4171631</xdr:rowOff>
    </xdr:from>
    <xdr:to>
      <xdr:col>1</xdr:col>
      <xdr:colOff>4910059</xdr:colOff>
      <xdr:row>4</xdr:row>
      <xdr:rowOff>4403721</xdr:rowOff>
    </xdr:to>
    <xdr:sp macro="" textlink="">
      <xdr:nvSpPr>
        <xdr:cNvPr id="16" name="Text Box 250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>
          <a:spLocks noChangeArrowheads="1"/>
        </xdr:cNvSpPr>
      </xdr:nvSpPr>
      <xdr:spPr bwMode="auto">
        <a:xfrm>
          <a:off x="5304070" y="4819331"/>
          <a:ext cx="310839" cy="2320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CS1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1023436</xdr:colOff>
      <xdr:row>4</xdr:row>
      <xdr:rowOff>2749110</xdr:rowOff>
    </xdr:from>
    <xdr:to>
      <xdr:col>1</xdr:col>
      <xdr:colOff>1350592</xdr:colOff>
      <xdr:row>4</xdr:row>
      <xdr:rowOff>3004734</xdr:rowOff>
    </xdr:to>
    <xdr:sp macro="" textlink="">
      <xdr:nvSpPr>
        <xdr:cNvPr id="17" name="Text Box 25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>
          <a:spLocks noChangeArrowheads="1"/>
        </xdr:cNvSpPr>
      </xdr:nvSpPr>
      <xdr:spPr bwMode="auto">
        <a:xfrm>
          <a:off x="1728286" y="3396810"/>
          <a:ext cx="327156" cy="255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 editAs="absolute">
    <xdr:from>
      <xdr:col>1</xdr:col>
      <xdr:colOff>781911</xdr:colOff>
      <xdr:row>4</xdr:row>
      <xdr:rowOff>4088695</xdr:rowOff>
    </xdr:from>
    <xdr:to>
      <xdr:col>1</xdr:col>
      <xdr:colOff>1177488</xdr:colOff>
      <xdr:row>4</xdr:row>
      <xdr:rowOff>4289572</xdr:rowOff>
    </xdr:to>
    <xdr:sp macro="" textlink="">
      <xdr:nvSpPr>
        <xdr:cNvPr id="19" name="Text Box 255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>
          <a:spLocks noChangeArrowheads="1"/>
        </xdr:cNvSpPr>
      </xdr:nvSpPr>
      <xdr:spPr bwMode="auto">
        <a:xfrm>
          <a:off x="1486761" y="4736395"/>
          <a:ext cx="395577" cy="2008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 editAs="absolute">
    <xdr:from>
      <xdr:col>1</xdr:col>
      <xdr:colOff>141951</xdr:colOff>
      <xdr:row>4</xdr:row>
      <xdr:rowOff>3374489</xdr:rowOff>
    </xdr:from>
    <xdr:to>
      <xdr:col>1</xdr:col>
      <xdr:colOff>384920</xdr:colOff>
      <xdr:row>4</xdr:row>
      <xdr:rowOff>3588894</xdr:rowOff>
    </xdr:to>
    <xdr:sp macro="" textlink="">
      <xdr:nvSpPr>
        <xdr:cNvPr id="20" name="Text Box 256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 txBox="1">
          <a:spLocks noChangeArrowheads="1"/>
        </xdr:cNvSpPr>
      </xdr:nvSpPr>
      <xdr:spPr bwMode="auto">
        <a:xfrm>
          <a:off x="846801" y="4022189"/>
          <a:ext cx="242969" cy="2144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 editAs="absolute">
    <xdr:from>
      <xdr:col>1</xdr:col>
      <xdr:colOff>896117</xdr:colOff>
      <xdr:row>4</xdr:row>
      <xdr:rowOff>3616323</xdr:rowOff>
    </xdr:from>
    <xdr:to>
      <xdr:col>1</xdr:col>
      <xdr:colOff>1211687</xdr:colOff>
      <xdr:row>4</xdr:row>
      <xdr:rowOff>3860361</xdr:rowOff>
    </xdr:to>
    <xdr:sp macro="" textlink="">
      <xdr:nvSpPr>
        <xdr:cNvPr id="21" name="Text Box 257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>
          <a:spLocks noChangeArrowheads="1"/>
        </xdr:cNvSpPr>
      </xdr:nvSpPr>
      <xdr:spPr bwMode="auto">
        <a:xfrm>
          <a:off x="1600967" y="4264023"/>
          <a:ext cx="315570" cy="2440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 editAs="absolute">
    <xdr:from>
      <xdr:col>1</xdr:col>
      <xdr:colOff>853558</xdr:colOff>
      <xdr:row>4</xdr:row>
      <xdr:rowOff>3233968</xdr:rowOff>
    </xdr:from>
    <xdr:to>
      <xdr:col>1</xdr:col>
      <xdr:colOff>1162413</xdr:colOff>
      <xdr:row>4</xdr:row>
      <xdr:rowOff>3477474</xdr:rowOff>
    </xdr:to>
    <xdr:sp macro="" textlink="">
      <xdr:nvSpPr>
        <xdr:cNvPr id="22" name="Text Box 258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>
          <a:spLocks noChangeArrowheads="1"/>
        </xdr:cNvSpPr>
      </xdr:nvSpPr>
      <xdr:spPr bwMode="auto">
        <a:xfrm>
          <a:off x="1558408" y="3881668"/>
          <a:ext cx="308855" cy="2435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</a:p>
      </xdr:txBody>
    </xdr:sp>
    <xdr:clientData/>
  </xdr:twoCellAnchor>
  <xdr:twoCellAnchor editAs="absolute">
    <xdr:from>
      <xdr:col>1</xdr:col>
      <xdr:colOff>9479</xdr:colOff>
      <xdr:row>4</xdr:row>
      <xdr:rowOff>2563366</xdr:rowOff>
    </xdr:from>
    <xdr:to>
      <xdr:col>1</xdr:col>
      <xdr:colOff>693342</xdr:colOff>
      <xdr:row>4</xdr:row>
      <xdr:rowOff>2808011</xdr:rowOff>
    </xdr:to>
    <xdr:sp macro="" textlink="'Variable Management'!B471">
      <xdr:nvSpPr>
        <xdr:cNvPr id="23" name="Text Box 26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14329" y="3211066"/>
          <a:ext cx="683863" cy="244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50E25BC-E8CF-448B-A92C-74321B73BB8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470pF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0</xdr:col>
      <xdr:colOff>657225</xdr:colOff>
      <xdr:row>4</xdr:row>
      <xdr:rowOff>3643067</xdr:rowOff>
    </xdr:from>
    <xdr:to>
      <xdr:col>1</xdr:col>
      <xdr:colOff>372581</xdr:colOff>
      <xdr:row>4</xdr:row>
      <xdr:rowOff>3918625</xdr:rowOff>
    </xdr:to>
    <xdr:sp macro="" textlink="'Variable Management'!B443">
      <xdr:nvSpPr>
        <xdr:cNvPr id="24" name="Text Box 26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225" y="4290767"/>
          <a:ext cx="420206" cy="2755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815405</xdr:colOff>
      <xdr:row>4</xdr:row>
      <xdr:rowOff>3430362</xdr:rowOff>
    </xdr:from>
    <xdr:to>
      <xdr:col>1</xdr:col>
      <xdr:colOff>1274852</xdr:colOff>
      <xdr:row>4</xdr:row>
      <xdr:rowOff>3673901</xdr:rowOff>
    </xdr:to>
    <xdr:sp macro="" textlink="'Variable Management'!B441">
      <xdr:nvSpPr>
        <xdr:cNvPr id="25" name="Text Box 26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520255" y="4078062"/>
          <a:ext cx="459447" cy="2435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EDB14F34-7391-4353-9626-FAE030CE211F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68.1kΩ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720709</xdr:colOff>
      <xdr:row>4</xdr:row>
      <xdr:rowOff>4291195</xdr:rowOff>
    </xdr:from>
    <xdr:to>
      <xdr:col>1</xdr:col>
      <xdr:colOff>1235548</xdr:colOff>
      <xdr:row>4</xdr:row>
      <xdr:rowOff>4465831</xdr:rowOff>
    </xdr:to>
    <xdr:sp macro="" textlink="'Variable Management'!B452">
      <xdr:nvSpPr>
        <xdr:cNvPr id="26" name="Text Box 264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25559" y="4938895"/>
          <a:ext cx="514839" cy="174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1.69kΩ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35144</xdr:colOff>
      <xdr:row>4</xdr:row>
      <xdr:rowOff>2143786</xdr:rowOff>
    </xdr:from>
    <xdr:to>
      <xdr:col>1</xdr:col>
      <xdr:colOff>715810</xdr:colOff>
      <xdr:row>4</xdr:row>
      <xdr:rowOff>2403758</xdr:rowOff>
    </xdr:to>
    <xdr:sp macro="" textlink="'Variable Management'!B469">
      <xdr:nvSpPr>
        <xdr:cNvPr id="27" name="Text Box 265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39994" y="2791486"/>
          <a:ext cx="680666" cy="259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47B59-D142-4194-9028-13C083D6194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12.7kΩ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648746</xdr:colOff>
      <xdr:row>4</xdr:row>
      <xdr:rowOff>1677960</xdr:rowOff>
    </xdr:from>
    <xdr:to>
      <xdr:col>1</xdr:col>
      <xdr:colOff>1135349</xdr:colOff>
      <xdr:row>4</xdr:row>
      <xdr:rowOff>1863090</xdr:rowOff>
    </xdr:to>
    <xdr:sp macro="" textlink="'Variable Management'!B450">
      <xdr:nvSpPr>
        <xdr:cNvPr id="28" name="Text Box 266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53596" y="2325660"/>
          <a:ext cx="486603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F0D4FEFA-1BCB-42BA-B0A4-AAEA1128161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10nF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6802438</xdr:colOff>
      <xdr:row>4</xdr:row>
      <xdr:rowOff>2314832</xdr:rowOff>
    </xdr:from>
    <xdr:to>
      <xdr:col>1</xdr:col>
      <xdr:colOff>7303337</xdr:colOff>
      <xdr:row>4</xdr:row>
      <xdr:rowOff>2523970</xdr:rowOff>
    </xdr:to>
    <xdr:sp macro="" textlink="'Variable Management'!B433">
      <xdr:nvSpPr>
        <xdr:cNvPr id="29" name="Text Box 267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07288" y="2962532"/>
          <a:ext cx="500899" cy="209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DEF62FD0-959B-4627-B7E8-61CA1688D17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600µF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1750147</xdr:colOff>
      <xdr:row>4</xdr:row>
      <xdr:rowOff>4625275</xdr:rowOff>
    </xdr:from>
    <xdr:to>
      <xdr:col>1</xdr:col>
      <xdr:colOff>2273580</xdr:colOff>
      <xdr:row>4</xdr:row>
      <xdr:rowOff>4918364</xdr:rowOff>
    </xdr:to>
    <xdr:sp macro="" textlink="'Variable Management'!B451">
      <xdr:nvSpPr>
        <xdr:cNvPr id="30" name="Text Box 268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454997" y="5272975"/>
          <a:ext cx="523433" cy="2930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7863577</xdr:colOff>
      <xdr:row>4</xdr:row>
      <xdr:rowOff>1170730</xdr:rowOff>
    </xdr:from>
    <xdr:to>
      <xdr:col>1</xdr:col>
      <xdr:colOff>8405722</xdr:colOff>
      <xdr:row>4</xdr:row>
      <xdr:rowOff>1375908</xdr:rowOff>
    </xdr:to>
    <xdr:sp macro="" textlink="'Variable Management'!B464">
      <xdr:nvSpPr>
        <xdr:cNvPr id="31" name="Text Box 274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8427" y="1818430"/>
          <a:ext cx="542145" cy="2051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14CFEDF3-9A5F-4A24-9D5F-304E5DC1B6C6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2.5mΩ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6539066</xdr:colOff>
      <xdr:row>4</xdr:row>
      <xdr:rowOff>1499397</xdr:rowOff>
    </xdr:from>
    <xdr:to>
      <xdr:col>1</xdr:col>
      <xdr:colOff>6987309</xdr:colOff>
      <xdr:row>4</xdr:row>
      <xdr:rowOff>1708490</xdr:rowOff>
    </xdr:to>
    <xdr:sp macro="" textlink="'Variable Management'!B426">
      <xdr:nvSpPr>
        <xdr:cNvPr id="32" name="Text Box 27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243916" y="2147097"/>
          <a:ext cx="448243" cy="2090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08583DE7-3129-476B-98BE-2887A134E95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3.3µH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6311714</xdr:colOff>
      <xdr:row>4</xdr:row>
      <xdr:rowOff>2301177</xdr:rowOff>
    </xdr:from>
    <xdr:to>
      <xdr:col>1</xdr:col>
      <xdr:colOff>6784061</xdr:colOff>
      <xdr:row>4</xdr:row>
      <xdr:rowOff>2524893</xdr:rowOff>
    </xdr:to>
    <xdr:sp macro="" textlink="'Variable Management'!B437">
      <xdr:nvSpPr>
        <xdr:cNvPr id="33" name="Text Box 276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016564" y="2948877"/>
          <a:ext cx="472347" cy="2237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7E8F3901-1453-4951-8E28-510E65401D4C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3505332</xdr:colOff>
      <xdr:row>4</xdr:row>
      <xdr:rowOff>145674</xdr:rowOff>
    </xdr:from>
    <xdr:to>
      <xdr:col>1</xdr:col>
      <xdr:colOff>3874809</xdr:colOff>
      <xdr:row>4</xdr:row>
      <xdr:rowOff>381789</xdr:rowOff>
    </xdr:to>
    <xdr:sp macro="" textlink="">
      <xdr:nvSpPr>
        <xdr:cNvPr id="34" name="Text Box 279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>
          <a:spLocks noChangeArrowheads="1"/>
        </xdr:cNvSpPr>
      </xdr:nvSpPr>
      <xdr:spPr bwMode="auto">
        <a:xfrm>
          <a:off x="4210182" y="793374"/>
          <a:ext cx="369477" cy="2361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1006694</xdr:colOff>
      <xdr:row>4</xdr:row>
      <xdr:rowOff>2949980</xdr:rowOff>
    </xdr:from>
    <xdr:to>
      <xdr:col>1</xdr:col>
      <xdr:colOff>1444337</xdr:colOff>
      <xdr:row>4</xdr:row>
      <xdr:rowOff>3184830</xdr:rowOff>
    </xdr:to>
    <xdr:sp macro="" textlink="'Variable Management'!B470">
      <xdr:nvSpPr>
        <xdr:cNvPr id="35" name="Text Box 28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11544" y="3597680"/>
          <a:ext cx="437643" cy="23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330nF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8287206</xdr:colOff>
      <xdr:row>4</xdr:row>
      <xdr:rowOff>976516</xdr:rowOff>
    </xdr:from>
    <xdr:to>
      <xdr:col>1</xdr:col>
      <xdr:colOff>8765869</xdr:colOff>
      <xdr:row>4</xdr:row>
      <xdr:rowOff>1221128</xdr:rowOff>
    </xdr:to>
    <xdr:sp macro="" textlink="'Variable Management'!B431">
      <xdr:nvSpPr>
        <xdr:cNvPr id="36" name="Text Box 28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92056" y="1624216"/>
          <a:ext cx="478663" cy="244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48V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8272196</xdr:colOff>
      <xdr:row>4</xdr:row>
      <xdr:rowOff>1205517</xdr:rowOff>
    </xdr:from>
    <xdr:to>
      <xdr:col>1</xdr:col>
      <xdr:colOff>8725233</xdr:colOff>
      <xdr:row>4</xdr:row>
      <xdr:rowOff>1448071</xdr:rowOff>
    </xdr:to>
    <xdr:sp macro="" textlink="'Variable Management'!B473">
      <xdr:nvSpPr>
        <xdr:cNvPr id="37" name="Text Box 28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77046" y="1853217"/>
          <a:ext cx="453037" cy="24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339944</xdr:colOff>
      <xdr:row>4</xdr:row>
      <xdr:rowOff>1969229</xdr:rowOff>
    </xdr:from>
    <xdr:to>
      <xdr:col>1</xdr:col>
      <xdr:colOff>604552</xdr:colOff>
      <xdr:row>4</xdr:row>
      <xdr:rowOff>2161044</xdr:rowOff>
    </xdr:to>
    <xdr:sp macro="" textlink="">
      <xdr:nvSpPr>
        <xdr:cNvPr id="38" name="Text Box 25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>
          <a:spLocks noChangeArrowheads="1"/>
        </xdr:cNvSpPr>
      </xdr:nvSpPr>
      <xdr:spPr bwMode="auto">
        <a:xfrm>
          <a:off x="1044794" y="2616929"/>
          <a:ext cx="264608" cy="19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 editAs="absolute">
    <xdr:from>
      <xdr:col>1</xdr:col>
      <xdr:colOff>2952085</xdr:colOff>
      <xdr:row>4</xdr:row>
      <xdr:rowOff>141585</xdr:rowOff>
    </xdr:from>
    <xdr:to>
      <xdr:col>1</xdr:col>
      <xdr:colOff>3413563</xdr:colOff>
      <xdr:row>4</xdr:row>
      <xdr:rowOff>365593</xdr:rowOff>
    </xdr:to>
    <xdr:sp macro="" textlink="">
      <xdr:nvSpPr>
        <xdr:cNvPr id="39" name="Text Box 247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>
          <a:spLocks noChangeArrowheads="1"/>
        </xdr:cNvSpPr>
      </xdr:nvSpPr>
      <xdr:spPr bwMode="auto">
        <a:xfrm>
          <a:off x="3656935" y="789285"/>
          <a:ext cx="461478" cy="2240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5943177</xdr:colOff>
      <xdr:row>4</xdr:row>
      <xdr:rowOff>2257233</xdr:rowOff>
    </xdr:from>
    <xdr:to>
      <xdr:col>1</xdr:col>
      <xdr:colOff>6265561</xdr:colOff>
      <xdr:row>4</xdr:row>
      <xdr:rowOff>2502483</xdr:rowOff>
    </xdr:to>
    <xdr:sp macro="" textlink="">
      <xdr:nvSpPr>
        <xdr:cNvPr id="40" name="Text Box 2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>
          <a:spLocks noChangeArrowheads="1"/>
        </xdr:cNvSpPr>
      </xdr:nvSpPr>
      <xdr:spPr bwMode="auto">
        <a:xfrm>
          <a:off x="6648027" y="2904933"/>
          <a:ext cx="322384" cy="245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 editAs="absolute">
    <xdr:from>
      <xdr:col>1</xdr:col>
      <xdr:colOff>5944154</xdr:colOff>
      <xdr:row>4</xdr:row>
      <xdr:rowOff>1381249</xdr:rowOff>
    </xdr:from>
    <xdr:to>
      <xdr:col>1</xdr:col>
      <xdr:colOff>6266538</xdr:colOff>
      <xdr:row>4</xdr:row>
      <xdr:rowOff>1647440</xdr:rowOff>
    </xdr:to>
    <xdr:sp macro="" textlink="">
      <xdr:nvSpPr>
        <xdr:cNvPr id="41" name="Text Box 244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>
          <a:spLocks noChangeArrowheads="1"/>
        </xdr:cNvSpPr>
      </xdr:nvSpPr>
      <xdr:spPr bwMode="auto">
        <a:xfrm>
          <a:off x="6649004" y="2028949"/>
          <a:ext cx="322384" cy="2661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6867893</xdr:colOff>
      <xdr:row>4</xdr:row>
      <xdr:rowOff>3140812</xdr:rowOff>
    </xdr:from>
    <xdr:to>
      <xdr:col>1</xdr:col>
      <xdr:colOff>7347524</xdr:colOff>
      <xdr:row>4</xdr:row>
      <xdr:rowOff>3411874</xdr:rowOff>
    </xdr:to>
    <xdr:sp macro="" textlink="'Variable Management'!B428">
      <xdr:nvSpPr>
        <xdr:cNvPr id="42" name="Text Box 27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72743" y="3788512"/>
          <a:ext cx="479631" cy="2710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952677B8-8C18-463F-B0C9-D2099A1EBA1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3mΩ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254219</xdr:colOff>
      <xdr:row>4</xdr:row>
      <xdr:rowOff>2371224</xdr:rowOff>
    </xdr:from>
    <xdr:to>
      <xdr:col>1</xdr:col>
      <xdr:colOff>687280</xdr:colOff>
      <xdr:row>4</xdr:row>
      <xdr:rowOff>2607535</xdr:rowOff>
    </xdr:to>
    <xdr:sp macro="" textlink="">
      <xdr:nvSpPr>
        <xdr:cNvPr id="43" name="Text Box 25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>
          <a:spLocks noChangeArrowheads="1"/>
        </xdr:cNvSpPr>
      </xdr:nvSpPr>
      <xdr:spPr bwMode="auto">
        <a:xfrm>
          <a:off x="959069" y="3018924"/>
          <a:ext cx="433061" cy="2363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 editAs="absolute">
    <xdr:from>
      <xdr:col>1</xdr:col>
      <xdr:colOff>5510442</xdr:colOff>
      <xdr:row>4</xdr:row>
      <xdr:rowOff>3213286</xdr:rowOff>
    </xdr:from>
    <xdr:to>
      <xdr:col>1</xdr:col>
      <xdr:colOff>5917925</xdr:colOff>
      <xdr:row>4</xdr:row>
      <xdr:rowOff>3457653</xdr:rowOff>
    </xdr:to>
    <xdr:sp macro="" textlink="">
      <xdr:nvSpPr>
        <xdr:cNvPr id="44" name="Text Box 248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>
          <a:spLocks noChangeArrowheads="1"/>
        </xdr:cNvSpPr>
      </xdr:nvSpPr>
      <xdr:spPr bwMode="auto">
        <a:xfrm>
          <a:off x="6215292" y="3860986"/>
          <a:ext cx="407483" cy="244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4880097</xdr:colOff>
      <xdr:row>4</xdr:row>
      <xdr:rowOff>3616355</xdr:rowOff>
    </xdr:from>
    <xdr:to>
      <xdr:col>1</xdr:col>
      <xdr:colOff>5341575</xdr:colOff>
      <xdr:row>4</xdr:row>
      <xdr:rowOff>3867177</xdr:rowOff>
    </xdr:to>
    <xdr:sp macro="" textlink="">
      <xdr:nvSpPr>
        <xdr:cNvPr id="45" name="Text Box 247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>
          <a:spLocks noChangeArrowheads="1"/>
        </xdr:cNvSpPr>
      </xdr:nvSpPr>
      <xdr:spPr bwMode="auto">
        <a:xfrm>
          <a:off x="5584947" y="4264055"/>
          <a:ext cx="461478" cy="2508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4940561</xdr:colOff>
      <xdr:row>4</xdr:row>
      <xdr:rowOff>3828330</xdr:rowOff>
    </xdr:from>
    <xdr:to>
      <xdr:col>1</xdr:col>
      <xdr:colOff>5310038</xdr:colOff>
      <xdr:row>4</xdr:row>
      <xdr:rowOff>4055655</xdr:rowOff>
    </xdr:to>
    <xdr:sp macro="" textlink="">
      <xdr:nvSpPr>
        <xdr:cNvPr id="46" name="Text Box 279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>
          <a:spLocks noChangeArrowheads="1"/>
        </xdr:cNvSpPr>
      </xdr:nvSpPr>
      <xdr:spPr bwMode="auto">
        <a:xfrm>
          <a:off x="5645411" y="4476030"/>
          <a:ext cx="369477" cy="227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5094928</xdr:colOff>
      <xdr:row>4</xdr:row>
      <xdr:rowOff>2377424</xdr:rowOff>
    </xdr:from>
    <xdr:to>
      <xdr:col>1</xdr:col>
      <xdr:colOff>5365431</xdr:colOff>
      <xdr:row>4</xdr:row>
      <xdr:rowOff>2614453</xdr:rowOff>
    </xdr:to>
    <xdr:sp macro="" textlink="">
      <xdr:nvSpPr>
        <xdr:cNvPr id="47" name="Text Box 279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>
          <a:spLocks noChangeArrowheads="1"/>
        </xdr:cNvSpPr>
      </xdr:nvSpPr>
      <xdr:spPr bwMode="auto">
        <a:xfrm>
          <a:off x="5799778" y="3025124"/>
          <a:ext cx="270503" cy="2370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2444899</xdr:colOff>
      <xdr:row>4</xdr:row>
      <xdr:rowOff>38100</xdr:rowOff>
    </xdr:from>
    <xdr:to>
      <xdr:col>1</xdr:col>
      <xdr:colOff>2821188</xdr:colOff>
      <xdr:row>4</xdr:row>
      <xdr:rowOff>273769</xdr:rowOff>
    </xdr:to>
    <xdr:sp macro="" textlink="">
      <xdr:nvSpPr>
        <xdr:cNvPr id="48" name="Text Box 27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>
          <a:spLocks noChangeArrowheads="1"/>
        </xdr:cNvSpPr>
      </xdr:nvSpPr>
      <xdr:spPr bwMode="auto">
        <a:xfrm>
          <a:off x="3149749" y="685800"/>
          <a:ext cx="376289" cy="2356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2144579</xdr:colOff>
      <xdr:row>4</xdr:row>
      <xdr:rowOff>478502</xdr:rowOff>
    </xdr:from>
    <xdr:to>
      <xdr:col>1</xdr:col>
      <xdr:colOff>2471641</xdr:colOff>
      <xdr:row>4</xdr:row>
      <xdr:rowOff>705632</xdr:rowOff>
    </xdr:to>
    <xdr:sp macro="" textlink="">
      <xdr:nvSpPr>
        <xdr:cNvPr id="49" name="Text Box 24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>
          <a:spLocks noChangeArrowheads="1"/>
        </xdr:cNvSpPr>
      </xdr:nvSpPr>
      <xdr:spPr bwMode="auto">
        <a:xfrm>
          <a:off x="2849429" y="1126202"/>
          <a:ext cx="327062" cy="227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2451906</xdr:colOff>
      <xdr:row>4</xdr:row>
      <xdr:rowOff>498798</xdr:rowOff>
    </xdr:from>
    <xdr:to>
      <xdr:col>1</xdr:col>
      <xdr:colOff>2822138</xdr:colOff>
      <xdr:row>4</xdr:row>
      <xdr:rowOff>722941</xdr:rowOff>
    </xdr:to>
    <xdr:sp macro="" textlink="">
      <xdr:nvSpPr>
        <xdr:cNvPr id="50" name="Text Box 277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>
          <a:spLocks noChangeArrowheads="1"/>
        </xdr:cNvSpPr>
      </xdr:nvSpPr>
      <xdr:spPr bwMode="auto">
        <a:xfrm>
          <a:off x="3156756" y="1146498"/>
          <a:ext cx="370232" cy="224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2Ω</a:t>
          </a:r>
        </a:p>
      </xdr:txBody>
    </xdr:sp>
    <xdr:clientData/>
  </xdr:twoCellAnchor>
  <xdr:twoCellAnchor editAs="absolute">
    <xdr:from>
      <xdr:col>1</xdr:col>
      <xdr:colOff>4627899</xdr:colOff>
      <xdr:row>4</xdr:row>
      <xdr:rowOff>4758188</xdr:rowOff>
    </xdr:from>
    <xdr:to>
      <xdr:col>1</xdr:col>
      <xdr:colOff>4940204</xdr:colOff>
      <xdr:row>4</xdr:row>
      <xdr:rowOff>4983266</xdr:rowOff>
    </xdr:to>
    <xdr:sp macro="" textlink="">
      <xdr:nvSpPr>
        <xdr:cNvPr id="51" name="Text Box 2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>
          <a:spLocks noChangeArrowheads="1"/>
        </xdr:cNvSpPr>
      </xdr:nvSpPr>
      <xdr:spPr bwMode="auto">
        <a:xfrm>
          <a:off x="5332749" y="5405888"/>
          <a:ext cx="312305" cy="2250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CS2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2028048</xdr:colOff>
      <xdr:row>4</xdr:row>
      <xdr:rowOff>51537</xdr:rowOff>
    </xdr:from>
    <xdr:to>
      <xdr:col>1</xdr:col>
      <xdr:colOff>2352330</xdr:colOff>
      <xdr:row>4</xdr:row>
      <xdr:rowOff>270228</xdr:rowOff>
    </xdr:to>
    <xdr:sp macro="" textlink="">
      <xdr:nvSpPr>
        <xdr:cNvPr id="52" name="Text Box 24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>
          <a:spLocks noChangeArrowheads="1"/>
        </xdr:cNvSpPr>
      </xdr:nvSpPr>
      <xdr:spPr bwMode="auto">
        <a:xfrm>
          <a:off x="2732898" y="699237"/>
          <a:ext cx="324282" cy="218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7319710</xdr:colOff>
      <xdr:row>4</xdr:row>
      <xdr:rowOff>2253494</xdr:rowOff>
    </xdr:from>
    <xdr:to>
      <xdr:col>1</xdr:col>
      <xdr:colOff>7598272</xdr:colOff>
      <xdr:row>4</xdr:row>
      <xdr:rowOff>2543864</xdr:rowOff>
    </xdr:to>
    <xdr:sp macro="" textlink="">
      <xdr:nvSpPr>
        <xdr:cNvPr id="53" name="Text Box 244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>
          <a:spLocks noChangeArrowheads="1"/>
        </xdr:cNvSpPr>
      </xdr:nvSpPr>
      <xdr:spPr bwMode="auto">
        <a:xfrm>
          <a:off x="8024560" y="2901194"/>
          <a:ext cx="278562" cy="290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 editAs="absolute">
    <xdr:from>
      <xdr:col>1</xdr:col>
      <xdr:colOff>7311161</xdr:colOff>
      <xdr:row>4</xdr:row>
      <xdr:rowOff>1379784</xdr:rowOff>
    </xdr:from>
    <xdr:to>
      <xdr:col>1</xdr:col>
      <xdr:colOff>7590944</xdr:colOff>
      <xdr:row>4</xdr:row>
      <xdr:rowOff>1643701</xdr:rowOff>
    </xdr:to>
    <xdr:sp macro="" textlink="">
      <xdr:nvSpPr>
        <xdr:cNvPr id="54" name="Text Box 244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>
          <a:spLocks noChangeArrowheads="1"/>
        </xdr:cNvSpPr>
      </xdr:nvSpPr>
      <xdr:spPr bwMode="auto">
        <a:xfrm>
          <a:off x="8016011" y="2027484"/>
          <a:ext cx="279783" cy="263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 editAs="absolute">
    <xdr:from>
      <xdr:col>1</xdr:col>
      <xdr:colOff>663203</xdr:colOff>
      <xdr:row>4</xdr:row>
      <xdr:rowOff>3821721</xdr:rowOff>
    </xdr:from>
    <xdr:to>
      <xdr:col>1</xdr:col>
      <xdr:colOff>1167405</xdr:colOff>
      <xdr:row>4</xdr:row>
      <xdr:rowOff>4065124</xdr:rowOff>
    </xdr:to>
    <xdr:sp macro="" textlink="'Variable Management'!B442">
      <xdr:nvSpPr>
        <xdr:cNvPr id="55" name="Text Box 261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68053" y="4469421"/>
          <a:ext cx="504202" cy="2434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9060F6D-CAA3-48E6-BAE7-37C16D6980D0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12nF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4854635</xdr:colOff>
      <xdr:row>4</xdr:row>
      <xdr:rowOff>4479932</xdr:rowOff>
    </xdr:from>
    <xdr:to>
      <xdr:col>1</xdr:col>
      <xdr:colOff>5248259</xdr:colOff>
      <xdr:row>4</xdr:row>
      <xdr:rowOff>4712952</xdr:rowOff>
    </xdr:to>
    <xdr:sp macro="" textlink="'Variable Management'!B467">
      <xdr:nvSpPr>
        <xdr:cNvPr id="56" name="Text Box 270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559485" y="5127632"/>
          <a:ext cx="393624" cy="233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2E2AFC2-CB14-431A-99E1-2EF4D5A6CD34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1654331</xdr:colOff>
      <xdr:row>4</xdr:row>
      <xdr:rowOff>420739</xdr:rowOff>
    </xdr:from>
    <xdr:to>
      <xdr:col>1</xdr:col>
      <xdr:colOff>2003826</xdr:colOff>
      <xdr:row>4</xdr:row>
      <xdr:rowOff>662384</xdr:rowOff>
    </xdr:to>
    <xdr:sp macro="" textlink="">
      <xdr:nvSpPr>
        <xdr:cNvPr id="57" name="Text Box 248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>
          <a:spLocks noChangeArrowheads="1"/>
        </xdr:cNvSpPr>
      </xdr:nvSpPr>
      <xdr:spPr bwMode="auto">
        <a:xfrm>
          <a:off x="2359181" y="1068439"/>
          <a:ext cx="349495" cy="241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6290995</xdr:colOff>
      <xdr:row>4</xdr:row>
      <xdr:rowOff>996921</xdr:rowOff>
    </xdr:from>
    <xdr:to>
      <xdr:col>1</xdr:col>
      <xdr:colOff>7281596</xdr:colOff>
      <xdr:row>4</xdr:row>
      <xdr:rowOff>1257170</xdr:rowOff>
    </xdr:to>
    <xdr:sp macro="" textlink="'Variable Management'!B475">
      <xdr:nvSpPr>
        <xdr:cNvPr id="58" name="Text Box 283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995845" y="1644621"/>
          <a:ext cx="990601" cy="2602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B114F7CE-60BB-40BD-BD7F-B22E7592FFCF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5V...20V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713956</xdr:colOff>
      <xdr:row>4</xdr:row>
      <xdr:rowOff>1507243</xdr:rowOff>
    </xdr:from>
    <xdr:to>
      <xdr:col>1</xdr:col>
      <xdr:colOff>1196832</xdr:colOff>
      <xdr:row>4</xdr:row>
      <xdr:rowOff>1692372</xdr:rowOff>
    </xdr:to>
    <xdr:sp macro="" textlink="'Variable Management'!C450">
      <xdr:nvSpPr>
        <xdr:cNvPr id="59" name="Text Box 26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18806" y="2154943"/>
          <a:ext cx="482876" cy="185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DF2A2C16-623E-4E51-B82E-2B3F1562B3CF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Cd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1741435</xdr:colOff>
      <xdr:row>7</xdr:row>
      <xdr:rowOff>4459217</xdr:rowOff>
    </xdr:from>
    <xdr:to>
      <xdr:col>1</xdr:col>
      <xdr:colOff>2083824</xdr:colOff>
      <xdr:row>7</xdr:row>
      <xdr:rowOff>4720777</xdr:rowOff>
    </xdr:to>
    <xdr:sp macro="" textlink="">
      <xdr:nvSpPr>
        <xdr:cNvPr id="60" name="Text Box 225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>
          <a:spLocks noChangeArrowheads="1"/>
        </xdr:cNvSpPr>
      </xdr:nvSpPr>
      <xdr:spPr bwMode="auto">
        <a:xfrm>
          <a:off x="2446285" y="10688567"/>
          <a:ext cx="342389" cy="261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FB1</a:t>
          </a:r>
        </a:p>
      </xdr:txBody>
    </xdr:sp>
    <xdr:clientData/>
  </xdr:twoCellAnchor>
  <xdr:twoCellAnchor editAs="absolute">
    <xdr:from>
      <xdr:col>1</xdr:col>
      <xdr:colOff>6856439</xdr:colOff>
      <xdr:row>7</xdr:row>
      <xdr:rowOff>2104957</xdr:rowOff>
    </xdr:from>
    <xdr:to>
      <xdr:col>1</xdr:col>
      <xdr:colOff>7240372</xdr:colOff>
      <xdr:row>7</xdr:row>
      <xdr:rowOff>2333307</xdr:rowOff>
    </xdr:to>
    <xdr:sp macro="" textlink="">
      <xdr:nvSpPr>
        <xdr:cNvPr id="61" name="Text Box 22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>
          <a:spLocks noChangeArrowheads="1"/>
        </xdr:cNvSpPr>
      </xdr:nvSpPr>
      <xdr:spPr bwMode="auto">
        <a:xfrm>
          <a:off x="7561289" y="8334307"/>
          <a:ext cx="383933" cy="228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OUT</a:t>
          </a:r>
        </a:p>
      </xdr:txBody>
    </xdr:sp>
    <xdr:clientData/>
  </xdr:twoCellAnchor>
  <xdr:twoCellAnchor editAs="absolute">
    <xdr:from>
      <xdr:col>1</xdr:col>
      <xdr:colOff>7914727</xdr:colOff>
      <xdr:row>7</xdr:row>
      <xdr:rowOff>995107</xdr:rowOff>
    </xdr:from>
    <xdr:to>
      <xdr:col>1</xdr:col>
      <xdr:colOff>8390563</xdr:colOff>
      <xdr:row>7</xdr:row>
      <xdr:rowOff>1239091</xdr:rowOff>
    </xdr:to>
    <xdr:sp macro="" textlink="">
      <xdr:nvSpPr>
        <xdr:cNvPr id="62" name="Text Box 23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>
          <a:spLocks noChangeArrowheads="1"/>
        </xdr:cNvSpPr>
      </xdr:nvSpPr>
      <xdr:spPr bwMode="auto">
        <a:xfrm>
          <a:off x="8619577" y="7224457"/>
          <a:ext cx="475836" cy="243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CS(out)</a:t>
          </a:r>
        </a:p>
      </xdr:txBody>
    </xdr:sp>
    <xdr:clientData/>
  </xdr:twoCellAnchor>
  <xdr:twoCellAnchor editAs="absolute">
    <xdr:from>
      <xdr:col>1</xdr:col>
      <xdr:colOff>3248284</xdr:colOff>
      <xdr:row>7</xdr:row>
      <xdr:rowOff>4351349</xdr:rowOff>
    </xdr:from>
    <xdr:to>
      <xdr:col>1</xdr:col>
      <xdr:colOff>3522445</xdr:colOff>
      <xdr:row>7</xdr:row>
      <xdr:rowOff>4599731</xdr:rowOff>
    </xdr:to>
    <xdr:sp macro="" textlink="">
      <xdr:nvSpPr>
        <xdr:cNvPr id="63" name="Text Box 233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>
          <a:spLocks noChangeArrowheads="1"/>
        </xdr:cNvSpPr>
      </xdr:nvSpPr>
      <xdr:spPr bwMode="auto">
        <a:xfrm>
          <a:off x="3953134" y="10580699"/>
          <a:ext cx="274161" cy="2483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</a:t>
          </a:r>
        </a:p>
      </xdr:txBody>
    </xdr:sp>
    <xdr:clientData/>
  </xdr:twoCellAnchor>
  <xdr:twoCellAnchor editAs="absolute">
    <xdr:from>
      <xdr:col>1</xdr:col>
      <xdr:colOff>6888908</xdr:colOff>
      <xdr:row>7</xdr:row>
      <xdr:rowOff>2980875</xdr:rowOff>
    </xdr:from>
    <xdr:to>
      <xdr:col>1</xdr:col>
      <xdr:colOff>7132769</xdr:colOff>
      <xdr:row>7</xdr:row>
      <xdr:rowOff>3202171</xdr:rowOff>
    </xdr:to>
    <xdr:sp macro="" textlink="">
      <xdr:nvSpPr>
        <xdr:cNvPr id="64" name="Text Box 234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>
          <a:spLocks noChangeArrowheads="1"/>
        </xdr:cNvSpPr>
      </xdr:nvSpPr>
      <xdr:spPr bwMode="auto">
        <a:xfrm>
          <a:off x="7593758" y="9210225"/>
          <a:ext cx="243861" cy="221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</a:t>
          </a:r>
        </a:p>
      </xdr:txBody>
    </xdr:sp>
    <xdr:clientData/>
  </xdr:twoCellAnchor>
  <xdr:twoCellAnchor editAs="absolute">
    <xdr:from>
      <xdr:col>1</xdr:col>
      <xdr:colOff>6587606</xdr:colOff>
      <xdr:row>7</xdr:row>
      <xdr:rowOff>1279450</xdr:rowOff>
    </xdr:from>
    <xdr:to>
      <xdr:col>1</xdr:col>
      <xdr:colOff>6927606</xdr:colOff>
      <xdr:row>7</xdr:row>
      <xdr:rowOff>1557155</xdr:rowOff>
    </xdr:to>
    <xdr:sp macro="" textlink="">
      <xdr:nvSpPr>
        <xdr:cNvPr id="65" name="Text Box 23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>
          <a:spLocks noChangeArrowheads="1"/>
        </xdr:cNvSpPr>
      </xdr:nvSpPr>
      <xdr:spPr bwMode="auto">
        <a:xfrm>
          <a:off x="7292456" y="7508800"/>
          <a:ext cx="340000" cy="2777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L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</a:t>
          </a:r>
        </a:p>
      </xdr:txBody>
    </xdr:sp>
    <xdr:clientData/>
  </xdr:twoCellAnchor>
  <xdr:twoCellAnchor editAs="absolute">
    <xdr:from>
      <xdr:col>1</xdr:col>
      <xdr:colOff>3609213</xdr:colOff>
      <xdr:row>7</xdr:row>
      <xdr:rowOff>4549938</xdr:rowOff>
    </xdr:from>
    <xdr:to>
      <xdr:col>1</xdr:col>
      <xdr:colOff>4015912</xdr:colOff>
      <xdr:row>7</xdr:row>
      <xdr:rowOff>4797862</xdr:rowOff>
    </xdr:to>
    <xdr:sp macro="" textlink="">
      <xdr:nvSpPr>
        <xdr:cNvPr id="66" name="Text Box 243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>
          <a:spLocks noChangeArrowheads="1"/>
        </xdr:cNvSpPr>
      </xdr:nvSpPr>
      <xdr:spPr bwMode="auto">
        <a:xfrm>
          <a:off x="4314063" y="10779288"/>
          <a:ext cx="406699" cy="2479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100pF</a:t>
          </a:r>
        </a:p>
      </xdr:txBody>
    </xdr:sp>
    <xdr:clientData/>
  </xdr:twoCellAnchor>
  <xdr:twoCellAnchor editAs="absolute">
    <xdr:from>
      <xdr:col>1</xdr:col>
      <xdr:colOff>6345478</xdr:colOff>
      <xdr:row>7</xdr:row>
      <xdr:rowOff>2131317</xdr:rowOff>
    </xdr:from>
    <xdr:to>
      <xdr:col>1</xdr:col>
      <xdr:colOff>6670916</xdr:colOff>
      <xdr:row>7</xdr:row>
      <xdr:rowOff>2357563</xdr:rowOff>
    </xdr:to>
    <xdr:sp macro="" textlink="">
      <xdr:nvSpPr>
        <xdr:cNvPr id="67" name="Text Box 244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>
          <a:spLocks noChangeArrowheads="1"/>
        </xdr:cNvSpPr>
      </xdr:nvSpPr>
      <xdr:spPr bwMode="auto">
        <a:xfrm>
          <a:off x="7050328" y="8360667"/>
          <a:ext cx="325438" cy="2262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IN</a:t>
          </a:r>
        </a:p>
      </xdr:txBody>
    </xdr:sp>
    <xdr:clientData/>
  </xdr:twoCellAnchor>
  <xdr:twoCellAnchor editAs="absolute">
    <xdr:from>
      <xdr:col>1</xdr:col>
      <xdr:colOff>3985001</xdr:colOff>
      <xdr:row>7</xdr:row>
      <xdr:rowOff>79131</xdr:rowOff>
    </xdr:from>
    <xdr:to>
      <xdr:col>1</xdr:col>
      <xdr:colOff>4393844</xdr:colOff>
      <xdr:row>7</xdr:row>
      <xdr:rowOff>320775</xdr:rowOff>
    </xdr:to>
    <xdr:sp macro="" textlink="">
      <xdr:nvSpPr>
        <xdr:cNvPr id="68" name="Text Box 248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>
          <a:spLocks noChangeArrowheads="1"/>
        </xdr:cNvSpPr>
      </xdr:nvSpPr>
      <xdr:spPr bwMode="auto">
        <a:xfrm>
          <a:off x="4689851" y="6308481"/>
          <a:ext cx="408843" cy="2416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5069341</xdr:colOff>
      <xdr:row>7</xdr:row>
      <xdr:rowOff>2117850</xdr:rowOff>
    </xdr:from>
    <xdr:to>
      <xdr:col>1</xdr:col>
      <xdr:colOff>5444036</xdr:colOff>
      <xdr:row>7</xdr:row>
      <xdr:rowOff>2368121</xdr:rowOff>
    </xdr:to>
    <xdr:sp macro="" textlink="">
      <xdr:nvSpPr>
        <xdr:cNvPr id="69" name="Text Box 249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>
          <a:spLocks noChangeArrowheads="1"/>
        </xdr:cNvSpPr>
      </xdr:nvSpPr>
      <xdr:spPr bwMode="auto">
        <a:xfrm>
          <a:off x="5774191" y="8347200"/>
          <a:ext cx="374695" cy="25027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VCC</a:t>
          </a:r>
        </a:p>
      </xdr:txBody>
    </xdr:sp>
    <xdr:clientData/>
  </xdr:twoCellAnchor>
  <xdr:twoCellAnchor editAs="absolute">
    <xdr:from>
      <xdr:col>1</xdr:col>
      <xdr:colOff>4599220</xdr:colOff>
      <xdr:row>7</xdr:row>
      <xdr:rowOff>4181156</xdr:rowOff>
    </xdr:from>
    <xdr:to>
      <xdr:col>1</xdr:col>
      <xdr:colOff>4910059</xdr:colOff>
      <xdr:row>7</xdr:row>
      <xdr:rowOff>4413246</xdr:rowOff>
    </xdr:to>
    <xdr:sp macro="" textlink="">
      <xdr:nvSpPr>
        <xdr:cNvPr id="70" name="Text Box 250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>
          <a:spLocks noChangeArrowheads="1"/>
        </xdr:cNvSpPr>
      </xdr:nvSpPr>
      <xdr:spPr bwMode="auto">
        <a:xfrm>
          <a:off x="5304070" y="10410506"/>
          <a:ext cx="310839" cy="2320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CS1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1023436</xdr:colOff>
      <xdr:row>7</xdr:row>
      <xdr:rowOff>2758635</xdr:rowOff>
    </xdr:from>
    <xdr:to>
      <xdr:col>1</xdr:col>
      <xdr:colOff>1350592</xdr:colOff>
      <xdr:row>7</xdr:row>
      <xdr:rowOff>3014259</xdr:rowOff>
    </xdr:to>
    <xdr:sp macro="" textlink="">
      <xdr:nvSpPr>
        <xdr:cNvPr id="71" name="Text Box 251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>
          <a:spLocks noChangeArrowheads="1"/>
        </xdr:cNvSpPr>
      </xdr:nvSpPr>
      <xdr:spPr bwMode="auto">
        <a:xfrm>
          <a:off x="1728286" y="8987985"/>
          <a:ext cx="327156" cy="2556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SS</a:t>
          </a:r>
        </a:p>
      </xdr:txBody>
    </xdr:sp>
    <xdr:clientData/>
  </xdr:twoCellAnchor>
  <xdr:twoCellAnchor editAs="absolute">
    <xdr:from>
      <xdr:col>1</xdr:col>
      <xdr:colOff>781911</xdr:colOff>
      <xdr:row>7</xdr:row>
      <xdr:rowOff>4098220</xdr:rowOff>
    </xdr:from>
    <xdr:to>
      <xdr:col>1</xdr:col>
      <xdr:colOff>1177488</xdr:colOff>
      <xdr:row>7</xdr:row>
      <xdr:rowOff>4299097</xdr:rowOff>
    </xdr:to>
    <xdr:sp macro="" textlink="">
      <xdr:nvSpPr>
        <xdr:cNvPr id="72" name="Text Box 25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>
          <a:spLocks noChangeArrowheads="1"/>
        </xdr:cNvSpPr>
      </xdr:nvSpPr>
      <xdr:spPr bwMode="auto">
        <a:xfrm>
          <a:off x="1486761" y="10327570"/>
          <a:ext cx="395577" cy="2008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FB2</a:t>
          </a:r>
        </a:p>
      </xdr:txBody>
    </xdr:sp>
    <xdr:clientData/>
  </xdr:twoCellAnchor>
  <xdr:twoCellAnchor editAs="absolute">
    <xdr:from>
      <xdr:col>1</xdr:col>
      <xdr:colOff>141951</xdr:colOff>
      <xdr:row>7</xdr:row>
      <xdr:rowOff>3384014</xdr:rowOff>
    </xdr:from>
    <xdr:to>
      <xdr:col>1</xdr:col>
      <xdr:colOff>384920</xdr:colOff>
      <xdr:row>7</xdr:row>
      <xdr:rowOff>3598419</xdr:rowOff>
    </xdr:to>
    <xdr:sp macro="" textlink="">
      <xdr:nvSpPr>
        <xdr:cNvPr id="73" name="Text Box 256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>
          <a:spLocks noChangeArrowheads="1"/>
        </xdr:cNvSpPr>
      </xdr:nvSpPr>
      <xdr:spPr bwMode="auto">
        <a:xfrm>
          <a:off x="846801" y="9613364"/>
          <a:ext cx="242969" cy="2144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C2</a:t>
          </a:r>
        </a:p>
      </xdr:txBody>
    </xdr:sp>
    <xdr:clientData/>
  </xdr:twoCellAnchor>
  <xdr:twoCellAnchor editAs="absolute">
    <xdr:from>
      <xdr:col>1</xdr:col>
      <xdr:colOff>896117</xdr:colOff>
      <xdr:row>7</xdr:row>
      <xdr:rowOff>3625848</xdr:rowOff>
    </xdr:from>
    <xdr:to>
      <xdr:col>1</xdr:col>
      <xdr:colOff>1211687</xdr:colOff>
      <xdr:row>7</xdr:row>
      <xdr:rowOff>3869886</xdr:rowOff>
    </xdr:to>
    <xdr:sp macro="" textlink="">
      <xdr:nvSpPr>
        <xdr:cNvPr id="74" name="Text Box 257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>
          <a:spLocks noChangeArrowheads="1"/>
        </xdr:cNvSpPr>
      </xdr:nvSpPr>
      <xdr:spPr bwMode="auto">
        <a:xfrm>
          <a:off x="1600967" y="9855198"/>
          <a:ext cx="315570" cy="2440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C1</a:t>
          </a:r>
        </a:p>
      </xdr:txBody>
    </xdr:sp>
    <xdr:clientData/>
  </xdr:twoCellAnchor>
  <xdr:twoCellAnchor editAs="absolute">
    <xdr:from>
      <xdr:col>1</xdr:col>
      <xdr:colOff>853558</xdr:colOff>
      <xdr:row>7</xdr:row>
      <xdr:rowOff>3243493</xdr:rowOff>
    </xdr:from>
    <xdr:to>
      <xdr:col>1</xdr:col>
      <xdr:colOff>1162413</xdr:colOff>
      <xdr:row>7</xdr:row>
      <xdr:rowOff>3486999</xdr:rowOff>
    </xdr:to>
    <xdr:sp macro="" textlink="">
      <xdr:nvSpPr>
        <xdr:cNvPr id="75" name="Text Box 258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>
          <a:spLocks noChangeArrowheads="1"/>
        </xdr:cNvSpPr>
      </xdr:nvSpPr>
      <xdr:spPr bwMode="auto">
        <a:xfrm>
          <a:off x="1558408" y="9472843"/>
          <a:ext cx="308855" cy="2435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u="none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</a:p>
      </xdr:txBody>
    </xdr:sp>
    <xdr:clientData/>
  </xdr:twoCellAnchor>
  <xdr:twoCellAnchor editAs="absolute">
    <xdr:from>
      <xdr:col>1</xdr:col>
      <xdr:colOff>9479</xdr:colOff>
      <xdr:row>7</xdr:row>
      <xdr:rowOff>2572891</xdr:rowOff>
    </xdr:from>
    <xdr:to>
      <xdr:col>1</xdr:col>
      <xdr:colOff>693342</xdr:colOff>
      <xdr:row>7</xdr:row>
      <xdr:rowOff>2817536</xdr:rowOff>
    </xdr:to>
    <xdr:sp macro="" textlink="'Variable Management'!B471">
      <xdr:nvSpPr>
        <xdr:cNvPr id="76" name="Text Box 26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14329" y="8802241"/>
          <a:ext cx="683863" cy="244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50E25BC-E8CF-448B-A92C-74321B73BB8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470pF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0</xdr:col>
      <xdr:colOff>657225</xdr:colOff>
      <xdr:row>7</xdr:row>
      <xdr:rowOff>3652592</xdr:rowOff>
    </xdr:from>
    <xdr:to>
      <xdr:col>1</xdr:col>
      <xdr:colOff>372581</xdr:colOff>
      <xdr:row>7</xdr:row>
      <xdr:rowOff>3928150</xdr:rowOff>
    </xdr:to>
    <xdr:sp macro="" textlink="'Variable Management'!B443">
      <xdr:nvSpPr>
        <xdr:cNvPr id="77" name="Text Box 262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57225" y="9881942"/>
          <a:ext cx="420206" cy="2755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2D8520E2-C481-4B17-83BA-3FA209B7A03A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12pF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815405</xdr:colOff>
      <xdr:row>7</xdr:row>
      <xdr:rowOff>3439887</xdr:rowOff>
    </xdr:from>
    <xdr:to>
      <xdr:col>1</xdr:col>
      <xdr:colOff>1274852</xdr:colOff>
      <xdr:row>7</xdr:row>
      <xdr:rowOff>3683426</xdr:rowOff>
    </xdr:to>
    <xdr:sp macro="" textlink="'Variable Management'!B441">
      <xdr:nvSpPr>
        <xdr:cNvPr id="78" name="Text Box 263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520255" y="9669237"/>
          <a:ext cx="459447" cy="2435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EDB14F34-7391-4353-9626-FAE030CE211F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68.1kΩ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720709</xdr:colOff>
      <xdr:row>7</xdr:row>
      <xdr:rowOff>4300720</xdr:rowOff>
    </xdr:from>
    <xdr:to>
      <xdr:col>1</xdr:col>
      <xdr:colOff>1235548</xdr:colOff>
      <xdr:row>7</xdr:row>
      <xdr:rowOff>4475356</xdr:rowOff>
    </xdr:to>
    <xdr:sp macro="" textlink="'Variable Management'!B452">
      <xdr:nvSpPr>
        <xdr:cNvPr id="79" name="Text Box 264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25559" y="10530070"/>
          <a:ext cx="514839" cy="174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4143709D-01BC-4A19-AF00-5C62DAE21E0B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1.69kΩ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35144</xdr:colOff>
      <xdr:row>7</xdr:row>
      <xdr:rowOff>2153311</xdr:rowOff>
    </xdr:from>
    <xdr:to>
      <xdr:col>1</xdr:col>
      <xdr:colOff>715810</xdr:colOff>
      <xdr:row>7</xdr:row>
      <xdr:rowOff>2413283</xdr:rowOff>
    </xdr:to>
    <xdr:sp macro="" textlink="'Variable Management'!B469">
      <xdr:nvSpPr>
        <xdr:cNvPr id="80" name="Text Box 265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39994" y="8382661"/>
          <a:ext cx="680666" cy="2599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30247B59-D142-4194-9028-13C083D6194C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12.7kΩ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648746</xdr:colOff>
      <xdr:row>7</xdr:row>
      <xdr:rowOff>1687485</xdr:rowOff>
    </xdr:from>
    <xdr:to>
      <xdr:col>1</xdr:col>
      <xdr:colOff>1135349</xdr:colOff>
      <xdr:row>7</xdr:row>
      <xdr:rowOff>1872615</xdr:rowOff>
    </xdr:to>
    <xdr:sp macro="" textlink="'Variable Management'!B450">
      <xdr:nvSpPr>
        <xdr:cNvPr id="81" name="Text Box 266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53596" y="7916835"/>
          <a:ext cx="486603" cy="185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F0D4FEFA-1BCB-42BA-B0A4-AAEA1128161F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10nF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6802438</xdr:colOff>
      <xdr:row>7</xdr:row>
      <xdr:rowOff>2324357</xdr:rowOff>
    </xdr:from>
    <xdr:to>
      <xdr:col>1</xdr:col>
      <xdr:colOff>7303337</xdr:colOff>
      <xdr:row>7</xdr:row>
      <xdr:rowOff>2533495</xdr:rowOff>
    </xdr:to>
    <xdr:sp macro="" textlink="'Variable Management'!B433">
      <xdr:nvSpPr>
        <xdr:cNvPr id="82" name="Text Box 2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07288" y="8553707"/>
          <a:ext cx="500899" cy="209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DEF62FD0-959B-4627-B7E8-61CA1688D174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600µF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1750147</xdr:colOff>
      <xdr:row>7</xdr:row>
      <xdr:rowOff>4634800</xdr:rowOff>
    </xdr:from>
    <xdr:to>
      <xdr:col>1</xdr:col>
      <xdr:colOff>2273580</xdr:colOff>
      <xdr:row>7</xdr:row>
      <xdr:rowOff>4927889</xdr:rowOff>
    </xdr:to>
    <xdr:sp macro="" textlink="'Variable Management'!B451">
      <xdr:nvSpPr>
        <xdr:cNvPr id="83" name="Text Box 268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2454997" y="10864150"/>
          <a:ext cx="523433" cy="2930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DE4FB3C5-779F-4472-8885-3DB2A25A3AD8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100kΩ</a:t>
          </a:fld>
          <a:endParaRPr lang="el-GR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7863577</xdr:colOff>
      <xdr:row>7</xdr:row>
      <xdr:rowOff>1180255</xdr:rowOff>
    </xdr:from>
    <xdr:to>
      <xdr:col>1</xdr:col>
      <xdr:colOff>8405722</xdr:colOff>
      <xdr:row>7</xdr:row>
      <xdr:rowOff>1385433</xdr:rowOff>
    </xdr:to>
    <xdr:sp macro="" textlink="'Variable Management'!B464">
      <xdr:nvSpPr>
        <xdr:cNvPr id="84" name="Text Box 274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568427" y="7409605"/>
          <a:ext cx="542145" cy="2051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14CFEDF3-9A5F-4A24-9D5F-304E5DC1B6C6}" type="TxLink">
            <a:rPr lang="en-US" sz="1000" b="0" i="0" u="none" strike="noStrike">
              <a:solidFill>
                <a:srgbClr val="000000"/>
              </a:solidFill>
              <a:latin typeface="Arialri"/>
              <a:cs typeface="Arial" pitchFamily="34" charset="0"/>
            </a:rPr>
            <a:pPr algn="ctr" rtl="0">
              <a:defRPr sz="1000"/>
            </a:pPr>
            <a:t>2.5mΩ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6539066</xdr:colOff>
      <xdr:row>7</xdr:row>
      <xdr:rowOff>1508922</xdr:rowOff>
    </xdr:from>
    <xdr:to>
      <xdr:col>1</xdr:col>
      <xdr:colOff>6987309</xdr:colOff>
      <xdr:row>7</xdr:row>
      <xdr:rowOff>1718015</xdr:rowOff>
    </xdr:to>
    <xdr:sp macro="" textlink="'Variable Management'!B426">
      <xdr:nvSpPr>
        <xdr:cNvPr id="85" name="Text Box 27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243916" y="7738272"/>
          <a:ext cx="448243" cy="2090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fld id="{08583DE7-3129-476B-98BE-2887A134E956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 rtl="0">
              <a:defRPr sz="1000"/>
            </a:pPr>
            <a:t>3.3µH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6311714</xdr:colOff>
      <xdr:row>7</xdr:row>
      <xdr:rowOff>2310702</xdr:rowOff>
    </xdr:from>
    <xdr:to>
      <xdr:col>1</xdr:col>
      <xdr:colOff>6784061</xdr:colOff>
      <xdr:row>7</xdr:row>
      <xdr:rowOff>2534418</xdr:rowOff>
    </xdr:to>
    <xdr:sp macro="" textlink="'Variable Management'!B437">
      <xdr:nvSpPr>
        <xdr:cNvPr id="86" name="Text Box 27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016564" y="8540052"/>
          <a:ext cx="472347" cy="2237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7E8F3901-1453-4951-8E28-510E65401D4C}" type="TxLink">
            <a:rPr lang="en-US" sz="10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100µF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3505332</xdr:colOff>
      <xdr:row>7</xdr:row>
      <xdr:rowOff>155199</xdr:rowOff>
    </xdr:from>
    <xdr:to>
      <xdr:col>1</xdr:col>
      <xdr:colOff>3874809</xdr:colOff>
      <xdr:row>7</xdr:row>
      <xdr:rowOff>391314</xdr:rowOff>
    </xdr:to>
    <xdr:sp macro="" textlink="">
      <xdr:nvSpPr>
        <xdr:cNvPr id="87" name="Text Box 279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>
          <a:spLocks noChangeArrowheads="1"/>
        </xdr:cNvSpPr>
      </xdr:nvSpPr>
      <xdr:spPr bwMode="auto">
        <a:xfrm>
          <a:off x="4210182" y="6384549"/>
          <a:ext cx="369477" cy="2361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1006694</xdr:colOff>
      <xdr:row>7</xdr:row>
      <xdr:rowOff>2959505</xdr:rowOff>
    </xdr:from>
    <xdr:to>
      <xdr:col>1</xdr:col>
      <xdr:colOff>1444337</xdr:colOff>
      <xdr:row>7</xdr:row>
      <xdr:rowOff>3194355</xdr:rowOff>
    </xdr:to>
    <xdr:sp macro="" textlink="'Variable Management'!B470">
      <xdr:nvSpPr>
        <xdr:cNvPr id="88" name="Text Box 28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11544" y="9188855"/>
          <a:ext cx="437643" cy="23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77460045-3ADA-4E36-A50B-8C5C548E137C}" type="TxLink">
            <a:rPr lang="en-US" sz="100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l" rtl="0">
              <a:defRPr sz="1000"/>
            </a:pPr>
            <a:t>330nF</a:t>
          </a:fld>
          <a:endParaRPr lang="en-US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8287206</xdr:colOff>
      <xdr:row>7</xdr:row>
      <xdr:rowOff>986041</xdr:rowOff>
    </xdr:from>
    <xdr:to>
      <xdr:col>1</xdr:col>
      <xdr:colOff>8765869</xdr:colOff>
      <xdr:row>7</xdr:row>
      <xdr:rowOff>1230653</xdr:rowOff>
    </xdr:to>
    <xdr:sp macro="" textlink="'Variable Management'!B431">
      <xdr:nvSpPr>
        <xdr:cNvPr id="89" name="Text Box 285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92056" y="7215391"/>
          <a:ext cx="478663" cy="244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r" rtl="0">
            <a:defRPr sz="1000"/>
          </a:pPr>
          <a:fld id="{702C2B8A-7C4B-4FDB-B229-3170089D9686}" type="TxLink">
            <a:rPr lang="en-US" sz="1200" b="1" i="0" u="none" strike="noStrike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48V</a:t>
          </a:fld>
          <a:endParaRPr lang="en-US" sz="1200" b="1" i="0" u="none" strike="noStrike" baseline="0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8272196</xdr:colOff>
      <xdr:row>7</xdr:row>
      <xdr:rowOff>1215042</xdr:rowOff>
    </xdr:from>
    <xdr:to>
      <xdr:col>1</xdr:col>
      <xdr:colOff>8725233</xdr:colOff>
      <xdr:row>7</xdr:row>
      <xdr:rowOff>1457596</xdr:rowOff>
    </xdr:to>
    <xdr:sp macro="" textlink="'Variable Management'!B473">
      <xdr:nvSpPr>
        <xdr:cNvPr id="90" name="Text Box 286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 txBox="1">
          <a:spLocks noChangeArrowheads="1" noTextEdit="1"/>
        </xdr:cNvSpPr>
      </xdr:nvSpPr>
      <xdr:spPr bwMode="auto">
        <a:xfrm>
          <a:off x="8977046" y="7444392"/>
          <a:ext cx="453037" cy="2425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E0FB88FA-F39E-4ACF-AB5E-DCB628763AAE}" type="TxLink">
            <a:rPr lang="en-US" sz="1200" b="1" i="0" u="none" strike="noStrike">
              <a:solidFill>
                <a:srgbClr val="FF0000"/>
              </a:solidFill>
              <a:latin typeface="Arial" pitchFamily="34" charset="0"/>
              <a:cs typeface="Arial" pitchFamily="34" charset="0"/>
            </a:rPr>
            <a:pPr algn="r" rtl="0">
              <a:defRPr sz="1000"/>
            </a:pPr>
            <a:t>10A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339944</xdr:colOff>
      <xdr:row>7</xdr:row>
      <xdr:rowOff>1978754</xdr:rowOff>
    </xdr:from>
    <xdr:to>
      <xdr:col>1</xdr:col>
      <xdr:colOff>604552</xdr:colOff>
      <xdr:row>7</xdr:row>
      <xdr:rowOff>2170569</xdr:rowOff>
    </xdr:to>
    <xdr:sp macro="" textlink="">
      <xdr:nvSpPr>
        <xdr:cNvPr id="91" name="Text Box 251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 txBox="1">
          <a:spLocks noChangeArrowheads="1"/>
        </xdr:cNvSpPr>
      </xdr:nvSpPr>
      <xdr:spPr bwMode="auto">
        <a:xfrm>
          <a:off x="1044794" y="8208104"/>
          <a:ext cx="264608" cy="19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T</a:t>
          </a:r>
        </a:p>
      </xdr:txBody>
    </xdr:sp>
    <xdr:clientData/>
  </xdr:twoCellAnchor>
  <xdr:twoCellAnchor editAs="absolute">
    <xdr:from>
      <xdr:col>1</xdr:col>
      <xdr:colOff>2952085</xdr:colOff>
      <xdr:row>7</xdr:row>
      <xdr:rowOff>151110</xdr:rowOff>
    </xdr:from>
    <xdr:to>
      <xdr:col>1</xdr:col>
      <xdr:colOff>3413563</xdr:colOff>
      <xdr:row>7</xdr:row>
      <xdr:rowOff>375118</xdr:rowOff>
    </xdr:to>
    <xdr:sp macro="" textlink="">
      <xdr:nvSpPr>
        <xdr:cNvPr id="92" name="Text Box 247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 txBox="1">
          <a:spLocks noChangeArrowheads="1"/>
        </xdr:cNvSpPr>
      </xdr:nvSpPr>
      <xdr:spPr bwMode="auto">
        <a:xfrm>
          <a:off x="3656935" y="6380460"/>
          <a:ext cx="461478" cy="2240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BOOT1</a:t>
          </a:r>
        </a:p>
      </xdr:txBody>
    </xdr:sp>
    <xdr:clientData/>
  </xdr:twoCellAnchor>
  <xdr:twoCellAnchor editAs="absolute">
    <xdr:from>
      <xdr:col>1</xdr:col>
      <xdr:colOff>5943177</xdr:colOff>
      <xdr:row>7</xdr:row>
      <xdr:rowOff>2266758</xdr:rowOff>
    </xdr:from>
    <xdr:to>
      <xdr:col>1</xdr:col>
      <xdr:colOff>6265561</xdr:colOff>
      <xdr:row>7</xdr:row>
      <xdr:rowOff>2512008</xdr:rowOff>
    </xdr:to>
    <xdr:sp macro="" textlink="">
      <xdr:nvSpPr>
        <xdr:cNvPr id="93" name="Text Box 244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 txBox="1">
          <a:spLocks noChangeArrowheads="1"/>
        </xdr:cNvSpPr>
      </xdr:nvSpPr>
      <xdr:spPr bwMode="auto">
        <a:xfrm>
          <a:off x="6648027" y="8496108"/>
          <a:ext cx="322384" cy="245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 editAs="absolute">
    <xdr:from>
      <xdr:col>1</xdr:col>
      <xdr:colOff>5944154</xdr:colOff>
      <xdr:row>7</xdr:row>
      <xdr:rowOff>1390774</xdr:rowOff>
    </xdr:from>
    <xdr:to>
      <xdr:col>1</xdr:col>
      <xdr:colOff>6266538</xdr:colOff>
      <xdr:row>7</xdr:row>
      <xdr:rowOff>1656965</xdr:rowOff>
    </xdr:to>
    <xdr:sp macro="" textlink="">
      <xdr:nvSpPr>
        <xdr:cNvPr id="94" name="Text Box 244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 txBox="1">
          <a:spLocks noChangeArrowheads="1"/>
        </xdr:cNvSpPr>
      </xdr:nvSpPr>
      <xdr:spPr bwMode="auto">
        <a:xfrm>
          <a:off x="6649004" y="7620124"/>
          <a:ext cx="322384" cy="2661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6867893</xdr:colOff>
      <xdr:row>7</xdr:row>
      <xdr:rowOff>3150337</xdr:rowOff>
    </xdr:from>
    <xdr:to>
      <xdr:col>1</xdr:col>
      <xdr:colOff>7347524</xdr:colOff>
      <xdr:row>7</xdr:row>
      <xdr:rowOff>3421399</xdr:rowOff>
    </xdr:to>
    <xdr:sp macro="" textlink="'Variable Management'!B428">
      <xdr:nvSpPr>
        <xdr:cNvPr id="95" name="Text Box 275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7572743" y="9379687"/>
          <a:ext cx="479631" cy="2710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952677B8-8C18-463F-B0C9-D2099A1EBA1B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3mΩ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254219</xdr:colOff>
      <xdr:row>7</xdr:row>
      <xdr:rowOff>2380749</xdr:rowOff>
    </xdr:from>
    <xdr:to>
      <xdr:col>1</xdr:col>
      <xdr:colOff>687280</xdr:colOff>
      <xdr:row>7</xdr:row>
      <xdr:rowOff>2617060</xdr:rowOff>
    </xdr:to>
    <xdr:sp macro="" textlink="">
      <xdr:nvSpPr>
        <xdr:cNvPr id="96" name="Text Box 25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 txBox="1">
          <a:spLocks noChangeArrowheads="1"/>
        </xdr:cNvSpPr>
      </xdr:nvSpPr>
      <xdr:spPr bwMode="auto">
        <a:xfrm>
          <a:off x="959069" y="8610099"/>
          <a:ext cx="433061" cy="2363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SLOPE</a:t>
          </a:r>
        </a:p>
      </xdr:txBody>
    </xdr:sp>
    <xdr:clientData/>
  </xdr:twoCellAnchor>
  <xdr:twoCellAnchor editAs="absolute">
    <xdr:from>
      <xdr:col>1</xdr:col>
      <xdr:colOff>5510442</xdr:colOff>
      <xdr:row>7</xdr:row>
      <xdr:rowOff>3222811</xdr:rowOff>
    </xdr:from>
    <xdr:to>
      <xdr:col>1</xdr:col>
      <xdr:colOff>5917925</xdr:colOff>
      <xdr:row>7</xdr:row>
      <xdr:rowOff>3467178</xdr:rowOff>
    </xdr:to>
    <xdr:sp macro="" textlink="">
      <xdr:nvSpPr>
        <xdr:cNvPr id="97" name="Text Box 248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 txBox="1">
          <a:spLocks noChangeArrowheads="1"/>
        </xdr:cNvSpPr>
      </xdr:nvSpPr>
      <xdr:spPr bwMode="auto">
        <a:xfrm>
          <a:off x="6215292" y="9452161"/>
          <a:ext cx="407483" cy="2443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4880097</xdr:colOff>
      <xdr:row>7</xdr:row>
      <xdr:rowOff>3625880</xdr:rowOff>
    </xdr:from>
    <xdr:to>
      <xdr:col>1</xdr:col>
      <xdr:colOff>5341575</xdr:colOff>
      <xdr:row>7</xdr:row>
      <xdr:rowOff>3876702</xdr:rowOff>
    </xdr:to>
    <xdr:sp macro="" textlink="">
      <xdr:nvSpPr>
        <xdr:cNvPr id="98" name="Text Box 24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 txBox="1">
          <a:spLocks noChangeArrowheads="1"/>
        </xdr:cNvSpPr>
      </xdr:nvSpPr>
      <xdr:spPr bwMode="auto">
        <a:xfrm>
          <a:off x="5584947" y="9855230"/>
          <a:ext cx="461478" cy="2508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BOOT2</a:t>
          </a:r>
        </a:p>
      </xdr:txBody>
    </xdr:sp>
    <xdr:clientData/>
  </xdr:twoCellAnchor>
  <xdr:twoCellAnchor editAs="absolute">
    <xdr:from>
      <xdr:col>1</xdr:col>
      <xdr:colOff>4940561</xdr:colOff>
      <xdr:row>7</xdr:row>
      <xdr:rowOff>3837855</xdr:rowOff>
    </xdr:from>
    <xdr:to>
      <xdr:col>1</xdr:col>
      <xdr:colOff>5310038</xdr:colOff>
      <xdr:row>7</xdr:row>
      <xdr:rowOff>4065180</xdr:rowOff>
    </xdr:to>
    <xdr:sp macro="" textlink="">
      <xdr:nvSpPr>
        <xdr:cNvPr id="99" name="Text Box 279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 txBox="1">
          <a:spLocks noChangeArrowheads="1"/>
        </xdr:cNvSpPr>
      </xdr:nvSpPr>
      <xdr:spPr bwMode="auto">
        <a:xfrm>
          <a:off x="5645411" y="10067205"/>
          <a:ext cx="369477" cy="227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5094928</xdr:colOff>
      <xdr:row>7</xdr:row>
      <xdr:rowOff>2386949</xdr:rowOff>
    </xdr:from>
    <xdr:to>
      <xdr:col>1</xdr:col>
      <xdr:colOff>5365431</xdr:colOff>
      <xdr:row>7</xdr:row>
      <xdr:rowOff>2623978</xdr:rowOff>
    </xdr:to>
    <xdr:sp macro="" textlink="">
      <xdr:nvSpPr>
        <xdr:cNvPr id="100" name="Text Box 27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 txBox="1">
          <a:spLocks noChangeArrowheads="1"/>
        </xdr:cNvSpPr>
      </xdr:nvSpPr>
      <xdr:spPr bwMode="auto">
        <a:xfrm>
          <a:off x="5799778" y="8616299"/>
          <a:ext cx="270503" cy="2370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2444899</xdr:colOff>
      <xdr:row>7</xdr:row>
      <xdr:rowOff>47625</xdr:rowOff>
    </xdr:from>
    <xdr:to>
      <xdr:col>1</xdr:col>
      <xdr:colOff>2821188</xdr:colOff>
      <xdr:row>7</xdr:row>
      <xdr:rowOff>283294</xdr:rowOff>
    </xdr:to>
    <xdr:sp macro="" textlink="">
      <xdr:nvSpPr>
        <xdr:cNvPr id="101" name="Text Box 27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>
          <a:spLocks noChangeArrowheads="1"/>
        </xdr:cNvSpPr>
      </xdr:nvSpPr>
      <xdr:spPr bwMode="auto">
        <a:xfrm>
          <a:off x="3149749" y="6276975"/>
          <a:ext cx="376289" cy="2356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0.1</a:t>
          </a:r>
          <a:r>
            <a:rPr lang="el-GR" sz="1000" b="0" i="0">
              <a:latin typeface="Arial" pitchFamily="34" charset="0"/>
              <a:ea typeface="+mn-ea"/>
              <a:cs typeface="Arial" pitchFamily="34" charset="0"/>
            </a:rPr>
            <a:t>μ</a:t>
          </a:r>
          <a:r>
            <a:rPr lang="en-US" sz="1000" b="0" i="0">
              <a:latin typeface="Arial" pitchFamily="34" charset="0"/>
              <a:ea typeface="+mn-ea"/>
              <a:cs typeface="Arial" pitchFamily="34" charset="0"/>
            </a:rPr>
            <a:t>F</a:t>
          </a:r>
          <a:endParaRPr lang="en-US" sz="10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2144579</xdr:colOff>
      <xdr:row>7</xdr:row>
      <xdr:rowOff>488027</xdr:rowOff>
    </xdr:from>
    <xdr:to>
      <xdr:col>1</xdr:col>
      <xdr:colOff>2471641</xdr:colOff>
      <xdr:row>7</xdr:row>
      <xdr:rowOff>715157</xdr:rowOff>
    </xdr:to>
    <xdr:sp macro="" textlink="">
      <xdr:nvSpPr>
        <xdr:cNvPr id="102" name="Text Box 24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 txBox="1">
          <a:spLocks noChangeArrowheads="1"/>
        </xdr:cNvSpPr>
      </xdr:nvSpPr>
      <xdr:spPr bwMode="auto">
        <a:xfrm>
          <a:off x="2849429" y="6717377"/>
          <a:ext cx="327062" cy="2271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2451906</xdr:colOff>
      <xdr:row>7</xdr:row>
      <xdr:rowOff>508323</xdr:rowOff>
    </xdr:from>
    <xdr:to>
      <xdr:col>1</xdr:col>
      <xdr:colOff>2822138</xdr:colOff>
      <xdr:row>7</xdr:row>
      <xdr:rowOff>732466</xdr:rowOff>
    </xdr:to>
    <xdr:sp macro="" textlink="">
      <xdr:nvSpPr>
        <xdr:cNvPr id="103" name="Text Box 277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 txBox="1">
          <a:spLocks noChangeArrowheads="1"/>
        </xdr:cNvSpPr>
      </xdr:nvSpPr>
      <xdr:spPr bwMode="auto">
        <a:xfrm>
          <a:off x="3156756" y="6737673"/>
          <a:ext cx="370232" cy="224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l-GR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2Ω</a:t>
          </a:r>
        </a:p>
      </xdr:txBody>
    </xdr:sp>
    <xdr:clientData/>
  </xdr:twoCellAnchor>
  <xdr:twoCellAnchor editAs="absolute">
    <xdr:from>
      <xdr:col>1</xdr:col>
      <xdr:colOff>4627899</xdr:colOff>
      <xdr:row>7</xdr:row>
      <xdr:rowOff>4767713</xdr:rowOff>
    </xdr:from>
    <xdr:to>
      <xdr:col>1</xdr:col>
      <xdr:colOff>4940204</xdr:colOff>
      <xdr:row>8</xdr:row>
      <xdr:rowOff>1691</xdr:rowOff>
    </xdr:to>
    <xdr:sp macro="" textlink="">
      <xdr:nvSpPr>
        <xdr:cNvPr id="104" name="Text Box 250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 txBox="1">
          <a:spLocks noChangeArrowheads="1"/>
        </xdr:cNvSpPr>
      </xdr:nvSpPr>
      <xdr:spPr bwMode="auto">
        <a:xfrm>
          <a:off x="5332749" y="10997063"/>
          <a:ext cx="312305" cy="2250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R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CS2</a:t>
          </a:r>
        </a:p>
        <a:p>
          <a:pPr algn="l" rtl="0">
            <a:defRPr sz="1000"/>
          </a:pP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ood</a:t>
          </a:r>
        </a:p>
      </xdr:txBody>
    </xdr:sp>
    <xdr:clientData/>
  </xdr:twoCellAnchor>
  <xdr:twoCellAnchor editAs="absolute">
    <xdr:from>
      <xdr:col>1</xdr:col>
      <xdr:colOff>2028048</xdr:colOff>
      <xdr:row>7</xdr:row>
      <xdr:rowOff>61062</xdr:rowOff>
    </xdr:from>
    <xdr:to>
      <xdr:col>1</xdr:col>
      <xdr:colOff>2352330</xdr:colOff>
      <xdr:row>7</xdr:row>
      <xdr:rowOff>279753</xdr:rowOff>
    </xdr:to>
    <xdr:sp macro="" textlink="">
      <xdr:nvSpPr>
        <xdr:cNvPr id="105" name="Text Box 24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 txBox="1">
          <a:spLocks noChangeArrowheads="1"/>
        </xdr:cNvSpPr>
      </xdr:nvSpPr>
      <xdr:spPr bwMode="auto">
        <a:xfrm>
          <a:off x="2732898" y="6290412"/>
          <a:ext cx="324282" cy="2186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C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7319710</xdr:colOff>
      <xdr:row>7</xdr:row>
      <xdr:rowOff>2263019</xdr:rowOff>
    </xdr:from>
    <xdr:to>
      <xdr:col>1</xdr:col>
      <xdr:colOff>7598272</xdr:colOff>
      <xdr:row>7</xdr:row>
      <xdr:rowOff>2553389</xdr:rowOff>
    </xdr:to>
    <xdr:sp macro="" textlink="">
      <xdr:nvSpPr>
        <xdr:cNvPr id="106" name="Text Box 244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 txBox="1">
          <a:spLocks noChangeArrowheads="1"/>
        </xdr:cNvSpPr>
      </xdr:nvSpPr>
      <xdr:spPr bwMode="auto">
        <a:xfrm>
          <a:off x="8024560" y="8492369"/>
          <a:ext cx="278562" cy="2903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 editAs="absolute">
    <xdr:from>
      <xdr:col>1</xdr:col>
      <xdr:colOff>7311161</xdr:colOff>
      <xdr:row>7</xdr:row>
      <xdr:rowOff>1389309</xdr:rowOff>
    </xdr:from>
    <xdr:to>
      <xdr:col>1</xdr:col>
      <xdr:colOff>7590944</xdr:colOff>
      <xdr:row>7</xdr:row>
      <xdr:rowOff>1653226</xdr:rowOff>
    </xdr:to>
    <xdr:sp macro="" textlink="">
      <xdr:nvSpPr>
        <xdr:cNvPr id="107" name="Text Box 244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>
          <a:spLocks noChangeArrowheads="1"/>
        </xdr:cNvSpPr>
      </xdr:nvSpPr>
      <xdr:spPr bwMode="auto">
        <a:xfrm>
          <a:off x="8016011" y="7618659"/>
          <a:ext cx="279783" cy="2639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Q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 editAs="absolute">
    <xdr:from>
      <xdr:col>1</xdr:col>
      <xdr:colOff>663203</xdr:colOff>
      <xdr:row>7</xdr:row>
      <xdr:rowOff>3831246</xdr:rowOff>
    </xdr:from>
    <xdr:to>
      <xdr:col>1</xdr:col>
      <xdr:colOff>1167405</xdr:colOff>
      <xdr:row>7</xdr:row>
      <xdr:rowOff>4074649</xdr:rowOff>
    </xdr:to>
    <xdr:sp macro="" textlink="'Variable Management'!B442">
      <xdr:nvSpPr>
        <xdr:cNvPr id="108" name="Text Box 26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368053" y="10060596"/>
          <a:ext cx="504202" cy="2434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r" rtl="0">
            <a:defRPr sz="1000"/>
          </a:pPr>
          <a:fld id="{B9060F6D-CAA3-48E6-BAE7-37C16D6980D0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r" rtl="0">
              <a:defRPr sz="1000"/>
            </a:pPr>
            <a:t>12nF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4854635</xdr:colOff>
      <xdr:row>7</xdr:row>
      <xdr:rowOff>4489457</xdr:rowOff>
    </xdr:from>
    <xdr:to>
      <xdr:col>1</xdr:col>
      <xdr:colOff>5248259</xdr:colOff>
      <xdr:row>7</xdr:row>
      <xdr:rowOff>4722477</xdr:rowOff>
    </xdr:to>
    <xdr:sp macro="" textlink="'Variable Management'!B467">
      <xdr:nvSpPr>
        <xdr:cNvPr id="109" name="Text Box 27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 txBox="1">
          <a:spLocks noChangeArrowheads="1" noTextEdit="1"/>
        </xdr:cNvSpPr>
      </xdr:nvSpPr>
      <xdr:spPr bwMode="auto">
        <a:xfrm>
          <a:off x="5559485" y="10718807"/>
          <a:ext cx="393624" cy="2330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l" rtl="0">
            <a:defRPr sz="1000"/>
          </a:pPr>
          <a:fld id="{62E2AFC2-CB14-431A-99E1-2EF4D5A6CD34}" type="TxLink">
            <a:rPr lang="en-US" sz="1000" b="0" i="0" u="none" strike="noStrike" baseline="0">
              <a:solidFill>
                <a:srgbClr val="000000"/>
              </a:solidFill>
              <a:latin typeface="Arialri"/>
              <a:cs typeface="Arial" pitchFamily="34" charset="0"/>
            </a:rPr>
            <a:pPr algn="l" rtl="0">
              <a:defRPr sz="1000"/>
            </a:pPr>
            <a:t> </a:t>
          </a:fld>
          <a:endParaRPr lang="el-GR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1654331</xdr:colOff>
      <xdr:row>7</xdr:row>
      <xdr:rowOff>430264</xdr:rowOff>
    </xdr:from>
    <xdr:to>
      <xdr:col>1</xdr:col>
      <xdr:colOff>2003826</xdr:colOff>
      <xdr:row>7</xdr:row>
      <xdr:rowOff>671909</xdr:rowOff>
    </xdr:to>
    <xdr:sp macro="" textlink="">
      <xdr:nvSpPr>
        <xdr:cNvPr id="110" name="Text Box 248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 txBox="1">
          <a:spLocks noChangeArrowheads="1"/>
        </xdr:cNvSpPr>
      </xdr:nvSpPr>
      <xdr:spPr bwMode="auto">
        <a:xfrm>
          <a:off x="2359181" y="6659614"/>
          <a:ext cx="349495" cy="2416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</a:t>
          </a:r>
          <a:r>
            <a:rPr lang="en-US" sz="1000" b="0" i="0" strike="noStrike" baseline="-2500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VIN</a:t>
          </a:r>
        </a:p>
      </xdr:txBody>
    </xdr:sp>
    <xdr:clientData/>
  </xdr:twoCellAnchor>
  <xdr:twoCellAnchor editAs="absolute">
    <xdr:from>
      <xdr:col>1</xdr:col>
      <xdr:colOff>6290995</xdr:colOff>
      <xdr:row>7</xdr:row>
      <xdr:rowOff>1006446</xdr:rowOff>
    </xdr:from>
    <xdr:to>
      <xdr:col>1</xdr:col>
      <xdr:colOff>7281596</xdr:colOff>
      <xdr:row>7</xdr:row>
      <xdr:rowOff>1266695</xdr:rowOff>
    </xdr:to>
    <xdr:sp macro="" textlink="'Variable Management'!B475">
      <xdr:nvSpPr>
        <xdr:cNvPr id="111" name="Text Box 283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>
          <a:spLocks noChangeArrowheads="1" noTextEdit="1"/>
        </xdr:cNvSpPr>
      </xdr:nvSpPr>
      <xdr:spPr bwMode="auto">
        <a:xfrm>
          <a:off x="6995845" y="7235796"/>
          <a:ext cx="990601" cy="2602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B114F7CE-60BB-40BD-BD7F-B22E7592FFCF}" type="TxLink">
            <a:rPr lang="en-US" sz="1200" b="1" i="0" u="none" strike="noStrike">
              <a:solidFill>
                <a:srgbClr val="FF0000"/>
              </a:solidFill>
              <a:latin typeface="Arial"/>
              <a:cs typeface="Arial"/>
            </a:rPr>
            <a:pPr algn="l" rtl="0">
              <a:defRPr sz="1000"/>
            </a:pPr>
            <a:t>5V...20V</a:t>
          </a:fld>
          <a:endParaRPr lang="en-US" sz="1200" b="1" i="0" strike="noStrike">
            <a:solidFill>
              <a:srgbClr val="FF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absolute">
    <xdr:from>
      <xdr:col>1</xdr:col>
      <xdr:colOff>713956</xdr:colOff>
      <xdr:row>7</xdr:row>
      <xdr:rowOff>1516768</xdr:rowOff>
    </xdr:from>
    <xdr:to>
      <xdr:col>1</xdr:col>
      <xdr:colOff>1196832</xdr:colOff>
      <xdr:row>7</xdr:row>
      <xdr:rowOff>1701897</xdr:rowOff>
    </xdr:to>
    <xdr:sp macro="" textlink="'Variable Management'!C450">
      <xdr:nvSpPr>
        <xdr:cNvPr id="112" name="Text Box 266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418806" y="7746118"/>
          <a:ext cx="482876" cy="1851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fld id="{DF2A2C16-623E-4E51-B82E-2B3F1562B3CF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Cd</a:t>
          </a:fld>
          <a:endParaRPr lang="en-US" sz="10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1009650</xdr:rowOff>
    </xdr:from>
    <xdr:to>
      <xdr:col>5</xdr:col>
      <xdr:colOff>240968</xdr:colOff>
      <xdr:row>4</xdr:row>
      <xdr:rowOff>1238250</xdr:rowOff>
    </xdr:to>
    <xdr:sp macro="" textlink="'Variable Management'!$B$457">
      <xdr:nvSpPr>
        <xdr:cNvPr id="5" name="Text Box 2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753725" y="1657350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F0AFB1C-0795-4024-9821-D34D86340D40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129.7%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</xdr:col>
      <xdr:colOff>419100</xdr:colOff>
      <xdr:row>4</xdr:row>
      <xdr:rowOff>1000125</xdr:rowOff>
    </xdr:from>
    <xdr:to>
      <xdr:col>4</xdr:col>
      <xdr:colOff>231443</xdr:colOff>
      <xdr:row>4</xdr:row>
      <xdr:rowOff>1228725</xdr:rowOff>
    </xdr:to>
    <xdr:sp macro="" textlink="'Variable Management'!$B$458">
      <xdr:nvSpPr>
        <xdr:cNvPr id="7" name="Text Box 24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0134600" y="1647825"/>
          <a:ext cx="421943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27432" tIns="22860" rIns="0" bIns="22860" anchor="b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fld id="{17D4567B-D519-4FF8-A1F3-102CF08055AD}" type="TxLink"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92.1%</a:t>
          </a:fld>
          <a:endParaRPr lang="en-US" sz="900" b="1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4</xdr:row>
      <xdr:rowOff>12700</xdr:rowOff>
    </xdr:from>
    <xdr:to>
      <xdr:col>1</xdr:col>
      <xdr:colOff>8150225</xdr:colOff>
      <xdr:row>4</xdr:row>
      <xdr:rowOff>5165725</xdr:rowOff>
    </xdr:to>
    <xdr:graphicFrame macro="">
      <xdr:nvGraphicFramePr>
        <xdr:cNvPr id="8" name="Chart 25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6</xdr:row>
      <xdr:rowOff>6350</xdr:rowOff>
    </xdr:from>
    <xdr:to>
      <xdr:col>1</xdr:col>
      <xdr:colOff>8162925</xdr:colOff>
      <xdr:row>6</xdr:row>
      <xdr:rowOff>5159375</xdr:rowOff>
    </xdr:to>
    <xdr:graphicFrame macro="">
      <xdr:nvGraphicFramePr>
        <xdr:cNvPr id="9" name="Chart 253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628650</xdr:colOff>
      <xdr:row>59</xdr:row>
      <xdr:rowOff>66675</xdr:rowOff>
    </xdr:from>
    <xdr:to>
      <xdr:col>45</xdr:col>
      <xdr:colOff>381000</xdr:colOff>
      <xdr:row>89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495300</xdr:colOff>
      <xdr:row>59</xdr:row>
      <xdr:rowOff>47625</xdr:rowOff>
    </xdr:from>
    <xdr:to>
      <xdr:col>34</xdr:col>
      <xdr:colOff>457200</xdr:colOff>
      <xdr:row>88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95250</xdr:colOff>
      <xdr:row>59</xdr:row>
      <xdr:rowOff>31507</xdr:rowOff>
    </xdr:from>
    <xdr:to>
      <xdr:col>23</xdr:col>
      <xdr:colOff>327512</xdr:colOff>
      <xdr:row>88</xdr:row>
      <xdr:rowOff>21982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142874</xdr:colOff>
      <xdr:row>92</xdr:row>
      <xdr:rowOff>66675</xdr:rowOff>
    </xdr:from>
    <xdr:to>
      <xdr:col>24</xdr:col>
      <xdr:colOff>171449</xdr:colOff>
      <xdr:row>121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55</xdr:row>
      <xdr:rowOff>66675</xdr:rowOff>
    </xdr:from>
    <xdr:to>
      <xdr:col>45</xdr:col>
      <xdr:colOff>285750</xdr:colOff>
      <xdr:row>84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400050</xdr:colOff>
      <xdr:row>55</xdr:row>
      <xdr:rowOff>47625</xdr:rowOff>
    </xdr:from>
    <xdr:to>
      <xdr:col>34</xdr:col>
      <xdr:colOff>361950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55</xdr:row>
      <xdr:rowOff>31507</xdr:rowOff>
    </xdr:from>
    <xdr:to>
      <xdr:col>23</xdr:col>
      <xdr:colOff>232262</xdr:colOff>
      <xdr:row>83</xdr:row>
      <xdr:rowOff>145807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942975</xdr:colOff>
      <xdr:row>14</xdr:row>
      <xdr:rowOff>142875</xdr:rowOff>
    </xdr:from>
    <xdr:to>
      <xdr:col>10</xdr:col>
      <xdr:colOff>304800</xdr:colOff>
      <xdr:row>40</xdr:row>
      <xdr:rowOff>66675</xdr:rowOff>
    </xdr:to>
    <xdr:graphicFrame macro="">
      <xdr:nvGraphicFramePr>
        <xdr:cNvPr id="2" name="Chart 1029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0196876\Desktop\LM5177\Quickstart%20Tool\customer\Valeo_LM5177%20Buck-Boost%20Quickstart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Converter"/>
      <sheetName val="Licenses"/>
      <sheetName val="BOM &amp; Schematic"/>
      <sheetName val="EVMs"/>
      <sheetName val="Variable Management"/>
      <sheetName val="Timings"/>
      <sheetName val="CFG Setting"/>
      <sheetName val="Schematic Management"/>
      <sheetName val="Efficiency Plot Management"/>
      <sheetName val="Efficiency vs VIN Calculations"/>
      <sheetName val="Efficiency vs Load Calculations"/>
      <sheetName val="Stability Calculations"/>
      <sheetName val="Standard Value Calculator"/>
      <sheetName val="Snubber"/>
      <sheetName val="Parallel Output Caps"/>
    </sheetNames>
    <sheetDataSet>
      <sheetData sheetId="0"/>
      <sheetData sheetId="1"/>
      <sheetData sheetId="2"/>
      <sheetData sheetId="3"/>
      <sheetData sheetId="4">
        <row r="7">
          <cell r="B7">
            <v>12</v>
          </cell>
        </row>
        <row r="8">
          <cell r="B8">
            <v>44</v>
          </cell>
        </row>
        <row r="9">
          <cell r="B9">
            <v>45</v>
          </cell>
        </row>
        <row r="10">
          <cell r="B10">
            <v>4.0422641076474628</v>
          </cell>
          <cell r="L10">
            <v>2</v>
          </cell>
          <cell r="O10">
            <v>9</v>
          </cell>
        </row>
        <row r="12">
          <cell r="B12">
            <v>5</v>
          </cell>
        </row>
        <row r="13">
          <cell r="B13">
            <v>10</v>
          </cell>
        </row>
        <row r="14">
          <cell r="B14">
            <v>0.5</v>
          </cell>
        </row>
        <row r="15">
          <cell r="B15">
            <v>50</v>
          </cell>
        </row>
        <row r="16">
          <cell r="B16">
            <v>0.95</v>
          </cell>
        </row>
        <row r="17">
          <cell r="B17">
            <v>52.631578947368425</v>
          </cell>
        </row>
        <row r="18">
          <cell r="B18">
            <v>4.3859649122807021</v>
          </cell>
        </row>
        <row r="19">
          <cell r="B19">
            <v>1.1961722488038278</v>
          </cell>
        </row>
        <row r="20">
          <cell r="B20">
            <v>1.169590643274854</v>
          </cell>
        </row>
        <row r="22">
          <cell r="B22">
            <v>450000</v>
          </cell>
        </row>
        <row r="24">
          <cell r="B24">
            <v>1</v>
          </cell>
        </row>
        <row r="26">
          <cell r="B26">
            <v>67332.727333333343</v>
          </cell>
        </row>
        <row r="34">
          <cell r="B34">
            <v>1</v>
          </cell>
        </row>
        <row r="36">
          <cell r="B36">
            <v>0.19154717847050734</v>
          </cell>
        </row>
        <row r="37">
          <cell r="B37">
            <v>0.87445282152949255</v>
          </cell>
        </row>
        <row r="40">
          <cell r="B40">
            <v>4.0422641076474628</v>
          </cell>
        </row>
        <row r="41">
          <cell r="B41">
            <v>4.4622641076474636</v>
          </cell>
        </row>
        <row r="43">
          <cell r="B43">
            <v>5.7178613607244966</v>
          </cell>
        </row>
        <row r="48">
          <cell r="B48">
            <v>0.11363636363636363</v>
          </cell>
        </row>
        <row r="51">
          <cell r="B51">
            <v>0.41666666666666669</v>
          </cell>
        </row>
        <row r="52">
          <cell r="B52">
            <v>0.11363636363636363</v>
          </cell>
        </row>
        <row r="53">
          <cell r="B53">
            <v>0.1111111111111111</v>
          </cell>
        </row>
        <row r="54">
          <cell r="B54">
            <v>0.19154717847050734</v>
          </cell>
        </row>
        <row r="64">
          <cell r="B64">
            <v>1.697530864197531E-6</v>
          </cell>
        </row>
        <row r="66">
          <cell r="B66">
            <v>2.2000000000000001E-6</v>
          </cell>
        </row>
        <row r="67">
          <cell r="B67">
            <v>0.01</v>
          </cell>
        </row>
        <row r="69">
          <cell r="B69">
            <v>0.11617691608603453</v>
          </cell>
        </row>
        <row r="70">
          <cell r="B70">
            <v>0.88382308391396547</v>
          </cell>
        </row>
        <row r="72">
          <cell r="B72">
            <v>0.42563817980022195</v>
          </cell>
        </row>
        <row r="73">
          <cell r="B73">
            <v>0.11617691608603453</v>
          </cell>
        </row>
        <row r="74">
          <cell r="B74">
            <v>0.11359597156398103</v>
          </cell>
        </row>
        <row r="76">
          <cell r="B76">
            <v>0.15</v>
          </cell>
        </row>
        <row r="78">
          <cell r="B78">
            <v>3.0095628874763163</v>
          </cell>
        </row>
        <row r="79">
          <cell r="B79">
            <v>4.5766663912680263</v>
          </cell>
        </row>
        <row r="80">
          <cell r="B80">
            <v>4.5897362248073135</v>
          </cell>
        </row>
        <row r="81">
          <cell r="B81">
            <v>0.7821053378307824</v>
          </cell>
        </row>
        <row r="100">
          <cell r="B100">
            <v>12</v>
          </cell>
        </row>
        <row r="108">
          <cell r="B108">
            <v>0.05</v>
          </cell>
        </row>
        <row r="112">
          <cell r="B112">
            <v>0.05</v>
          </cell>
        </row>
        <row r="121">
          <cell r="B121">
            <v>4.7640742050262617E-3</v>
          </cell>
        </row>
        <row r="122">
          <cell r="B122">
            <v>1.3333333333333333E-3</v>
          </cell>
        </row>
        <row r="127">
          <cell r="B127">
            <v>39.00478144373816</v>
          </cell>
        </row>
        <row r="128">
          <cell r="B128">
            <v>39.78833319563401</v>
          </cell>
        </row>
        <row r="129">
          <cell r="B129">
            <v>39.794868112403655</v>
          </cell>
        </row>
        <row r="137">
          <cell r="B137">
            <v>42.089736224807311</v>
          </cell>
        </row>
        <row r="139">
          <cell r="B139">
            <v>82500</v>
          </cell>
        </row>
        <row r="141">
          <cell r="B141">
            <v>83000</v>
          </cell>
        </row>
        <row r="143">
          <cell r="B143">
            <v>0</v>
          </cell>
        </row>
        <row r="154">
          <cell r="B154">
            <v>10</v>
          </cell>
        </row>
        <row r="155">
          <cell r="B155">
            <v>50</v>
          </cell>
        </row>
        <row r="156">
          <cell r="B156">
            <v>5</v>
          </cell>
        </row>
        <row r="157">
          <cell r="B157">
            <v>1</v>
          </cell>
        </row>
        <row r="167">
          <cell r="B167">
            <v>5.5732646064376223E-6</v>
          </cell>
        </row>
        <row r="169">
          <cell r="B169">
            <v>2.0000000000000001E-4</v>
          </cell>
        </row>
        <row r="170">
          <cell r="B170">
            <v>4.9821769605255535E-2</v>
          </cell>
        </row>
        <row r="173">
          <cell r="B173">
            <v>8.0000000000000004E-4</v>
          </cell>
        </row>
        <row r="174">
          <cell r="B174">
            <v>7.3564929434952802E-3</v>
          </cell>
        </row>
        <row r="183">
          <cell r="B183">
            <v>0.18</v>
          </cell>
        </row>
        <row r="187">
          <cell r="B187">
            <v>3.0864197530864198E-5</v>
          </cell>
        </row>
        <row r="189">
          <cell r="B189">
            <v>1E-4</v>
          </cell>
        </row>
        <row r="192">
          <cell r="B192">
            <v>1.0121657532779785E-2</v>
          </cell>
        </row>
        <row r="194">
          <cell r="B194">
            <v>2E-3</v>
          </cell>
        </row>
        <row r="198">
          <cell r="B198">
            <v>8.0145291780362865E-2</v>
          </cell>
        </row>
        <row r="203">
          <cell r="B203">
            <v>3.0000000000000001E-3</v>
          </cell>
        </row>
        <row r="204">
          <cell r="B204">
            <v>1.0000000000000001E-5</v>
          </cell>
        </row>
        <row r="205">
          <cell r="B205">
            <v>3.0000000000000004E-8</v>
          </cell>
        </row>
        <row r="206">
          <cell r="B206">
            <v>3.2999999999999998E-8</v>
          </cell>
        </row>
        <row r="210">
          <cell r="B210">
            <v>4.0999999999999996</v>
          </cell>
        </row>
        <row r="212">
          <cell r="B212">
            <v>75</v>
          </cell>
        </row>
        <row r="213">
          <cell r="B213">
            <v>39.263803680981603</v>
          </cell>
        </row>
        <row r="218">
          <cell r="B218">
            <v>1.28</v>
          </cell>
        </row>
        <row r="219">
          <cell r="B219">
            <v>1.23</v>
          </cell>
        </row>
        <row r="221">
          <cell r="B221">
            <v>5.0000000000000001E-3</v>
          </cell>
        </row>
        <row r="236">
          <cell r="B236">
            <v>3.1415926535897931</v>
          </cell>
        </row>
        <row r="237">
          <cell r="B237">
            <v>5</v>
          </cell>
        </row>
        <row r="238">
          <cell r="B238">
            <v>6.6666666666666662E-3</v>
          </cell>
        </row>
        <row r="239">
          <cell r="B239">
            <v>5.0000000000000001E-4</v>
          </cell>
        </row>
        <row r="240">
          <cell r="B240">
            <v>2.4999999999999998E-12</v>
          </cell>
        </row>
        <row r="241">
          <cell r="B241">
            <v>1.8749999999999999E-3</v>
          </cell>
        </row>
        <row r="242">
          <cell r="B242">
            <v>0</v>
          </cell>
        </row>
        <row r="244">
          <cell r="B244">
            <v>0</v>
          </cell>
        </row>
        <row r="245">
          <cell r="B245">
            <v>352409.63855421683</v>
          </cell>
        </row>
        <row r="246">
          <cell r="B246">
            <v>352409.63855421683</v>
          </cell>
        </row>
        <row r="248">
          <cell r="B248">
            <v>0</v>
          </cell>
        </row>
        <row r="251">
          <cell r="B251">
            <v>1666.6666666666665</v>
          </cell>
        </row>
        <row r="254">
          <cell r="B254">
            <v>52861445.783132531</v>
          </cell>
        </row>
        <row r="255">
          <cell r="B255">
            <v>17727272.727272727</v>
          </cell>
        </row>
        <row r="256">
          <cell r="B256">
            <v>2272727.2727272725</v>
          </cell>
        </row>
        <row r="262">
          <cell r="B262">
            <v>1.9697867298578197E-6</v>
          </cell>
        </row>
        <row r="264">
          <cell r="B264">
            <v>1.2763596004439511E-6</v>
          </cell>
        </row>
        <row r="273">
          <cell r="B273">
            <v>24.259036144578317</v>
          </cell>
        </row>
        <row r="274">
          <cell r="B274">
            <v>2.8183400064967539</v>
          </cell>
        </row>
        <row r="275">
          <cell r="B275">
            <v>3.9819277108433737</v>
          </cell>
        </row>
        <row r="276">
          <cell r="B276">
            <v>3.5193196293200675</v>
          </cell>
        </row>
        <row r="278">
          <cell r="B278">
            <v>24.259036144578317</v>
          </cell>
        </row>
        <row r="279">
          <cell r="B279">
            <v>2.8183400064967539</v>
          </cell>
        </row>
        <row r="280">
          <cell r="B280">
            <v>0.13730077783749636</v>
          </cell>
        </row>
        <row r="282">
          <cell r="B282">
            <v>5.1644682192855942E-3</v>
          </cell>
        </row>
        <row r="283">
          <cell r="B283">
            <v>22.49547210880371</v>
          </cell>
        </row>
        <row r="287">
          <cell r="B287">
            <v>13</v>
          </cell>
        </row>
        <row r="288">
          <cell r="B288">
            <v>6.1213439650728982E-12</v>
          </cell>
        </row>
        <row r="289">
          <cell r="B289">
            <v>10000000</v>
          </cell>
        </row>
        <row r="292">
          <cell r="B292">
            <v>5000</v>
          </cell>
        </row>
        <row r="293">
          <cell r="B293">
            <v>0.2</v>
          </cell>
        </row>
        <row r="294">
          <cell r="B294">
            <v>150</v>
          </cell>
        </row>
        <row r="295">
          <cell r="B295">
            <v>34.548220888889361</v>
          </cell>
        </row>
        <row r="296">
          <cell r="B296">
            <v>33.143365646773709</v>
          </cell>
        </row>
        <row r="297">
          <cell r="B297">
            <v>34.548220888889361</v>
          </cell>
        </row>
        <row r="303">
          <cell r="B303">
            <v>0.5</v>
          </cell>
        </row>
        <row r="306">
          <cell r="B306">
            <v>1591.5494309189535</v>
          </cell>
        </row>
        <row r="307">
          <cell r="B307">
            <v>3183.098861837907</v>
          </cell>
        </row>
        <row r="308">
          <cell r="B308">
            <v>1591.5494309189535</v>
          </cell>
        </row>
        <row r="310">
          <cell r="B310">
            <v>0.48219126808545959</v>
          </cell>
        </row>
        <row r="311">
          <cell r="B311">
            <v>36071.212385318155</v>
          </cell>
        </row>
        <row r="312">
          <cell r="B312">
            <v>994718.39432434586</v>
          </cell>
        </row>
        <row r="313">
          <cell r="B313">
            <v>28255.183747999388</v>
          </cell>
        </row>
        <row r="314">
          <cell r="B314">
            <v>11932.69613388343</v>
          </cell>
        </row>
        <row r="317">
          <cell r="B317">
            <v>20000</v>
          </cell>
        </row>
        <row r="318">
          <cell r="B318">
            <v>1675.516081914556</v>
          </cell>
        </row>
        <row r="319">
          <cell r="B319">
            <v>3.9788735772973844E-8</v>
          </cell>
        </row>
        <row r="320">
          <cell r="B320">
            <v>6.723687250684391E-10</v>
          </cell>
        </row>
        <row r="323">
          <cell r="B323">
            <v>2000</v>
          </cell>
        </row>
        <row r="324">
          <cell r="B324">
            <v>3.3000000000000004E-8</v>
          </cell>
        </row>
        <row r="325">
          <cell r="B325">
            <v>2.1999999999999998E-9</v>
          </cell>
        </row>
        <row r="330">
          <cell r="B330">
            <v>2411.438531695384</v>
          </cell>
        </row>
        <row r="333">
          <cell r="B333">
            <v>178700</v>
          </cell>
        </row>
        <row r="334">
          <cell r="B334">
            <v>44675</v>
          </cell>
        </row>
        <row r="335">
          <cell r="B335">
            <v>44200</v>
          </cell>
        </row>
        <row r="348">
          <cell r="B348">
            <v>25</v>
          </cell>
        </row>
        <row r="350">
          <cell r="B350">
            <v>4.0000000000000001E-3</v>
          </cell>
        </row>
        <row r="351">
          <cell r="B351">
            <v>20</v>
          </cell>
        </row>
        <row r="354">
          <cell r="B354">
            <v>7.5</v>
          </cell>
        </row>
        <row r="356">
          <cell r="B356">
            <v>1.5</v>
          </cell>
        </row>
        <row r="357">
          <cell r="B357">
            <v>1</v>
          </cell>
        </row>
        <row r="359">
          <cell r="B359">
            <v>1.5</v>
          </cell>
        </row>
        <row r="360">
          <cell r="B360">
            <v>1</v>
          </cell>
        </row>
        <row r="362">
          <cell r="B362">
            <v>4.9999999999999998E-8</v>
          </cell>
        </row>
        <row r="364">
          <cell r="B364">
            <v>3.0000000000000001E-3</v>
          </cell>
        </row>
        <row r="367">
          <cell r="B367">
            <v>3.5000000000000001E-3</v>
          </cell>
          <cell r="D367">
            <v>3.5000000000000001E-3</v>
          </cell>
        </row>
        <row r="368">
          <cell r="B368">
            <v>4.0000000000000001E-3</v>
          </cell>
        </row>
        <row r="369">
          <cell r="B369">
            <v>6.7000000000000004E-8</v>
          </cell>
          <cell r="D369">
            <v>6.7000000000000004E-8</v>
          </cell>
        </row>
        <row r="370">
          <cell r="B370">
            <v>1.0310000000000001E-8</v>
          </cell>
        </row>
        <row r="371">
          <cell r="B371">
            <v>1.125E-8</v>
          </cell>
        </row>
        <row r="372">
          <cell r="B372">
            <v>0.63</v>
          </cell>
          <cell r="D372">
            <v>0.63</v>
          </cell>
        </row>
        <row r="373">
          <cell r="B373">
            <v>117</v>
          </cell>
          <cell r="D373">
            <v>117</v>
          </cell>
        </row>
        <row r="374">
          <cell r="B374">
            <v>2</v>
          </cell>
          <cell r="D374">
            <v>2</v>
          </cell>
        </row>
        <row r="375">
          <cell r="B375">
            <v>2.0854700854700856</v>
          </cell>
        </row>
        <row r="377">
          <cell r="B377">
            <v>0.75</v>
          </cell>
          <cell r="D377">
            <v>0.75</v>
          </cell>
        </row>
        <row r="378">
          <cell r="D378">
            <v>4.4999999999999999E-8</v>
          </cell>
        </row>
        <row r="379">
          <cell r="D379">
            <v>4.0000000000000001E-8</v>
          </cell>
        </row>
        <row r="380">
          <cell r="B380">
            <v>65</v>
          </cell>
          <cell r="D380">
            <v>65</v>
          </cell>
        </row>
        <row r="384">
          <cell r="B384">
            <v>3.5000000000000001E-3</v>
          </cell>
          <cell r="D384">
            <v>3.5000000000000001E-3</v>
          </cell>
        </row>
        <row r="385">
          <cell r="B385">
            <v>4.0000000000000001E-3</v>
          </cell>
        </row>
        <row r="386">
          <cell r="B386">
            <v>6.7000000000000004E-8</v>
          </cell>
          <cell r="D386">
            <v>6.7000000000000004E-8</v>
          </cell>
        </row>
        <row r="387">
          <cell r="D387">
            <v>1.0310000000000001E-8</v>
          </cell>
        </row>
        <row r="388">
          <cell r="D388">
            <v>1.125E-8</v>
          </cell>
        </row>
        <row r="389">
          <cell r="D389">
            <v>1</v>
          </cell>
        </row>
        <row r="390">
          <cell r="B390">
            <v>117</v>
          </cell>
          <cell r="D390">
            <v>117</v>
          </cell>
        </row>
        <row r="391">
          <cell r="B391">
            <v>2</v>
          </cell>
          <cell r="D391">
            <v>2</v>
          </cell>
        </row>
        <row r="392">
          <cell r="D392">
            <v>2.0102236944342207</v>
          </cell>
        </row>
        <row r="394">
          <cell r="B394">
            <v>0.75</v>
          </cell>
          <cell r="D394">
            <v>0.75</v>
          </cell>
        </row>
        <row r="395">
          <cell r="B395">
            <v>5.5999999999999999E-8</v>
          </cell>
        </row>
        <row r="397">
          <cell r="B397">
            <v>65</v>
          </cell>
          <cell r="D397">
            <v>65</v>
          </cell>
        </row>
        <row r="400">
          <cell r="B400">
            <v>0</v>
          </cell>
          <cell r="D400">
            <v>0</v>
          </cell>
        </row>
        <row r="401">
          <cell r="B401">
            <v>0</v>
          </cell>
          <cell r="D401">
            <v>0</v>
          </cell>
        </row>
        <row r="402">
          <cell r="B402">
            <v>0</v>
          </cell>
        </row>
        <row r="405">
          <cell r="B405">
            <v>30.5</v>
          </cell>
        </row>
        <row r="408">
          <cell r="B408">
            <v>6.2686051302288858E-9</v>
          </cell>
          <cell r="D408">
            <v>7.2566709065378439E-9</v>
          </cell>
        </row>
        <row r="409">
          <cell r="B409">
            <v>1.2454769877049178E-8</v>
          </cell>
          <cell r="D409">
            <v>1.5853956994059729E-8</v>
          </cell>
        </row>
      </sheetData>
      <sheetData sheetId="5">
        <row r="2">
          <cell r="B2">
            <v>2E-8</v>
          </cell>
        </row>
        <row r="4">
          <cell r="B4">
            <v>1</v>
          </cell>
        </row>
        <row r="5">
          <cell r="B5">
            <v>0</v>
          </cell>
        </row>
        <row r="6">
          <cell r="B6">
            <v>1</v>
          </cell>
        </row>
        <row r="8">
          <cell r="B8">
            <v>9.9999999999999995E-7</v>
          </cell>
        </row>
        <row r="9">
          <cell r="B9">
            <v>9.9999999999999995E-7</v>
          </cell>
        </row>
        <row r="10">
          <cell r="B10">
            <v>7.4999999999999997E-8</v>
          </cell>
        </row>
        <row r="11">
          <cell r="B11">
            <v>7.4999999999999997E-8</v>
          </cell>
        </row>
        <row r="12">
          <cell r="B12">
            <v>1.0000000000000002E-6</v>
          </cell>
        </row>
        <row r="13">
          <cell r="B13">
            <v>1.0000000000000002E-6</v>
          </cell>
        </row>
        <row r="14">
          <cell r="B14">
            <v>2</v>
          </cell>
        </row>
        <row r="15">
          <cell r="B15">
            <v>0.91666800000000004</v>
          </cell>
        </row>
        <row r="17">
          <cell r="B17">
            <v>4.4999999999999998E-7</v>
          </cell>
        </row>
        <row r="18">
          <cell r="B18">
            <v>2.8958229999999996E-7</v>
          </cell>
        </row>
        <row r="20">
          <cell r="B20">
            <v>1.6666666666666665E-7</v>
          </cell>
        </row>
        <row r="21">
          <cell r="B21">
            <v>2.5899372993446077E-7</v>
          </cell>
        </row>
        <row r="22">
          <cell r="B22">
            <v>2.5899372993446077E-7</v>
          </cell>
        </row>
        <row r="25">
          <cell r="B25">
            <v>3.3333333333333334E-8</v>
          </cell>
        </row>
        <row r="26">
          <cell r="B26">
            <v>3.3333333333333334E-8</v>
          </cell>
        </row>
        <row r="28">
          <cell r="B28">
            <v>2.3899372993446075E-7</v>
          </cell>
        </row>
        <row r="29">
          <cell r="B29">
            <v>2.7899372993446079E-7</v>
          </cell>
        </row>
        <row r="30">
          <cell r="B30">
            <v>1.9432284922877611E-6</v>
          </cell>
        </row>
        <row r="32">
          <cell r="B32">
            <v>2.3899372993446075E-7</v>
          </cell>
        </row>
        <row r="33">
          <cell r="B33">
            <v>1.8666666666666664E-7</v>
          </cell>
        </row>
        <row r="34">
          <cell r="B34">
            <v>2.0355555555555556E-6</v>
          </cell>
        </row>
        <row r="35">
          <cell r="B35">
            <v>1.8666666666666643E-7</v>
          </cell>
        </row>
        <row r="36">
          <cell r="B36">
            <v>1.3333333333333334E-8</v>
          </cell>
        </row>
        <row r="37">
          <cell r="B37">
            <v>3.3333333333333334E-8</v>
          </cell>
        </row>
        <row r="39">
          <cell r="B39">
            <v>4.2566039660112745E-7</v>
          </cell>
        </row>
        <row r="40">
          <cell r="B40">
            <v>1.7965618256210947E-6</v>
          </cell>
        </row>
        <row r="41">
          <cell r="B41">
            <v>3.7232706326779411E-7</v>
          </cell>
        </row>
      </sheetData>
      <sheetData sheetId="6"/>
      <sheetData sheetId="7">
        <row r="2">
          <cell r="A2" t="str">
            <v>SCH_RCS</v>
          </cell>
        </row>
      </sheetData>
      <sheetData sheetId="8">
        <row r="2">
          <cell r="A2" t="str">
            <v>EFF_VIN</v>
          </cell>
        </row>
      </sheetData>
      <sheetData sheetId="9"/>
      <sheetData sheetId="10"/>
      <sheetData sheetId="11">
        <row r="3">
          <cell r="K3">
            <v>994718.39432434586</v>
          </cell>
          <cell r="N3">
            <v>225000</v>
          </cell>
          <cell r="Q3">
            <v>34548.220888889366</v>
          </cell>
        </row>
        <row r="4">
          <cell r="C4">
            <v>2411.438531695384</v>
          </cell>
          <cell r="K4">
            <v>1591.5494309189535</v>
          </cell>
          <cell r="N4">
            <v>30892.675013436681</v>
          </cell>
        </row>
        <row r="5">
          <cell r="C5">
            <v>0.48219126808545959</v>
          </cell>
          <cell r="K5">
            <v>10000000</v>
          </cell>
          <cell r="N5">
            <v>50625000000.010002</v>
          </cell>
        </row>
        <row r="6">
          <cell r="Q6">
            <v>57.295779513082323</v>
          </cell>
        </row>
        <row r="7">
          <cell r="C7">
            <v>36071.212385318155</v>
          </cell>
        </row>
      </sheetData>
      <sheetData sheetId="12">
        <row r="21">
          <cell r="O21">
            <v>4.99</v>
          </cell>
        </row>
      </sheetData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 bwMode="auto">
        <a:noFill/>
        <a:ln w="9525">
          <a:noFill/>
          <a:miter lim="800000"/>
          <a:headEnd/>
          <a:tailEnd/>
        </a:ln>
      </a:spPr>
      <a:bodyPr vertOverflow="clip" wrap="square" lIns="27432" tIns="27432" rIns="0" bIns="0" anchor="t" upright="1"/>
      <a:lstStyle>
        <a:defPPr algn="l" rtl="0">
          <a:defRPr sz="1100" b="0" i="0" strike="noStrike">
            <a:solidFill>
              <a:srgbClr val="000000"/>
            </a:solidFill>
            <a:latin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://www.ti.com/product/lm5176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://www.ti.com/pol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ti.com/nexfe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fitToPage="1"/>
  </sheetPr>
  <dimension ref="A1:AI462"/>
  <sheetViews>
    <sheetView tabSelected="1" topLeftCell="A85" zoomScaleNormal="100" zoomScaleSheetLayoutView="100" workbookViewId="0">
      <selection activeCell="D78" sqref="D78"/>
    </sheetView>
  </sheetViews>
  <sheetFormatPr defaultColWidth="9.15234375" defaultRowHeight="12.9" x14ac:dyDescent="0.35"/>
  <cols>
    <col min="1" max="1" width="8.3046875" style="199" customWidth="1"/>
    <col min="2" max="2" width="8.3046875" style="82" customWidth="1"/>
    <col min="3" max="3" width="13.53515625" style="82" customWidth="1"/>
    <col min="4" max="4" width="8.3046875" style="82" customWidth="1"/>
    <col min="5" max="5" width="6.84375" style="82" customWidth="1"/>
    <col min="6" max="6" width="7.53515625" style="82" customWidth="1"/>
    <col min="7" max="8" width="11.84375" style="82" customWidth="1"/>
    <col min="9" max="9" width="9.15234375" style="82"/>
    <col min="10" max="10" width="12.3828125" style="82" bestFit="1" customWidth="1"/>
    <col min="11" max="11" width="9.15234375" style="82"/>
    <col min="12" max="12" width="12.3828125" style="82" bestFit="1" customWidth="1"/>
    <col min="13" max="15" width="9.15234375" style="82"/>
    <col min="16" max="16" width="10.15234375" style="82" customWidth="1"/>
    <col min="17" max="17" width="37.3046875" style="82" customWidth="1"/>
    <col min="18" max="18" width="3.15234375" style="82" customWidth="1"/>
    <col min="19" max="19" width="10" style="82" bestFit="1" customWidth="1"/>
    <col min="20" max="16384" width="9.15234375" style="82"/>
  </cols>
  <sheetData>
    <row r="1" spans="1:18" ht="47.25" customHeight="1" x14ac:dyDescent="0.35">
      <c r="A1" s="643" t="s">
        <v>958</v>
      </c>
      <c r="B1" s="644"/>
      <c r="C1" s="644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552"/>
    </row>
    <row r="2" spans="1:18" ht="16.5" customHeight="1" x14ac:dyDescent="0.75">
      <c r="A2" s="555"/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637" t="s">
        <v>961</v>
      </c>
      <c r="P2" s="556"/>
      <c r="Q2" s="556"/>
      <c r="R2" s="552"/>
    </row>
    <row r="3" spans="1:18" ht="16" customHeight="1" x14ac:dyDescent="0.75">
      <c r="A3" s="557" t="s">
        <v>299</v>
      </c>
      <c r="B3" s="558"/>
      <c r="C3" s="569" t="s">
        <v>300</v>
      </c>
      <c r="D3" s="559"/>
      <c r="E3" s="124"/>
      <c r="F3" s="563" t="s">
        <v>177</v>
      </c>
      <c r="G3" s="564"/>
      <c r="H3" s="556"/>
      <c r="I3" s="556"/>
      <c r="J3" s="564"/>
      <c r="K3" s="565"/>
      <c r="L3" s="566"/>
      <c r="M3" s="552"/>
      <c r="N3" s="552"/>
      <c r="O3" s="642" t="s">
        <v>55</v>
      </c>
      <c r="P3" s="642"/>
      <c r="Q3" s="552" t="s">
        <v>201</v>
      </c>
      <c r="R3" s="552"/>
    </row>
    <row r="4" spans="1:18" ht="6" customHeight="1" thickBot="1" x14ac:dyDescent="0.55000000000000004">
      <c r="A4" s="560"/>
      <c r="B4" s="561"/>
      <c r="C4" s="562"/>
      <c r="D4" s="562"/>
      <c r="E4" s="562"/>
      <c r="F4" s="562"/>
      <c r="G4" s="562"/>
      <c r="H4" s="562"/>
      <c r="I4" s="562"/>
      <c r="J4" s="562"/>
      <c r="K4" s="562"/>
      <c r="L4" s="562"/>
      <c r="M4" s="567"/>
      <c r="N4" s="567"/>
      <c r="O4" s="567"/>
      <c r="P4" s="567"/>
      <c r="Q4" s="568"/>
      <c r="R4" s="552"/>
    </row>
    <row r="5" spans="1:18" ht="20.149999999999999" customHeight="1" thickBot="1" x14ac:dyDescent="0.55000000000000004">
      <c r="A5" s="194" t="s">
        <v>281</v>
      </c>
      <c r="B5" s="123"/>
      <c r="C5" s="83"/>
      <c r="D5" s="83"/>
      <c r="E5" s="85"/>
      <c r="F5" s="83"/>
      <c r="G5" s="112"/>
      <c r="H5" s="86"/>
      <c r="I5" s="86"/>
      <c r="J5" s="86"/>
      <c r="K5" s="86"/>
      <c r="L5" s="639" t="s">
        <v>983</v>
      </c>
      <c r="M5" s="638" t="s">
        <v>982</v>
      </c>
      <c r="N5" s="86"/>
      <c r="O5" s="86"/>
      <c r="P5" s="86"/>
      <c r="Q5" s="111"/>
      <c r="R5" s="552"/>
    </row>
    <row r="6" spans="1:18" ht="13.5" customHeight="1" x14ac:dyDescent="0.35">
      <c r="A6" s="282"/>
      <c r="B6" s="283"/>
      <c r="C6" s="284"/>
      <c r="D6" s="285" t="s">
        <v>727</v>
      </c>
      <c r="E6" s="286">
        <v>5</v>
      </c>
      <c r="F6" s="287" t="s">
        <v>0</v>
      </c>
      <c r="G6" s="134"/>
      <c r="H6" s="132"/>
      <c r="I6" s="86"/>
      <c r="J6" s="86"/>
      <c r="K6" s="86"/>
      <c r="L6" s="86"/>
      <c r="M6" s="86"/>
      <c r="N6" s="86"/>
      <c r="O6" s="86"/>
      <c r="P6" s="86"/>
      <c r="Q6" s="111"/>
      <c r="R6" s="552"/>
    </row>
    <row r="7" spans="1:18" ht="13.5" customHeight="1" x14ac:dyDescent="0.35">
      <c r="A7" s="272"/>
      <c r="B7" s="271"/>
      <c r="C7" s="273"/>
      <c r="D7" s="288" t="s">
        <v>728</v>
      </c>
      <c r="E7" s="289">
        <v>12</v>
      </c>
      <c r="F7" s="305" t="s">
        <v>0</v>
      </c>
      <c r="G7" s="134"/>
      <c r="H7" s="132"/>
      <c r="I7" s="86"/>
      <c r="J7" s="86"/>
      <c r="K7" s="86"/>
      <c r="L7" s="86"/>
      <c r="M7" s="86"/>
      <c r="N7" s="86"/>
      <c r="O7" s="86"/>
      <c r="P7" s="86"/>
      <c r="Q7" s="111"/>
      <c r="R7" s="552"/>
    </row>
    <row r="8" spans="1:18" ht="13.5" customHeight="1" x14ac:dyDescent="0.35">
      <c r="A8" s="272"/>
      <c r="B8" s="271"/>
      <c r="C8" s="273"/>
      <c r="D8" s="288" t="s">
        <v>729</v>
      </c>
      <c r="E8" s="289">
        <v>20</v>
      </c>
      <c r="F8" s="290" t="s">
        <v>0</v>
      </c>
      <c r="G8" s="134"/>
      <c r="H8" s="132"/>
      <c r="I8" s="86"/>
      <c r="J8" s="86"/>
      <c r="K8" s="86"/>
      <c r="L8" s="86"/>
      <c r="M8" s="86"/>
      <c r="N8" s="86"/>
      <c r="O8" s="86"/>
      <c r="P8" s="86"/>
      <c r="Q8" s="111"/>
      <c r="R8" s="552"/>
    </row>
    <row r="9" spans="1:18" ht="13.5" customHeight="1" x14ac:dyDescent="0.35">
      <c r="A9" s="272"/>
      <c r="B9" s="271"/>
      <c r="C9" s="273"/>
      <c r="D9" s="288" t="s">
        <v>360</v>
      </c>
      <c r="E9" s="289">
        <v>48</v>
      </c>
      <c r="F9" s="290" t="s">
        <v>0</v>
      </c>
      <c r="G9" s="134"/>
      <c r="H9" s="132"/>
      <c r="I9" s="86"/>
      <c r="J9" s="86"/>
      <c r="K9" s="86"/>
      <c r="L9" s="86"/>
      <c r="M9" s="86"/>
      <c r="N9" s="86"/>
      <c r="O9" s="86"/>
      <c r="P9" s="86"/>
      <c r="Q9" s="111"/>
      <c r="R9" s="552"/>
    </row>
    <row r="10" spans="1:18" ht="13.5" customHeight="1" x14ac:dyDescent="0.35">
      <c r="A10" s="272"/>
      <c r="B10" s="271"/>
      <c r="C10" s="273"/>
      <c r="D10" s="288" t="s">
        <v>887</v>
      </c>
      <c r="E10" s="289">
        <v>10</v>
      </c>
      <c r="F10" s="290" t="s">
        <v>2</v>
      </c>
      <c r="G10" s="134"/>
      <c r="H10" s="132"/>
      <c r="I10" s="86"/>
      <c r="J10" s="86"/>
      <c r="K10" s="86"/>
      <c r="L10" s="86"/>
      <c r="M10" s="86"/>
      <c r="N10" s="86"/>
      <c r="O10" s="86"/>
      <c r="P10" s="86"/>
      <c r="Q10" s="111"/>
      <c r="R10" s="552"/>
    </row>
    <row r="11" spans="1:18" ht="13.5" customHeight="1" x14ac:dyDescent="0.35">
      <c r="A11" s="272"/>
      <c r="B11" s="271"/>
      <c r="C11" s="273"/>
      <c r="D11" s="288" t="s">
        <v>98</v>
      </c>
      <c r="E11" s="291">
        <v>600</v>
      </c>
      <c r="F11" s="290" t="s">
        <v>3</v>
      </c>
      <c r="G11" s="134"/>
      <c r="H11" s="132"/>
      <c r="I11" s="86"/>
      <c r="J11" s="86"/>
      <c r="K11" s="86"/>
      <c r="L11" s="86"/>
      <c r="M11" s="86"/>
      <c r="N11" s="86"/>
      <c r="O11" s="86"/>
      <c r="P11" s="86"/>
      <c r="Q11" s="111"/>
      <c r="R11" s="552"/>
    </row>
    <row r="12" spans="1:18" ht="17.25" customHeight="1" thickBot="1" x14ac:dyDescent="0.4">
      <c r="A12" s="277"/>
      <c r="B12" s="278"/>
      <c r="C12" s="279"/>
      <c r="D12" s="279" t="s">
        <v>362</v>
      </c>
      <c r="E12" s="279">
        <f>IF('Standard Value Calculator'!O4/1000&gt;288, "N/A",'Standard Value Calculator'!O4/1000)</f>
        <v>12.7</v>
      </c>
      <c r="F12" s="281" t="s">
        <v>54</v>
      </c>
      <c r="G12" s="134"/>
      <c r="H12" s="132"/>
      <c r="I12" s="86"/>
      <c r="J12" s="86"/>
      <c r="K12" s="86"/>
      <c r="L12" s="86"/>
      <c r="M12" s="86"/>
      <c r="N12" s="86"/>
      <c r="O12" s="86"/>
      <c r="P12" s="86"/>
      <c r="Q12" s="111"/>
      <c r="R12" s="552"/>
    </row>
    <row r="13" spans="1:18" ht="14.15" customHeight="1" x14ac:dyDescent="0.35">
      <c r="A13" s="131"/>
      <c r="B13" s="132"/>
      <c r="C13" s="132"/>
      <c r="D13" s="137"/>
      <c r="E13" s="138"/>
      <c r="F13" s="132"/>
      <c r="G13" s="134"/>
      <c r="H13" s="132"/>
      <c r="I13" s="86"/>
      <c r="J13" s="86"/>
      <c r="K13" s="86"/>
      <c r="L13" s="86"/>
      <c r="M13" s="86"/>
      <c r="N13" s="86"/>
      <c r="O13" s="86"/>
      <c r="P13" s="86"/>
      <c r="Q13" s="111"/>
      <c r="R13" s="552"/>
    </row>
    <row r="14" spans="1:18" ht="19.5" customHeight="1" thickBot="1" x14ac:dyDescent="0.45">
      <c r="A14" s="194" t="s">
        <v>280</v>
      </c>
      <c r="B14" s="139"/>
      <c r="C14" s="140"/>
      <c r="D14" s="140"/>
      <c r="E14" s="141"/>
      <c r="F14" s="140"/>
      <c r="G14" s="134"/>
      <c r="H14" s="132"/>
      <c r="I14" s="86"/>
      <c r="J14" s="86"/>
      <c r="K14" s="86"/>
      <c r="L14" s="86"/>
      <c r="M14" s="86"/>
      <c r="N14" s="86"/>
      <c r="O14" s="86"/>
      <c r="P14" s="86"/>
      <c r="Q14" s="111"/>
      <c r="R14" s="552"/>
    </row>
    <row r="15" spans="1:18" ht="13.5" customHeight="1" x14ac:dyDescent="0.35">
      <c r="A15" s="195"/>
      <c r="B15" s="161"/>
      <c r="C15" s="162"/>
      <c r="D15" s="162" t="s">
        <v>294</v>
      </c>
      <c r="E15" s="450">
        <f>Lopt*1000000</f>
        <v>0.57237413194444442</v>
      </c>
      <c r="F15" s="169" t="s">
        <v>270</v>
      </c>
      <c r="G15" s="134"/>
      <c r="H15" s="132"/>
      <c r="I15" s="86"/>
      <c r="J15" s="86"/>
      <c r="K15" s="86"/>
      <c r="L15" s="86"/>
      <c r="M15" s="86"/>
      <c r="N15" s="86"/>
      <c r="O15" s="86"/>
      <c r="P15" s="86"/>
      <c r="Q15" s="111"/>
      <c r="R15" s="552"/>
    </row>
    <row r="16" spans="1:18" ht="13.5" customHeight="1" x14ac:dyDescent="0.45">
      <c r="A16" s="131"/>
      <c r="B16" s="132"/>
      <c r="C16" s="129"/>
      <c r="D16" s="160" t="s">
        <v>361</v>
      </c>
      <c r="E16" s="133">
        <v>3.3</v>
      </c>
      <c r="F16" s="165" t="s">
        <v>270</v>
      </c>
      <c r="G16" s="134"/>
      <c r="H16" s="132"/>
      <c r="I16" s="86"/>
      <c r="J16" s="86"/>
      <c r="K16" s="86"/>
      <c r="L16" s="86"/>
      <c r="M16" s="86"/>
      <c r="N16" s="86"/>
      <c r="O16" s="86"/>
      <c r="P16" s="86"/>
      <c r="Q16" s="111"/>
      <c r="R16" s="552"/>
    </row>
    <row r="17" spans="1:18" ht="13.5" customHeight="1" x14ac:dyDescent="0.35">
      <c r="A17" s="131"/>
      <c r="B17" s="132"/>
      <c r="C17" s="129"/>
      <c r="D17" s="160" t="s">
        <v>295</v>
      </c>
      <c r="E17" s="133">
        <v>7</v>
      </c>
      <c r="F17" s="165" t="s">
        <v>53</v>
      </c>
      <c r="G17" s="134"/>
      <c r="H17" s="132"/>
      <c r="I17" s="86"/>
      <c r="J17" s="86"/>
      <c r="K17" s="86"/>
      <c r="L17" s="86"/>
      <c r="M17" s="86"/>
      <c r="N17" s="86"/>
      <c r="O17" s="86"/>
      <c r="P17" s="86"/>
      <c r="Q17" s="111"/>
      <c r="R17" s="552"/>
    </row>
    <row r="18" spans="1:18" ht="13.5" customHeight="1" x14ac:dyDescent="0.35">
      <c r="A18" s="272"/>
      <c r="B18" s="271"/>
      <c r="C18" s="273"/>
      <c r="D18" s="273" t="s">
        <v>730</v>
      </c>
      <c r="E18" s="274">
        <f>'Variable Management'!B78</f>
        <v>2.3169333152554636</v>
      </c>
      <c r="F18" s="275" t="s">
        <v>286</v>
      </c>
      <c r="G18" s="134"/>
      <c r="H18" s="132"/>
      <c r="I18" s="86"/>
      <c r="J18" s="86"/>
      <c r="K18" s="86"/>
      <c r="L18" s="86"/>
      <c r="M18" s="86"/>
      <c r="N18" s="86"/>
      <c r="O18" s="86"/>
      <c r="P18" s="86"/>
      <c r="Q18" s="111"/>
      <c r="R18" s="552"/>
    </row>
    <row r="19" spans="1:18" ht="13.5" customHeight="1" x14ac:dyDescent="0.35">
      <c r="A19" s="272"/>
      <c r="B19" s="271"/>
      <c r="C19" s="273"/>
      <c r="D19" s="273" t="s">
        <v>731</v>
      </c>
      <c r="E19" s="274">
        <f>'Variable Management'!B79</f>
        <v>4.5975071044708935</v>
      </c>
      <c r="F19" s="275" t="s">
        <v>286</v>
      </c>
      <c r="G19" s="134"/>
      <c r="H19" s="132"/>
      <c r="I19" s="86"/>
      <c r="J19" s="86"/>
      <c r="K19" s="86"/>
      <c r="L19" s="86"/>
      <c r="M19" s="86"/>
      <c r="N19" s="86"/>
      <c r="O19" s="86"/>
      <c r="P19" s="86"/>
      <c r="Q19" s="111"/>
      <c r="R19" s="552"/>
    </row>
    <row r="20" spans="1:18" ht="13.5" customHeight="1" x14ac:dyDescent="0.35">
      <c r="A20" s="272"/>
      <c r="B20" s="271"/>
      <c r="C20" s="273"/>
      <c r="D20" s="273" t="s">
        <v>732</v>
      </c>
      <c r="E20" s="274">
        <f>'Variable Management'!B80</f>
        <v>5.9414399982012673</v>
      </c>
      <c r="F20" s="275" t="s">
        <v>286</v>
      </c>
      <c r="G20" s="134"/>
      <c r="H20" s="132"/>
      <c r="I20" s="86"/>
      <c r="J20" s="86"/>
      <c r="K20" s="86"/>
      <c r="L20" s="86"/>
      <c r="M20" s="86"/>
      <c r="N20" s="86"/>
      <c r="O20" s="86"/>
      <c r="P20" s="86"/>
      <c r="Q20" s="111"/>
      <c r="R20" s="552"/>
    </row>
    <row r="21" spans="1:18" ht="15" customHeight="1" x14ac:dyDescent="0.35">
      <c r="A21" s="272"/>
      <c r="B21" s="271"/>
      <c r="C21" s="273"/>
      <c r="D21" s="273" t="s">
        <v>413</v>
      </c>
      <c r="E21" s="276">
        <f>'Variable Management'!B90*100</f>
        <v>2.1721249830519969</v>
      </c>
      <c r="F21" s="275" t="s">
        <v>187</v>
      </c>
      <c r="G21" s="134"/>
      <c r="H21" s="132"/>
      <c r="I21" s="86"/>
      <c r="J21" s="86"/>
      <c r="K21" s="86"/>
      <c r="L21" s="86"/>
      <c r="M21" s="86"/>
      <c r="N21" s="86"/>
      <c r="O21" s="86"/>
      <c r="P21" s="86"/>
      <c r="Q21" s="111"/>
      <c r="R21" s="552"/>
    </row>
    <row r="22" spans="1:18" ht="15" customHeight="1" x14ac:dyDescent="0.35">
      <c r="A22" s="272"/>
      <c r="B22" s="271"/>
      <c r="C22" s="273"/>
      <c r="D22" s="273" t="s">
        <v>414</v>
      </c>
      <c r="E22" s="276">
        <f>'Variable Management'!B91*100</f>
        <v>10.34439098505951</v>
      </c>
      <c r="F22" s="275" t="s">
        <v>187</v>
      </c>
      <c r="G22" s="134"/>
      <c r="H22" s="132"/>
      <c r="I22" s="86"/>
      <c r="J22" s="86"/>
      <c r="K22" s="86"/>
      <c r="L22" s="86"/>
      <c r="M22" s="86"/>
      <c r="N22" s="86"/>
      <c r="O22" s="86"/>
      <c r="P22" s="86"/>
      <c r="Q22" s="111"/>
      <c r="R22" s="552"/>
    </row>
    <row r="23" spans="1:18" ht="15.75" customHeight="1" thickBot="1" x14ac:dyDescent="0.4">
      <c r="A23" s="277"/>
      <c r="B23" s="278"/>
      <c r="C23" s="279"/>
      <c r="D23" s="279" t="s">
        <v>415</v>
      </c>
      <c r="E23" s="280">
        <f>'Variable Management'!B92*100</f>
        <v>22.280399993254751</v>
      </c>
      <c r="F23" s="281" t="s">
        <v>187</v>
      </c>
      <c r="G23" s="134"/>
      <c r="H23" s="132"/>
      <c r="I23" s="86"/>
      <c r="J23" s="86"/>
      <c r="K23" s="86"/>
      <c r="L23" s="86"/>
      <c r="M23" s="86"/>
      <c r="N23" s="86"/>
      <c r="O23" s="86"/>
      <c r="P23" s="86"/>
      <c r="Q23" s="111"/>
      <c r="R23" s="552"/>
    </row>
    <row r="24" spans="1:18" ht="14.15" customHeight="1" x14ac:dyDescent="0.35">
      <c r="A24" s="131"/>
      <c r="B24" s="132"/>
      <c r="C24" s="132"/>
      <c r="D24" s="132"/>
      <c r="E24" s="132"/>
      <c r="F24" s="132"/>
      <c r="G24" s="134"/>
      <c r="H24" s="132"/>
      <c r="I24" s="86"/>
      <c r="J24" s="86"/>
      <c r="K24" s="86"/>
      <c r="L24" s="86"/>
      <c r="M24" s="86"/>
      <c r="N24" s="86"/>
      <c r="O24" s="86"/>
      <c r="P24" s="86"/>
      <c r="Q24" s="111"/>
      <c r="R24" s="552"/>
    </row>
    <row r="25" spans="1:18" ht="20.149999999999999" customHeight="1" thickBot="1" x14ac:dyDescent="0.45">
      <c r="A25" s="194" t="s">
        <v>671</v>
      </c>
      <c r="B25" s="139"/>
      <c r="C25" s="132"/>
      <c r="D25" s="132"/>
      <c r="E25" s="132"/>
      <c r="F25" s="132"/>
      <c r="G25" s="134"/>
      <c r="H25" s="132"/>
      <c r="I25" s="86"/>
      <c r="J25" s="86"/>
      <c r="K25" s="86"/>
      <c r="L25" s="86"/>
      <c r="M25" s="86"/>
      <c r="N25" s="86"/>
      <c r="O25" s="86"/>
      <c r="P25" s="86"/>
      <c r="Q25" s="111"/>
      <c r="R25" s="552"/>
    </row>
    <row r="26" spans="1:18" ht="15" customHeight="1" x14ac:dyDescent="0.45">
      <c r="A26" s="282"/>
      <c r="B26" s="161"/>
      <c r="C26" s="161"/>
      <c r="D26" s="163" t="s">
        <v>740</v>
      </c>
      <c r="E26" s="323">
        <v>10</v>
      </c>
      <c r="F26" s="164" t="s">
        <v>2</v>
      </c>
      <c r="G26" s="134"/>
      <c r="H26" s="132"/>
      <c r="I26" s="86"/>
      <c r="J26" s="86"/>
      <c r="K26" s="86"/>
      <c r="L26" s="86"/>
      <c r="M26" s="86"/>
      <c r="N26" s="86"/>
      <c r="O26" s="86"/>
      <c r="P26" s="86"/>
      <c r="Q26" s="111"/>
      <c r="R26" s="552"/>
    </row>
    <row r="27" spans="1:18" ht="15" customHeight="1" x14ac:dyDescent="0.35">
      <c r="A27" s="272"/>
      <c r="B27" s="132"/>
      <c r="C27" s="132"/>
      <c r="D27" s="129" t="s">
        <v>419</v>
      </c>
      <c r="E27" s="325">
        <f>Rs_ideal*1000</f>
        <v>1.112913068598659</v>
      </c>
      <c r="F27" s="170" t="s">
        <v>53</v>
      </c>
      <c r="G27" s="134"/>
      <c r="H27" s="132"/>
      <c r="I27" s="86"/>
      <c r="J27" s="86"/>
      <c r="K27" s="86"/>
      <c r="L27" s="86"/>
      <c r="M27" s="86"/>
      <c r="N27" s="86"/>
      <c r="O27" s="86"/>
      <c r="P27" s="86"/>
      <c r="Q27" s="111"/>
      <c r="R27" s="552"/>
    </row>
    <row r="28" spans="1:18" ht="13.75" customHeight="1" x14ac:dyDescent="0.45">
      <c r="A28" s="272"/>
      <c r="B28" s="132"/>
      <c r="C28" s="132"/>
      <c r="D28" s="160" t="s">
        <v>417</v>
      </c>
      <c r="E28" s="133">
        <v>3</v>
      </c>
      <c r="F28" s="165" t="s">
        <v>53</v>
      </c>
      <c r="G28" s="134"/>
      <c r="H28" s="132"/>
      <c r="I28" s="86"/>
      <c r="J28" s="86"/>
      <c r="K28" s="86"/>
      <c r="L28" s="86"/>
      <c r="M28" s="86"/>
      <c r="N28" s="86"/>
      <c r="O28" s="86"/>
      <c r="P28" s="86"/>
      <c r="Q28" s="111"/>
      <c r="R28" s="552"/>
    </row>
    <row r="29" spans="1:18" ht="13.5" customHeight="1" x14ac:dyDescent="0.4">
      <c r="A29" s="272"/>
      <c r="B29" s="132"/>
      <c r="C29" s="132"/>
      <c r="D29" s="591" t="s">
        <v>940</v>
      </c>
      <c r="E29" s="617">
        <f>'Variable Management'!B135</f>
        <v>40</v>
      </c>
      <c r="F29" s="170" t="s">
        <v>2</v>
      </c>
      <c r="G29" s="134"/>
      <c r="H29" s="132"/>
      <c r="I29" s="86"/>
      <c r="J29" s="86"/>
      <c r="K29" s="86"/>
      <c r="L29" s="86"/>
      <c r="M29" s="86"/>
      <c r="N29" s="86"/>
      <c r="O29" s="86"/>
      <c r="P29" s="86"/>
      <c r="Q29" s="111"/>
      <c r="R29" s="552"/>
    </row>
    <row r="30" spans="1:18" ht="13.75" customHeight="1" x14ac:dyDescent="0.35">
      <c r="A30" s="272"/>
      <c r="B30" s="132"/>
      <c r="C30" s="132"/>
      <c r="D30" s="591" t="str">
        <f>IF('Variable Management'!B85&gt;'Variable Management'!B83, "Power Loss in Rs at Full Load (Max VIN)", "Power Loss in Rs at Full Load (Min VIN)")</f>
        <v>Power Loss in Rs at Full Load (Min VIN)</v>
      </c>
      <c r="E30" s="592">
        <f>'Variable Management'!B86</f>
        <v>31.318755569435481</v>
      </c>
      <c r="F30" s="170" t="s">
        <v>120</v>
      </c>
      <c r="G30" s="134"/>
      <c r="H30" s="132"/>
      <c r="I30" s="86"/>
      <c r="J30" s="86"/>
      <c r="K30" s="86"/>
      <c r="L30" s="86"/>
      <c r="M30" s="86"/>
      <c r="N30" s="86"/>
      <c r="O30" s="86"/>
      <c r="P30" s="86"/>
      <c r="Q30" s="111"/>
      <c r="R30" s="552"/>
    </row>
    <row r="31" spans="1:18" ht="13.75" customHeight="1" x14ac:dyDescent="0.35">
      <c r="A31" s="272"/>
      <c r="B31" s="132"/>
      <c r="C31" s="129"/>
      <c r="D31" s="129" t="s">
        <v>416</v>
      </c>
      <c r="E31" s="159">
        <f>'Standard Value Calculator'!O14</f>
        <v>470.00000000000006</v>
      </c>
      <c r="F31" s="170" t="s">
        <v>32</v>
      </c>
      <c r="G31" s="134"/>
      <c r="H31" s="132"/>
      <c r="I31" s="86"/>
      <c r="J31" s="86"/>
      <c r="K31" s="86"/>
      <c r="L31" s="86"/>
      <c r="M31" s="86"/>
      <c r="N31" s="86"/>
      <c r="O31" s="86"/>
      <c r="P31" s="86"/>
      <c r="Q31" s="111"/>
      <c r="R31" s="552"/>
    </row>
    <row r="32" spans="1:18" ht="13.75" customHeight="1" x14ac:dyDescent="0.45">
      <c r="A32" s="272"/>
      <c r="B32" s="132"/>
      <c r="C32" s="132"/>
      <c r="D32" s="160" t="s">
        <v>420</v>
      </c>
      <c r="E32" s="133">
        <v>470</v>
      </c>
      <c r="F32" s="165" t="s">
        <v>32</v>
      </c>
      <c r="G32" s="134"/>
      <c r="H32" s="132"/>
      <c r="I32" s="86"/>
      <c r="J32" s="86"/>
      <c r="K32" s="86"/>
      <c r="L32" s="86"/>
      <c r="M32" s="86"/>
      <c r="N32" s="86"/>
      <c r="O32" s="86"/>
      <c r="P32" s="86"/>
      <c r="Q32" s="111"/>
      <c r="R32" s="552"/>
    </row>
    <row r="33" spans="1:18" ht="13.5" customHeight="1" x14ac:dyDescent="0.4">
      <c r="A33" s="272"/>
      <c r="B33" s="132"/>
      <c r="C33" s="117"/>
      <c r="D33" s="324" t="s">
        <v>369</v>
      </c>
      <c r="E33" s="274">
        <f>'Variable Management'!B127</f>
        <v>3.204209266219185</v>
      </c>
      <c r="F33" s="275" t="s">
        <v>2</v>
      </c>
      <c r="G33" s="134"/>
      <c r="H33" s="132"/>
      <c r="I33" s="86"/>
      <c r="J33" s="86"/>
      <c r="K33" s="86"/>
      <c r="L33" s="86"/>
      <c r="M33" s="86"/>
      <c r="N33" s="86"/>
      <c r="O33" s="86"/>
      <c r="P33" s="86"/>
      <c r="Q33" s="111"/>
      <c r="R33" s="552"/>
    </row>
    <row r="34" spans="1:18" ht="15" customHeight="1" x14ac:dyDescent="0.4">
      <c r="A34" s="272"/>
      <c r="B34" s="132"/>
      <c r="C34" s="129" t="s">
        <v>737</v>
      </c>
      <c r="D34" s="324" t="s">
        <v>370</v>
      </c>
      <c r="E34" s="274">
        <f>'Variable Management'!B128</f>
        <v>9.101507963248638</v>
      </c>
      <c r="F34" s="275" t="s">
        <v>2</v>
      </c>
      <c r="G34" s="134"/>
      <c r="H34" s="132"/>
      <c r="I34" s="86"/>
      <c r="J34" s="86"/>
      <c r="K34" s="86"/>
      <c r="L34" s="86"/>
      <c r="M34" s="86"/>
      <c r="N34" s="86"/>
      <c r="O34" s="86"/>
      <c r="P34" s="86"/>
      <c r="Q34" s="111"/>
      <c r="R34" s="552"/>
    </row>
    <row r="35" spans="1:18" ht="15.75" customHeight="1" x14ac:dyDescent="0.4">
      <c r="A35" s="272"/>
      <c r="B35" s="132"/>
      <c r="C35" s="132"/>
      <c r="D35" s="324" t="s">
        <v>371</v>
      </c>
      <c r="E35" s="274">
        <f>'Variable Management'!B129</f>
        <v>15.248562716007534</v>
      </c>
      <c r="F35" s="275" t="s">
        <v>2</v>
      </c>
      <c r="G35" s="134"/>
      <c r="H35" s="132"/>
      <c r="I35" s="86"/>
      <c r="J35" s="86"/>
      <c r="K35" s="86"/>
      <c r="L35" s="86"/>
      <c r="M35" s="86"/>
      <c r="N35" s="86"/>
      <c r="O35" s="86"/>
      <c r="P35" s="86"/>
      <c r="Q35" s="111"/>
      <c r="R35" s="552"/>
    </row>
    <row r="36" spans="1:18" ht="13.75" customHeight="1" x14ac:dyDescent="0.35">
      <c r="A36" s="272"/>
      <c r="B36" s="132"/>
      <c r="C36" s="132"/>
      <c r="D36" s="160" t="s">
        <v>965</v>
      </c>
      <c r="E36" s="297">
        <v>20</v>
      </c>
      <c r="F36" s="165" t="s">
        <v>2</v>
      </c>
      <c r="G36" s="134"/>
      <c r="H36" s="132"/>
      <c r="I36" s="86"/>
      <c r="J36" s="86"/>
      <c r="K36" s="86"/>
      <c r="L36" s="86"/>
      <c r="M36" s="86"/>
      <c r="N36" s="86"/>
      <c r="O36" s="86"/>
      <c r="P36" s="86"/>
      <c r="Q36" s="111"/>
      <c r="R36" s="552"/>
    </row>
    <row r="37" spans="1:18" ht="16.5" customHeight="1" thickBot="1" x14ac:dyDescent="0.45">
      <c r="A37" s="277"/>
      <c r="B37" s="167"/>
      <c r="C37" s="167"/>
      <c r="D37" s="130" t="s">
        <v>790</v>
      </c>
      <c r="E37" s="538">
        <f>Rshunt</f>
        <v>2.5</v>
      </c>
      <c r="F37" s="168" t="s">
        <v>53</v>
      </c>
      <c r="G37" s="136"/>
      <c r="H37" s="132"/>
      <c r="I37" s="86"/>
      <c r="J37" s="86"/>
      <c r="K37" s="86"/>
      <c r="L37" s="86"/>
      <c r="M37" s="86"/>
      <c r="N37" s="86"/>
      <c r="O37" s="86"/>
      <c r="P37" s="86"/>
      <c r="Q37" s="111"/>
      <c r="R37" s="552"/>
    </row>
    <row r="38" spans="1:18" ht="14.15" customHeight="1" x14ac:dyDescent="0.35">
      <c r="A38" s="131"/>
      <c r="B38" s="132"/>
      <c r="C38" s="142"/>
      <c r="D38" s="142"/>
      <c r="E38" s="142"/>
      <c r="F38" s="142"/>
      <c r="G38" s="132"/>
      <c r="H38" s="132"/>
      <c r="I38" s="86"/>
      <c r="J38" s="86"/>
      <c r="K38" s="86"/>
      <c r="L38" s="86"/>
      <c r="M38" s="86"/>
      <c r="N38" s="86"/>
      <c r="O38" s="86"/>
      <c r="P38" s="86"/>
      <c r="Q38" s="111"/>
      <c r="R38" s="552"/>
    </row>
    <row r="39" spans="1:18" ht="18" thickBot="1" x14ac:dyDescent="0.45">
      <c r="A39" s="194" t="s">
        <v>170</v>
      </c>
      <c r="B39" s="139"/>
      <c r="C39" s="140"/>
      <c r="D39" s="140"/>
      <c r="E39" s="141"/>
      <c r="F39" s="140"/>
      <c r="G39" s="132"/>
      <c r="H39" s="132"/>
      <c r="I39" s="86"/>
      <c r="J39" s="86"/>
      <c r="K39" s="86"/>
      <c r="L39" s="86"/>
      <c r="M39" s="86"/>
      <c r="N39" s="86"/>
      <c r="O39" s="86"/>
      <c r="P39" s="86"/>
      <c r="Q39" s="111"/>
      <c r="R39" s="552"/>
    </row>
    <row r="40" spans="1:18" ht="15.75" customHeight="1" x14ac:dyDescent="0.45">
      <c r="A40" s="181"/>
      <c r="B40" s="172"/>
      <c r="C40" s="162"/>
      <c r="D40" s="173" t="s">
        <v>846</v>
      </c>
      <c r="E40" s="174">
        <v>50</v>
      </c>
      <c r="F40" s="164" t="s">
        <v>287</v>
      </c>
      <c r="G40" s="132"/>
      <c r="H40" s="132"/>
      <c r="I40" s="86"/>
      <c r="J40" s="86"/>
      <c r="K40" s="86"/>
      <c r="L40" s="86"/>
      <c r="M40" s="86"/>
      <c r="N40" s="86"/>
      <c r="O40" s="86"/>
      <c r="P40" s="86"/>
      <c r="Q40" s="111"/>
      <c r="R40" s="552"/>
    </row>
    <row r="41" spans="1:18" ht="14.15" customHeight="1" x14ac:dyDescent="0.35">
      <c r="A41" s="131"/>
      <c r="B41" s="132"/>
      <c r="C41" s="129"/>
      <c r="D41" s="129" t="s">
        <v>605</v>
      </c>
      <c r="E41" s="582">
        <f>'Variable Management'!B168</f>
        <v>305.83519761372116</v>
      </c>
      <c r="F41" s="170" t="s">
        <v>271</v>
      </c>
      <c r="G41" s="132"/>
      <c r="H41" s="132"/>
      <c r="I41" s="86"/>
      <c r="J41" s="86"/>
      <c r="K41" s="86"/>
      <c r="L41" s="86"/>
      <c r="M41" s="86"/>
      <c r="N41" s="86"/>
      <c r="O41" s="86"/>
      <c r="P41" s="86"/>
      <c r="Q41" s="111"/>
      <c r="R41" s="552"/>
    </row>
    <row r="42" spans="1:18" ht="14.15" customHeight="1" x14ac:dyDescent="0.45">
      <c r="A42" s="131"/>
      <c r="B42" s="132"/>
      <c r="C42" s="129"/>
      <c r="D42" s="128" t="s">
        <v>363</v>
      </c>
      <c r="E42" s="135">
        <v>600</v>
      </c>
      <c r="F42" s="165" t="s">
        <v>271</v>
      </c>
      <c r="G42" s="134"/>
      <c r="H42" s="132"/>
      <c r="I42" s="86"/>
      <c r="J42" s="86"/>
      <c r="K42" s="86"/>
      <c r="L42" s="86"/>
      <c r="M42" s="86"/>
      <c r="N42" s="86"/>
      <c r="O42" s="86"/>
      <c r="P42" s="86"/>
      <c r="Q42" s="111"/>
      <c r="R42" s="552"/>
    </row>
    <row r="43" spans="1:18" ht="14.15" customHeight="1" x14ac:dyDescent="0.35">
      <c r="A43" s="131"/>
      <c r="B43" s="132"/>
      <c r="C43" s="129"/>
      <c r="D43" s="129" t="s">
        <v>296</v>
      </c>
      <c r="E43" s="581">
        <f>'Variable Management'!B172</f>
        <v>2.4513733532189903</v>
      </c>
      <c r="F43" s="170" t="s">
        <v>53</v>
      </c>
      <c r="G43" s="134"/>
      <c r="H43" s="132"/>
      <c r="I43" s="86"/>
      <c r="J43" s="86"/>
      <c r="K43" s="86"/>
      <c r="L43" s="86"/>
      <c r="M43" s="86"/>
      <c r="N43" s="86"/>
      <c r="O43" s="86"/>
      <c r="P43" s="86"/>
      <c r="Q43" s="111"/>
      <c r="R43" s="552"/>
    </row>
    <row r="44" spans="1:18" ht="14.15" customHeight="1" x14ac:dyDescent="0.35">
      <c r="A44" s="131"/>
      <c r="B44" s="132"/>
      <c r="C44" s="129"/>
      <c r="D44" s="128" t="s">
        <v>297</v>
      </c>
      <c r="E44" s="135">
        <v>2</v>
      </c>
      <c r="F44" s="165" t="s">
        <v>53</v>
      </c>
      <c r="G44" s="134"/>
      <c r="H44" s="132"/>
      <c r="I44" s="86"/>
      <c r="J44" s="86"/>
      <c r="K44" s="86"/>
      <c r="L44" s="86"/>
      <c r="M44" s="86"/>
      <c r="N44" s="86"/>
      <c r="O44" s="86"/>
      <c r="P44" s="86"/>
      <c r="Q44" s="111"/>
      <c r="R44" s="552"/>
    </row>
    <row r="45" spans="1:18" ht="14.15" customHeight="1" x14ac:dyDescent="0.4">
      <c r="A45" s="131"/>
      <c r="B45" s="132"/>
      <c r="C45" s="132"/>
      <c r="D45" s="129" t="s">
        <v>840</v>
      </c>
      <c r="E45" s="159">
        <f>Vripple2*1000</f>
        <v>45.486266467810104</v>
      </c>
      <c r="F45" s="170" t="s">
        <v>290</v>
      </c>
      <c r="G45" s="134"/>
      <c r="H45" s="132"/>
      <c r="I45" s="86"/>
      <c r="J45" s="86"/>
      <c r="K45" s="86"/>
      <c r="L45" s="86"/>
      <c r="M45" s="86"/>
      <c r="N45" s="86"/>
      <c r="O45" s="86"/>
      <c r="P45" s="86"/>
      <c r="Q45" s="111"/>
      <c r="R45" s="552"/>
    </row>
    <row r="46" spans="1:18" ht="14.15" customHeight="1" thickBot="1" x14ac:dyDescent="0.4">
      <c r="A46" s="166"/>
      <c r="B46" s="167"/>
      <c r="C46" s="167"/>
      <c r="D46" s="130" t="s">
        <v>841</v>
      </c>
      <c r="E46" s="171">
        <f>'Variable Management'!B163</f>
        <v>29.32575659723036</v>
      </c>
      <c r="F46" s="168" t="s">
        <v>176</v>
      </c>
      <c r="G46" s="136"/>
      <c r="H46" s="132"/>
      <c r="I46" s="86"/>
      <c r="J46" s="86"/>
      <c r="K46" s="86"/>
      <c r="L46" s="86"/>
      <c r="M46" s="86"/>
      <c r="N46" s="86"/>
      <c r="O46" s="86"/>
      <c r="P46" s="86"/>
      <c r="Q46" s="111"/>
      <c r="R46" s="552"/>
    </row>
    <row r="47" spans="1:18" ht="17.149999999999999" customHeight="1" x14ac:dyDescent="0.35">
      <c r="A47" s="196"/>
      <c r="B47" s="142"/>
      <c r="C47" s="142"/>
      <c r="D47" s="142"/>
      <c r="E47" s="142"/>
      <c r="F47" s="142"/>
      <c r="G47" s="132"/>
      <c r="H47" s="132"/>
      <c r="I47" s="86"/>
      <c r="J47" s="86"/>
      <c r="K47" s="86"/>
      <c r="L47" s="86"/>
      <c r="M47" s="288" t="s">
        <v>943</v>
      </c>
      <c r="N47" s="619" t="str">
        <f>VIN_nom&amp;"V"</f>
        <v>12V</v>
      </c>
      <c r="O47" s="86"/>
      <c r="P47" s="86"/>
      <c r="Q47" s="111"/>
      <c r="R47" s="552"/>
    </row>
    <row r="48" spans="1:18" ht="18" thickBot="1" x14ac:dyDescent="0.45">
      <c r="A48" s="194" t="s">
        <v>171</v>
      </c>
      <c r="B48" s="139"/>
      <c r="C48" s="140"/>
      <c r="D48" s="140"/>
      <c r="E48" s="132"/>
      <c r="F48" s="132"/>
      <c r="G48" s="132"/>
      <c r="H48" s="132"/>
      <c r="I48" s="86"/>
      <c r="J48" s="86"/>
      <c r="K48" s="86"/>
      <c r="L48" s="113"/>
      <c r="M48" s="117"/>
      <c r="N48" s="117"/>
      <c r="O48" s="86"/>
      <c r="P48" s="86"/>
      <c r="Q48" s="111"/>
      <c r="R48" s="552"/>
    </row>
    <row r="49" spans="1:18" ht="14.15" customHeight="1" x14ac:dyDescent="0.45">
      <c r="A49" s="181"/>
      <c r="B49" s="172"/>
      <c r="C49" s="161"/>
      <c r="D49" s="163" t="s">
        <v>847</v>
      </c>
      <c r="E49" s="174">
        <v>200</v>
      </c>
      <c r="F49" s="164" t="s">
        <v>287</v>
      </c>
      <c r="G49" s="132"/>
      <c r="H49" s="132"/>
      <c r="I49" s="86"/>
      <c r="J49" s="114"/>
      <c r="K49" s="86"/>
      <c r="L49" s="86"/>
      <c r="M49" s="86"/>
      <c r="N49" s="86"/>
      <c r="O49" s="86"/>
      <c r="P49" s="86"/>
      <c r="Q49" s="111"/>
      <c r="R49" s="552"/>
    </row>
    <row r="50" spans="1:18" ht="14.15" customHeight="1" x14ac:dyDescent="0.35">
      <c r="A50" s="143"/>
      <c r="B50" s="140"/>
      <c r="C50" s="132"/>
      <c r="D50" s="129" t="s">
        <v>848</v>
      </c>
      <c r="E50" s="581">
        <f>'Variable Management'!B188</f>
        <v>10</v>
      </c>
      <c r="F50" s="170" t="s">
        <v>271</v>
      </c>
      <c r="G50" s="132"/>
      <c r="H50" s="132"/>
      <c r="I50" s="86"/>
      <c r="J50" s="114"/>
      <c r="K50" s="86"/>
      <c r="L50" s="86"/>
      <c r="M50" s="86"/>
      <c r="N50" s="86"/>
      <c r="O50" s="86"/>
      <c r="P50" s="86"/>
      <c r="Q50" s="111"/>
      <c r="R50" s="552"/>
    </row>
    <row r="51" spans="1:18" ht="14.15" customHeight="1" x14ac:dyDescent="0.45">
      <c r="A51" s="131"/>
      <c r="B51" s="132"/>
      <c r="C51" s="140"/>
      <c r="D51" s="160" t="s">
        <v>364</v>
      </c>
      <c r="E51" s="133">
        <v>100</v>
      </c>
      <c r="F51" s="165" t="s">
        <v>271</v>
      </c>
      <c r="G51" s="132"/>
      <c r="H51" s="132"/>
      <c r="I51" s="86"/>
      <c r="J51" s="114"/>
      <c r="K51" s="86"/>
      <c r="L51" s="86"/>
      <c r="M51" s="86"/>
      <c r="N51" s="86"/>
      <c r="O51" s="86"/>
      <c r="P51" s="86"/>
      <c r="Q51" s="111"/>
      <c r="R51" s="552"/>
    </row>
    <row r="52" spans="1:18" ht="14.15" customHeight="1" x14ac:dyDescent="0.35">
      <c r="A52" s="131"/>
      <c r="B52" s="132"/>
      <c r="C52" s="140"/>
      <c r="D52" s="129" t="s">
        <v>296</v>
      </c>
      <c r="E52" s="581">
        <f>'Variable Management'!B193</f>
        <v>33.597342622788389</v>
      </c>
      <c r="F52" s="170" t="s">
        <v>53</v>
      </c>
      <c r="G52" s="132"/>
      <c r="H52" s="132"/>
      <c r="I52" s="86"/>
      <c r="J52" s="115"/>
      <c r="K52" s="86"/>
      <c r="L52" s="86"/>
      <c r="M52" s="86"/>
      <c r="N52" s="86"/>
      <c r="O52" s="86"/>
      <c r="P52" s="86"/>
      <c r="Q52" s="111" t="s">
        <v>214</v>
      </c>
      <c r="R52" s="552"/>
    </row>
    <row r="53" spans="1:18" ht="14.15" customHeight="1" x14ac:dyDescent="0.35">
      <c r="A53" s="131"/>
      <c r="B53" s="132"/>
      <c r="C53" s="140"/>
      <c r="D53" s="160" t="s">
        <v>298</v>
      </c>
      <c r="E53" s="133">
        <v>2</v>
      </c>
      <c r="F53" s="165" t="s">
        <v>53</v>
      </c>
      <c r="G53" s="132"/>
      <c r="H53" s="132"/>
      <c r="I53" s="86"/>
      <c r="J53" s="115"/>
      <c r="K53" s="86"/>
      <c r="L53" s="86"/>
      <c r="M53" s="86"/>
      <c r="N53" s="86"/>
      <c r="O53" s="86"/>
      <c r="P53" s="86"/>
      <c r="Q53" s="111"/>
      <c r="R53" s="552"/>
    </row>
    <row r="54" spans="1:18" ht="14.15" customHeight="1" x14ac:dyDescent="0.4">
      <c r="A54" s="131"/>
      <c r="B54" s="132"/>
      <c r="C54" s="140"/>
      <c r="D54" s="129" t="s">
        <v>839</v>
      </c>
      <c r="E54" s="159">
        <f>Vinripple2*1000</f>
        <v>17.15860486508544</v>
      </c>
      <c r="F54" s="170" t="s">
        <v>290</v>
      </c>
      <c r="G54" s="132"/>
      <c r="H54" s="132"/>
      <c r="I54" s="86"/>
      <c r="J54" s="115"/>
      <c r="K54" s="86"/>
      <c r="L54" s="86"/>
      <c r="M54" s="86"/>
      <c r="N54" s="86"/>
      <c r="O54" s="86"/>
      <c r="P54" s="86"/>
      <c r="Q54" s="111"/>
      <c r="R54" s="552"/>
    </row>
    <row r="55" spans="1:18" ht="14.15" customHeight="1" thickBot="1" x14ac:dyDescent="0.4">
      <c r="A55" s="166"/>
      <c r="B55" s="167"/>
      <c r="C55" s="167"/>
      <c r="D55" s="130" t="s">
        <v>842</v>
      </c>
      <c r="E55" s="171">
        <f>'Variable Management'!B181</f>
        <v>1.7151459911677558</v>
      </c>
      <c r="F55" s="168" t="s">
        <v>176</v>
      </c>
      <c r="G55" s="132"/>
      <c r="H55" s="132"/>
      <c r="I55" s="86"/>
      <c r="J55" s="86"/>
      <c r="K55" s="86"/>
      <c r="L55" s="86"/>
      <c r="M55" s="86"/>
      <c r="N55" s="86"/>
      <c r="O55" s="86"/>
      <c r="P55" s="86"/>
      <c r="Q55" s="111"/>
      <c r="R55" s="552"/>
    </row>
    <row r="56" spans="1:18" ht="14.15" customHeight="1" x14ac:dyDescent="0.35">
      <c r="A56" s="131"/>
      <c r="B56" s="132"/>
      <c r="C56" s="132"/>
      <c r="D56" s="129"/>
      <c r="E56" s="132"/>
      <c r="F56" s="132"/>
      <c r="G56" s="132"/>
      <c r="H56" s="132"/>
      <c r="I56" s="86"/>
      <c r="J56" s="86"/>
      <c r="K56" s="86"/>
      <c r="L56" s="86"/>
      <c r="M56" s="86"/>
      <c r="N56" s="86"/>
      <c r="O56" s="86"/>
      <c r="P56" s="86"/>
      <c r="Q56" s="111"/>
      <c r="R56" s="552"/>
    </row>
    <row r="57" spans="1:18" ht="18" thickBot="1" x14ac:dyDescent="0.45">
      <c r="A57" s="194" t="s">
        <v>418</v>
      </c>
      <c r="B57" s="139"/>
      <c r="C57" s="132"/>
      <c r="D57" s="129"/>
      <c r="E57" s="132"/>
      <c r="F57" s="132"/>
      <c r="G57" s="132"/>
      <c r="H57" s="144"/>
      <c r="I57" s="117"/>
      <c r="J57" s="117"/>
      <c r="K57" s="117"/>
      <c r="L57" s="117"/>
      <c r="M57" s="117"/>
      <c r="N57" s="86"/>
      <c r="O57" s="86"/>
      <c r="P57" s="86"/>
      <c r="Q57" s="111"/>
      <c r="R57" s="552"/>
    </row>
    <row r="58" spans="1:18" ht="13.75" customHeight="1" x14ac:dyDescent="0.35">
      <c r="A58" s="282"/>
      <c r="B58" s="283"/>
      <c r="C58" s="283"/>
      <c r="D58" s="292" t="s">
        <v>366</v>
      </c>
      <c r="E58" s="286">
        <v>50</v>
      </c>
      <c r="F58" s="287" t="s">
        <v>180</v>
      </c>
      <c r="G58" s="132"/>
      <c r="H58" s="142"/>
      <c r="I58" s="117"/>
      <c r="J58" s="117"/>
      <c r="K58" s="117"/>
      <c r="L58" s="117"/>
      <c r="M58" s="117"/>
      <c r="N58" s="86"/>
      <c r="O58" s="86"/>
      <c r="P58" s="86"/>
      <c r="Q58" s="111"/>
      <c r="R58" s="552"/>
    </row>
    <row r="59" spans="1:18" ht="13.75" customHeight="1" x14ac:dyDescent="0.35">
      <c r="A59" s="272"/>
      <c r="B59" s="271"/>
      <c r="C59" s="271"/>
      <c r="D59" s="273" t="s">
        <v>365</v>
      </c>
      <c r="E59" s="293">
        <f>IF(Tss&gt;1.28/1000,Css_u*1000000000,"N/A")</f>
        <v>330</v>
      </c>
      <c r="F59" s="275" t="s">
        <v>172</v>
      </c>
      <c r="G59" s="132"/>
      <c r="H59" s="142"/>
      <c r="I59" s="117"/>
      <c r="J59" s="117"/>
      <c r="K59" s="117"/>
      <c r="L59" s="117"/>
      <c r="M59" s="117"/>
      <c r="N59" s="86"/>
      <c r="O59" s="86"/>
      <c r="P59" s="86"/>
      <c r="Q59" s="111"/>
      <c r="R59" s="552"/>
    </row>
    <row r="60" spans="1:18" ht="13.75" customHeight="1" x14ac:dyDescent="0.35">
      <c r="A60" s="272"/>
      <c r="B60" s="271"/>
      <c r="C60" s="271"/>
      <c r="D60" s="294" t="s">
        <v>938</v>
      </c>
      <c r="E60" s="297">
        <v>4.1660000000000004</v>
      </c>
      <c r="F60" s="290" t="str">
        <f>IF(DITHER=1, "kHz", "")</f>
        <v>kHz</v>
      </c>
      <c r="G60" s="132"/>
      <c r="H60" s="132"/>
      <c r="I60" s="86"/>
      <c r="J60" s="84"/>
      <c r="K60" s="127"/>
      <c r="L60" s="86"/>
      <c r="M60" s="117"/>
      <c r="N60" s="86"/>
      <c r="O60" s="86"/>
      <c r="P60" s="86"/>
      <c r="Q60" s="111"/>
      <c r="R60" s="552"/>
    </row>
    <row r="61" spans="1:18" ht="13.75" customHeight="1" x14ac:dyDescent="0.35">
      <c r="A61" s="272"/>
      <c r="B61" s="271"/>
      <c r="C61" s="271"/>
      <c r="D61" s="273" t="str">
        <f>IF(DITHER=1, "DITH Capacitance, Cd", "*Short DITH pin to GND")</f>
        <v>DITH Capacitance, Cd</v>
      </c>
      <c r="E61" s="273">
        <f>IF(DITHER=1,IF(E60&gt;0,'Standard Value Calculator'!O19*1000000000,"N/A"),"")</f>
        <v>10</v>
      </c>
      <c r="F61" s="275" t="str">
        <f>IF(DITHER=1, "nF", "")</f>
        <v>nF</v>
      </c>
      <c r="G61" s="132"/>
      <c r="H61" s="132"/>
      <c r="I61" s="86"/>
      <c r="J61" s="84"/>
      <c r="K61" s="127"/>
      <c r="L61" s="86"/>
      <c r="M61" s="117"/>
      <c r="N61" s="86"/>
      <c r="O61" s="86"/>
      <c r="P61" s="86"/>
      <c r="Q61" s="111"/>
      <c r="R61" s="552"/>
    </row>
    <row r="62" spans="1:18" ht="13.75" customHeight="1" x14ac:dyDescent="0.35">
      <c r="A62" s="272"/>
      <c r="B62" s="271"/>
      <c r="C62" s="295"/>
      <c r="D62" s="296" t="s">
        <v>384</v>
      </c>
      <c r="E62" s="297">
        <v>4.7</v>
      </c>
      <c r="F62" s="290" t="s">
        <v>0</v>
      </c>
      <c r="G62" s="132"/>
      <c r="H62" s="132"/>
      <c r="I62" s="86"/>
      <c r="J62" s="84"/>
      <c r="K62" s="127"/>
      <c r="L62" s="86"/>
      <c r="M62" s="117"/>
      <c r="N62" s="86"/>
      <c r="O62" s="86"/>
      <c r="P62" s="86"/>
      <c r="Q62" s="111"/>
      <c r="R62" s="552"/>
    </row>
    <row r="63" spans="1:18" ht="13.75" customHeight="1" x14ac:dyDescent="0.35">
      <c r="A63" s="272"/>
      <c r="B63" s="271"/>
      <c r="C63" s="271"/>
      <c r="D63" s="273" t="s">
        <v>346</v>
      </c>
      <c r="E63" s="299">
        <f>'Variable Management'!B216</f>
        <v>3.9429187499999987</v>
      </c>
      <c r="F63" s="275" t="s">
        <v>0</v>
      </c>
      <c r="G63" s="132"/>
      <c r="H63" s="132"/>
      <c r="I63" s="86"/>
      <c r="J63" s="84"/>
      <c r="K63" s="127"/>
      <c r="L63" s="86"/>
      <c r="M63" s="117"/>
      <c r="N63" s="86"/>
      <c r="O63" s="86"/>
      <c r="P63" s="86"/>
      <c r="Q63" s="111"/>
      <c r="R63" s="552"/>
    </row>
    <row r="64" spans="1:18" ht="13.75" customHeight="1" x14ac:dyDescent="0.35">
      <c r="A64" s="272"/>
      <c r="B64" s="271"/>
      <c r="C64" s="295"/>
      <c r="D64" s="296" t="s">
        <v>383</v>
      </c>
      <c r="E64" s="297">
        <v>249</v>
      </c>
      <c r="F64" s="275" t="s">
        <v>54</v>
      </c>
      <c r="G64" s="132"/>
      <c r="H64" s="132"/>
      <c r="I64" s="86"/>
      <c r="J64" s="84"/>
      <c r="K64" s="127"/>
      <c r="L64" s="86"/>
      <c r="M64" s="117"/>
      <c r="N64" s="86"/>
      <c r="O64" s="86"/>
      <c r="P64" s="86"/>
      <c r="Q64" s="111"/>
      <c r="R64" s="552"/>
    </row>
    <row r="65" spans="1:35" ht="15" customHeight="1" thickBot="1" x14ac:dyDescent="0.4">
      <c r="A65" s="300"/>
      <c r="B65" s="301"/>
      <c r="C65" s="301"/>
      <c r="D65" s="298" t="s">
        <v>382</v>
      </c>
      <c r="E65" s="298">
        <f>'Variable Management'!E213</f>
        <v>76.800000000000011</v>
      </c>
      <c r="F65" s="302" t="s">
        <v>54</v>
      </c>
      <c r="G65" s="132"/>
      <c r="H65" s="132"/>
      <c r="I65" s="86"/>
      <c r="J65" s="84"/>
      <c r="K65" s="127"/>
      <c r="L65" s="86"/>
      <c r="M65" s="117"/>
      <c r="N65" s="86"/>
      <c r="O65" s="86"/>
      <c r="P65" s="86"/>
      <c r="Q65" s="111"/>
      <c r="R65" s="552"/>
    </row>
    <row r="66" spans="1:35" ht="14.15" customHeight="1" x14ac:dyDescent="0.35">
      <c r="A66" s="131"/>
      <c r="B66" s="132"/>
      <c r="C66" s="132"/>
      <c r="D66" s="129"/>
      <c r="E66" s="145"/>
      <c r="F66" s="132"/>
      <c r="G66" s="132"/>
      <c r="H66" s="132"/>
      <c r="I66" s="86"/>
      <c r="J66" s="84"/>
      <c r="K66" s="127"/>
      <c r="L66" s="86"/>
      <c r="M66" s="117"/>
      <c r="N66" s="86"/>
      <c r="O66" s="86"/>
      <c r="P66" s="86"/>
      <c r="Q66" s="111"/>
      <c r="R66" s="552"/>
    </row>
    <row r="67" spans="1:35" ht="19.5" customHeight="1" thickBot="1" x14ac:dyDescent="0.4">
      <c r="A67" s="194" t="s">
        <v>292</v>
      </c>
      <c r="B67" s="147"/>
      <c r="C67" s="140"/>
      <c r="D67" s="618"/>
      <c r="E67" s="141"/>
      <c r="F67" s="140"/>
      <c r="G67" s="132"/>
      <c r="H67" s="132"/>
      <c r="I67" s="86"/>
      <c r="J67" s="86"/>
      <c r="K67" s="86"/>
      <c r="L67" s="86"/>
      <c r="M67" s="86"/>
      <c r="N67" s="86"/>
      <c r="O67" s="86"/>
      <c r="P67" s="86"/>
      <c r="Q67" s="111"/>
      <c r="R67" s="551"/>
      <c r="S67" s="54"/>
      <c r="T67" s="54"/>
      <c r="W67" s="54"/>
      <c r="X67" s="54"/>
      <c r="Y67" s="54"/>
      <c r="AB67" s="54"/>
      <c r="AC67" s="54"/>
      <c r="AD67" s="54"/>
      <c r="AG67" s="54"/>
      <c r="AH67" s="54"/>
      <c r="AI67" s="54"/>
    </row>
    <row r="68" spans="1:35" ht="15" customHeight="1" x14ac:dyDescent="0.35">
      <c r="A68" s="282"/>
      <c r="B68" s="283"/>
      <c r="C68" s="284"/>
      <c r="D68" s="284" t="s">
        <v>386</v>
      </c>
      <c r="E68" s="395">
        <f>Fp_dominant</f>
        <v>134.7392080547589</v>
      </c>
      <c r="F68" s="303" t="s">
        <v>10</v>
      </c>
      <c r="G68" s="132"/>
      <c r="H68" s="132"/>
      <c r="I68" s="86"/>
      <c r="J68" s="86"/>
      <c r="K68" s="86"/>
      <c r="L68" s="86"/>
      <c r="M68" s="86"/>
      <c r="N68" s="86"/>
      <c r="O68" s="86"/>
      <c r="P68" s="86"/>
      <c r="Q68" s="111"/>
      <c r="R68" s="551"/>
      <c r="S68" s="54"/>
      <c r="T68" s="54"/>
      <c r="W68" s="54"/>
      <c r="X68" s="54"/>
      <c r="Y68" s="54"/>
      <c r="AB68" s="54"/>
      <c r="AC68" s="54"/>
      <c r="AD68" s="54"/>
      <c r="AG68" s="54"/>
      <c r="AH68" s="54"/>
      <c r="AI68" s="54"/>
    </row>
    <row r="69" spans="1:35" ht="15" customHeight="1" x14ac:dyDescent="0.35">
      <c r="A69" s="272"/>
      <c r="B69" s="271"/>
      <c r="C69" s="273"/>
      <c r="D69" s="273" t="s">
        <v>385</v>
      </c>
      <c r="E69" s="276">
        <f>Fesr/1000</f>
        <v>132.62911939479699</v>
      </c>
      <c r="F69" s="275" t="s">
        <v>3</v>
      </c>
      <c r="G69" s="132"/>
      <c r="H69" s="132"/>
      <c r="I69" s="86"/>
      <c r="J69" s="86"/>
      <c r="K69" s="86"/>
      <c r="L69" s="86"/>
      <c r="M69" s="86"/>
      <c r="N69" s="86"/>
      <c r="O69" s="86"/>
      <c r="P69" s="86"/>
      <c r="Q69" s="111"/>
      <c r="R69" s="551"/>
      <c r="S69" s="54"/>
      <c r="T69" s="54"/>
      <c r="W69" s="54"/>
      <c r="X69" s="54"/>
      <c r="Y69" s="54"/>
      <c r="AB69" s="54"/>
      <c r="AC69" s="54"/>
      <c r="AD69" s="54"/>
      <c r="AG69" s="54"/>
      <c r="AH69" s="54"/>
      <c r="AI69" s="54"/>
    </row>
    <row r="70" spans="1:35" ht="15" customHeight="1" x14ac:dyDescent="0.35">
      <c r="A70" s="272"/>
      <c r="B70" s="271"/>
      <c r="C70" s="273"/>
      <c r="D70" s="273" t="s">
        <v>468</v>
      </c>
      <c r="E70" s="276">
        <f>Frhp/1000</f>
        <v>13.491577082021625</v>
      </c>
      <c r="F70" s="275" t="s">
        <v>3</v>
      </c>
      <c r="G70" s="132"/>
      <c r="H70" s="132"/>
      <c r="I70" s="86"/>
      <c r="J70" s="86"/>
      <c r="K70" s="86"/>
      <c r="L70" s="86"/>
      <c r="M70" s="86"/>
      <c r="N70" s="86"/>
      <c r="O70" s="86"/>
      <c r="P70" s="86"/>
      <c r="Q70" s="111"/>
      <c r="R70" s="551"/>
      <c r="S70" s="54"/>
      <c r="T70" s="54"/>
      <c r="W70" s="54"/>
      <c r="X70" s="54"/>
      <c r="Y70" s="54"/>
      <c r="AB70" s="54"/>
      <c r="AC70" s="54"/>
      <c r="AD70" s="54"/>
      <c r="AG70" s="54"/>
      <c r="AH70" s="54"/>
      <c r="AI70" s="54"/>
    </row>
    <row r="71" spans="1:35" ht="15" customHeight="1" x14ac:dyDescent="0.35">
      <c r="A71" s="272"/>
      <c r="B71" s="271"/>
      <c r="C71" s="273"/>
      <c r="D71" s="296" t="s">
        <v>304</v>
      </c>
      <c r="E71" s="304">
        <v>7</v>
      </c>
      <c r="F71" s="305" t="str">
        <f>"     kHz "</f>
        <v xml:space="preserve">     kHz </v>
      </c>
      <c r="G71" s="132"/>
      <c r="H71" s="132"/>
      <c r="I71" s="86"/>
      <c r="J71" s="86"/>
      <c r="K71" s="86"/>
      <c r="L71" s="86"/>
      <c r="M71" s="86"/>
      <c r="N71" s="86"/>
      <c r="O71" s="86"/>
      <c r="P71" s="86"/>
      <c r="Q71" s="111"/>
      <c r="R71" s="551"/>
      <c r="S71" s="54"/>
      <c r="T71" s="54"/>
      <c r="W71" s="54"/>
      <c r="X71" s="54"/>
      <c r="Y71" s="54"/>
      <c r="AB71" s="54"/>
      <c r="AC71" s="54"/>
      <c r="AD71" s="54"/>
      <c r="AG71" s="54"/>
      <c r="AH71" s="54"/>
      <c r="AI71" s="54"/>
    </row>
    <row r="72" spans="1:35" ht="15" customHeight="1" x14ac:dyDescent="0.35">
      <c r="A72" s="272"/>
      <c r="B72" s="271"/>
      <c r="C72" s="273"/>
      <c r="D72" s="273" t="s">
        <v>524</v>
      </c>
      <c r="E72" s="276">
        <f>Fp1_u</f>
        <v>0.66089524865232363</v>
      </c>
      <c r="F72" s="275" t="s">
        <v>10</v>
      </c>
      <c r="G72" s="132"/>
      <c r="H72" s="132"/>
      <c r="I72" s="86"/>
      <c r="J72" s="86"/>
      <c r="K72" s="86"/>
      <c r="L72" s="86"/>
      <c r="M72" s="86"/>
      <c r="N72" s="86"/>
      <c r="O72" s="86"/>
      <c r="P72" s="86"/>
      <c r="Q72" s="111"/>
      <c r="R72" s="551"/>
      <c r="S72" s="54"/>
      <c r="T72" s="54"/>
      <c r="W72" s="54"/>
      <c r="X72" s="54"/>
      <c r="Y72" s="54"/>
      <c r="AB72" s="54"/>
      <c r="AC72" s="54"/>
      <c r="AD72" s="54"/>
      <c r="AG72" s="54"/>
      <c r="AH72" s="54"/>
      <c r="AI72" s="54"/>
    </row>
    <row r="73" spans="1:35" ht="15" customHeight="1" x14ac:dyDescent="0.35">
      <c r="A73" s="272"/>
      <c r="B73" s="271"/>
      <c r="C73" s="273"/>
      <c r="D73" s="296" t="s">
        <v>367</v>
      </c>
      <c r="E73" s="306">
        <v>100</v>
      </c>
      <c r="F73" s="290" t="s">
        <v>54</v>
      </c>
      <c r="G73" s="132"/>
      <c r="H73" s="132"/>
      <c r="I73" s="86"/>
      <c r="J73" s="86"/>
      <c r="K73" s="86"/>
      <c r="L73" s="86"/>
      <c r="M73" s="86"/>
      <c r="N73" s="86"/>
      <c r="O73" s="86"/>
      <c r="P73" s="86"/>
      <c r="Q73" s="111"/>
      <c r="R73" s="551"/>
      <c r="S73" s="54"/>
      <c r="T73" s="54"/>
      <c r="W73" s="54"/>
      <c r="X73" s="54"/>
      <c r="Y73" s="54"/>
      <c r="AB73" s="54"/>
      <c r="AC73" s="54"/>
      <c r="AD73" s="54"/>
      <c r="AG73" s="54"/>
      <c r="AH73" s="54"/>
      <c r="AI73" s="54"/>
    </row>
    <row r="74" spans="1:35" ht="17.25" customHeight="1" thickBot="1" x14ac:dyDescent="0.4">
      <c r="A74" s="277"/>
      <c r="B74" s="278"/>
      <c r="C74" s="279"/>
      <c r="D74" s="279" t="s">
        <v>368</v>
      </c>
      <c r="E74" s="279">
        <f>IF(Vout=Vref,"OPEN",Rfb2_u/1000)</f>
        <v>1.69</v>
      </c>
      <c r="F74" s="281" t="str">
        <f>IF(Vout=Vref,"","kΩ")</f>
        <v>kΩ</v>
      </c>
      <c r="G74" s="132"/>
      <c r="H74" s="132"/>
      <c r="I74" s="86"/>
      <c r="J74" s="86"/>
      <c r="K74" s="86"/>
      <c r="L74" s="86"/>
      <c r="M74" s="86"/>
      <c r="N74" s="86"/>
      <c r="O74" s="86"/>
      <c r="P74" s="86"/>
      <c r="Q74" s="111"/>
      <c r="R74" s="551"/>
      <c r="S74" s="54"/>
      <c r="T74" s="54"/>
      <c r="W74" s="54"/>
      <c r="X74" s="54"/>
      <c r="Y74" s="54"/>
      <c r="AB74" s="54"/>
      <c r="AC74" s="54"/>
      <c r="AD74" s="54"/>
      <c r="AG74" s="54"/>
      <c r="AH74" s="54"/>
      <c r="AI74" s="54"/>
    </row>
    <row r="75" spans="1:35" ht="13.5" customHeight="1" x14ac:dyDescent="0.35">
      <c r="A75" s="197"/>
      <c r="B75" s="612"/>
      <c r="C75" s="153"/>
      <c r="D75" s="142"/>
      <c r="E75" s="142"/>
      <c r="F75" s="142"/>
      <c r="G75" s="152"/>
      <c r="H75" s="151"/>
      <c r="I75" s="86"/>
      <c r="J75" s="86"/>
      <c r="K75" s="86"/>
      <c r="L75" s="86"/>
      <c r="M75" s="86"/>
      <c r="N75" s="86"/>
      <c r="O75" s="86"/>
      <c r="P75" s="86"/>
      <c r="Q75" s="111"/>
      <c r="R75" s="551"/>
      <c r="S75" s="54"/>
      <c r="T75" s="54"/>
      <c r="W75" s="54"/>
      <c r="X75" s="54"/>
      <c r="Y75" s="54"/>
      <c r="AB75" s="54"/>
      <c r="AC75" s="54"/>
      <c r="AD75" s="54"/>
      <c r="AG75" s="54"/>
      <c r="AH75" s="54"/>
      <c r="AI75" s="54"/>
    </row>
    <row r="76" spans="1:35" ht="15.75" customHeight="1" x14ac:dyDescent="0.35">
      <c r="A76" s="518" t="s">
        <v>284</v>
      </c>
      <c r="B76" s="154"/>
      <c r="C76" s="129"/>
      <c r="D76" s="148"/>
      <c r="E76" s="149"/>
      <c r="F76" s="150"/>
      <c r="G76" s="155"/>
      <c r="H76" s="132"/>
      <c r="I76" s="86"/>
      <c r="J76" s="86"/>
      <c r="K76" s="86"/>
      <c r="L76" s="86"/>
      <c r="M76" s="86"/>
      <c r="N76" s="86"/>
      <c r="O76" s="86"/>
      <c r="P76" s="86"/>
      <c r="Q76" s="111"/>
      <c r="R76" s="551"/>
      <c r="S76" s="200"/>
      <c r="T76" s="200"/>
      <c r="U76" s="201"/>
      <c r="V76" s="201"/>
      <c r="W76" s="200"/>
      <c r="X76" s="200"/>
      <c r="Y76" s="200"/>
      <c r="Z76" s="201"/>
      <c r="AA76" s="201"/>
      <c r="AB76" s="200"/>
      <c r="AC76" s="200"/>
      <c r="AD76" s="200"/>
      <c r="AE76" s="201"/>
      <c r="AF76" s="201"/>
      <c r="AG76" s="54"/>
      <c r="AH76" s="54"/>
      <c r="AI76" s="54"/>
    </row>
    <row r="77" spans="1:35" s="213" customFormat="1" ht="13.5" customHeight="1" thickBot="1" x14ac:dyDescent="0.4">
      <c r="A77" s="218"/>
      <c r="B77" s="219" t="s">
        <v>293</v>
      </c>
      <c r="C77" s="221" t="s">
        <v>283</v>
      </c>
      <c r="D77" s="220" t="str">
        <f>"    Selected"</f>
        <v xml:space="preserve">    Selected</v>
      </c>
      <c r="E77" s="618"/>
      <c r="F77" s="641" t="s">
        <v>285</v>
      </c>
      <c r="G77" s="641"/>
      <c r="H77" s="641"/>
      <c r="I77" s="208"/>
      <c r="J77" s="208"/>
      <c r="K77" s="208"/>
      <c r="L77" s="208"/>
      <c r="M77" s="208"/>
      <c r="N77" s="208"/>
      <c r="O77" s="208"/>
      <c r="P77" s="208"/>
      <c r="Q77" s="209"/>
      <c r="R77" s="553"/>
      <c r="S77" s="210"/>
      <c r="T77" s="210"/>
      <c r="U77" s="211"/>
      <c r="V77" s="211"/>
      <c r="W77" s="210"/>
      <c r="X77" s="210"/>
      <c r="Y77" s="210"/>
      <c r="Z77" s="211"/>
      <c r="AA77" s="211"/>
      <c r="AB77" s="210"/>
      <c r="AC77" s="210"/>
      <c r="AD77" s="210"/>
      <c r="AE77" s="211"/>
      <c r="AF77" s="211"/>
      <c r="AG77" s="212"/>
      <c r="AH77" s="212"/>
      <c r="AI77" s="212"/>
    </row>
    <row r="78" spans="1:35" ht="15" x14ac:dyDescent="0.45">
      <c r="A78" s="179" t="s">
        <v>467</v>
      </c>
      <c r="B78" s="192">
        <f>Rcea1/1000</f>
        <v>68.76156275531946</v>
      </c>
      <c r="C78" s="175">
        <f>'Standard Value Calculator'!O27</f>
        <v>68.099999999999994</v>
      </c>
      <c r="D78" s="176">
        <f>C78</f>
        <v>68.099999999999994</v>
      </c>
      <c r="E78" s="177" t="s">
        <v>54</v>
      </c>
      <c r="F78" s="571">
        <f>Fp1_u</f>
        <v>0.66089524865232363</v>
      </c>
      <c r="G78" s="468" t="s">
        <v>629</v>
      </c>
      <c r="H78" s="142"/>
      <c r="I78" s="129" t="s">
        <v>799</v>
      </c>
      <c r="J78" s="545" t="str">
        <f>ROUND('Variable Management'!B269,2)&amp;"V"</f>
        <v>1.77V</v>
      </c>
      <c r="K78" s="132"/>
      <c r="L78" s="86"/>
      <c r="M78" s="86"/>
      <c r="N78" s="86"/>
      <c r="O78" s="86"/>
      <c r="P78" s="86"/>
      <c r="Q78" s="111"/>
      <c r="R78" s="551"/>
      <c r="S78" s="200"/>
      <c r="T78" s="200"/>
      <c r="U78" s="201"/>
      <c r="V78" s="201"/>
      <c r="W78" s="200"/>
      <c r="X78" s="200"/>
      <c r="Y78" s="200"/>
      <c r="Z78" s="201"/>
      <c r="AA78" s="201"/>
      <c r="AB78" s="200"/>
      <c r="AC78" s="200"/>
      <c r="AD78" s="200"/>
      <c r="AE78" s="201"/>
      <c r="AF78" s="201"/>
      <c r="AG78" s="54"/>
      <c r="AH78" s="54"/>
      <c r="AI78" s="54"/>
    </row>
    <row r="79" spans="1:35" ht="15" x14ac:dyDescent="0.45">
      <c r="A79" s="180" t="s">
        <v>288</v>
      </c>
      <c r="B79" s="529">
        <f>Cc1ea*1000000000</f>
        <v>11.452205811262976</v>
      </c>
      <c r="C79" s="151">
        <f>'Standard Value Calculator'!O28</f>
        <v>12</v>
      </c>
      <c r="D79" s="156">
        <f>C79</f>
        <v>12</v>
      </c>
      <c r="E79" s="178" t="s">
        <v>172</v>
      </c>
      <c r="F79" s="469">
        <f>Fz1_u/1000</f>
        <v>0.19475641614507633</v>
      </c>
      <c r="G79" s="470" t="s">
        <v>722</v>
      </c>
      <c r="H79" s="142"/>
      <c r="I79" s="129" t="s">
        <v>798</v>
      </c>
      <c r="J79" s="545" t="str">
        <f>ROUND('Variable Management'!B270,2)&amp;"V"</f>
        <v>3.51V</v>
      </c>
      <c r="K79" s="132"/>
      <c r="L79" s="86"/>
      <c r="M79" s="86"/>
      <c r="N79" s="86"/>
      <c r="O79" s="86"/>
      <c r="P79" s="86"/>
      <c r="Q79" s="111"/>
      <c r="R79" s="551"/>
      <c r="S79" s="200"/>
      <c r="T79" s="200"/>
      <c r="U79" s="201"/>
      <c r="V79" s="201"/>
      <c r="W79" s="200"/>
      <c r="X79" s="200"/>
      <c r="Y79" s="200"/>
      <c r="Z79" s="201"/>
      <c r="AA79" s="201"/>
      <c r="AB79" s="200"/>
      <c r="AC79" s="200"/>
      <c r="AD79" s="200"/>
      <c r="AE79" s="201"/>
      <c r="AF79" s="201"/>
      <c r="AG79" s="54"/>
      <c r="AH79" s="54"/>
      <c r="AI79" s="54"/>
    </row>
    <row r="80" spans="1:35" ht="15.45" thickBot="1" x14ac:dyDescent="0.5">
      <c r="A80" s="396" t="s">
        <v>289</v>
      </c>
      <c r="B80" s="193">
        <f>IF(Cc2ea*1000000000000&lt;0, 0, Cc2ea*1000000000000)</f>
        <v>13.310681292533198</v>
      </c>
      <c r="C80" s="189">
        <f>'Standard Value Calculator'!O29</f>
        <v>12</v>
      </c>
      <c r="D80" s="190">
        <f>C80</f>
        <v>12</v>
      </c>
      <c r="E80" s="191" t="s">
        <v>32</v>
      </c>
      <c r="F80" s="476">
        <f>Fp2_u/1000</f>
        <v>62.713641753381701</v>
      </c>
      <c r="G80" s="471" t="s">
        <v>723</v>
      </c>
      <c r="H80" s="142"/>
      <c r="I80" s="86"/>
      <c r="J80" s="86"/>
      <c r="K80" s="86"/>
      <c r="L80" s="86"/>
      <c r="M80" s="86"/>
      <c r="N80" s="86"/>
      <c r="O80" s="86"/>
      <c r="P80" s="86"/>
      <c r="Q80" s="111"/>
      <c r="R80" s="551"/>
      <c r="S80" s="200"/>
      <c r="T80" s="200"/>
      <c r="U80" s="201"/>
      <c r="V80" s="201"/>
      <c r="W80" s="200"/>
      <c r="X80" s="200"/>
      <c r="Y80" s="200"/>
      <c r="Z80" s="201"/>
      <c r="AA80" s="201"/>
      <c r="AB80" s="200"/>
      <c r="AC80" s="200"/>
      <c r="AD80" s="200"/>
      <c r="AE80" s="201"/>
      <c r="AF80" s="201"/>
      <c r="AG80" s="54"/>
      <c r="AH80" s="54"/>
      <c r="AI80" s="54"/>
    </row>
    <row r="81" spans="1:35" ht="13.3" thickBot="1" x14ac:dyDescent="0.4">
      <c r="A81" s="131"/>
      <c r="B81" s="129"/>
      <c r="C81" s="129"/>
      <c r="D81" s="640"/>
      <c r="E81" s="132"/>
      <c r="F81" s="132"/>
      <c r="G81" s="132"/>
      <c r="H81" s="132"/>
      <c r="I81" s="86"/>
      <c r="J81" s="86"/>
      <c r="K81" s="86"/>
      <c r="L81" s="86"/>
      <c r="M81" s="86"/>
      <c r="N81" s="86"/>
      <c r="O81" s="86"/>
      <c r="P81" s="86"/>
      <c r="Q81" s="111"/>
      <c r="R81" s="551"/>
      <c r="S81" s="200"/>
      <c r="T81" s="200"/>
      <c r="U81" s="201"/>
      <c r="V81" s="201"/>
      <c r="W81" s="200"/>
      <c r="X81" s="200"/>
      <c r="Y81" s="200"/>
      <c r="Z81" s="201"/>
      <c r="AA81" s="201"/>
      <c r="AB81" s="200"/>
      <c r="AC81" s="200"/>
      <c r="AD81" s="200"/>
      <c r="AE81" s="201"/>
      <c r="AF81" s="201"/>
      <c r="AG81" s="54"/>
      <c r="AH81" s="54"/>
      <c r="AI81" s="54"/>
    </row>
    <row r="82" spans="1:35" s="89" customFormat="1" ht="18.45" thickBot="1" x14ac:dyDescent="0.5">
      <c r="A82" s="198" t="s">
        <v>291</v>
      </c>
      <c r="B82" s="146"/>
      <c r="C82" s="157"/>
      <c r="D82" s="157"/>
      <c r="E82" s="157"/>
      <c r="F82" s="157"/>
      <c r="G82" s="157"/>
      <c r="H82" s="157"/>
      <c r="I82" s="87"/>
      <c r="J82" s="87"/>
      <c r="K82" s="87"/>
      <c r="L82" s="87"/>
      <c r="M82" s="87"/>
      <c r="N82" s="87"/>
      <c r="O82" s="87"/>
      <c r="P82" s="87"/>
      <c r="Q82" s="88"/>
      <c r="R82" s="554"/>
      <c r="S82" s="202"/>
      <c r="T82" s="202"/>
      <c r="U82" s="203"/>
      <c r="V82" s="203"/>
      <c r="W82" s="202"/>
      <c r="X82" s="202"/>
      <c r="Y82" s="202"/>
      <c r="Z82" s="203"/>
      <c r="AA82" s="203"/>
      <c r="AB82" s="202"/>
      <c r="AC82" s="202"/>
      <c r="AD82" s="202"/>
      <c r="AE82" s="203"/>
      <c r="AF82" s="203"/>
      <c r="AG82" s="55"/>
      <c r="AH82" s="55"/>
      <c r="AI82" s="55"/>
    </row>
    <row r="83" spans="1:35" x14ac:dyDescent="0.35">
      <c r="A83" s="196"/>
      <c r="B83" s="142"/>
      <c r="C83" s="132"/>
      <c r="D83" s="132"/>
      <c r="E83" s="132"/>
      <c r="F83" s="132"/>
      <c r="G83" s="132"/>
      <c r="H83" s="132"/>
      <c r="I83" s="86"/>
      <c r="J83" s="86"/>
      <c r="K83" s="86"/>
      <c r="L83" s="86"/>
      <c r="M83" s="86"/>
      <c r="N83" s="86"/>
      <c r="O83" s="86"/>
      <c r="P83" s="86"/>
      <c r="Q83" s="111"/>
      <c r="R83" s="551"/>
      <c r="S83" s="200"/>
      <c r="T83" s="200"/>
      <c r="U83" s="201"/>
      <c r="V83" s="201"/>
      <c r="W83" s="200"/>
      <c r="X83" s="200"/>
      <c r="Y83" s="200"/>
      <c r="Z83" s="201"/>
      <c r="AA83" s="201"/>
      <c r="AB83" s="200"/>
      <c r="AC83" s="200"/>
      <c r="AD83" s="200"/>
      <c r="AE83" s="201"/>
      <c r="AF83" s="201"/>
      <c r="AG83" s="54"/>
      <c r="AH83" s="54"/>
      <c r="AI83" s="54"/>
    </row>
    <row r="84" spans="1:35" ht="18" thickBot="1" x14ac:dyDescent="0.45">
      <c r="A84" s="158" t="s">
        <v>229</v>
      </c>
      <c r="B84" s="139"/>
      <c r="C84" s="132"/>
      <c r="D84" s="132"/>
      <c r="E84" s="132"/>
      <c r="F84" s="132"/>
      <c r="G84" s="132"/>
      <c r="H84" s="132"/>
      <c r="I84" s="86"/>
      <c r="J84" s="86"/>
      <c r="K84" s="86"/>
      <c r="L84" s="86"/>
      <c r="M84" s="635" t="s">
        <v>943</v>
      </c>
      <c r="N84" s="636" t="str">
        <f>VIN_nom&amp;"V"</f>
        <v>12V</v>
      </c>
      <c r="O84" s="86"/>
      <c r="P84" s="86"/>
      <c r="Q84" s="111"/>
      <c r="R84" s="551"/>
      <c r="S84" s="200"/>
      <c r="T84" s="200"/>
      <c r="U84" s="201"/>
      <c r="V84" s="201"/>
      <c r="W84" s="200"/>
      <c r="X84" s="200"/>
      <c r="Y84" s="200"/>
      <c r="Z84" s="201"/>
      <c r="AA84" s="201"/>
      <c r="AB84" s="200"/>
      <c r="AC84" s="200"/>
      <c r="AD84" s="200"/>
      <c r="AE84" s="201"/>
      <c r="AF84" s="201"/>
      <c r="AG84" s="54"/>
      <c r="AH84" s="54"/>
      <c r="AI84" s="54"/>
    </row>
    <row r="85" spans="1:35" ht="18" customHeight="1" x14ac:dyDescent="0.45">
      <c r="A85" s="181"/>
      <c r="B85" s="182"/>
      <c r="C85" s="183"/>
      <c r="D85" s="214" t="s">
        <v>793</v>
      </c>
      <c r="E85" s="269" t="s">
        <v>941</v>
      </c>
      <c r="F85" s="183"/>
      <c r="G85" s="184"/>
      <c r="H85" s="132"/>
      <c r="I85" s="86"/>
      <c r="J85" s="86"/>
      <c r="K85" s="86"/>
      <c r="L85" s="86"/>
      <c r="M85" s="86"/>
      <c r="N85" s="86"/>
      <c r="O85" s="86"/>
      <c r="P85" s="86"/>
      <c r="Q85" s="111"/>
      <c r="R85" s="551"/>
      <c r="S85" s="200"/>
      <c r="T85" s="125"/>
      <c r="U85" s="125"/>
      <c r="V85" s="201"/>
      <c r="W85" s="200"/>
      <c r="X85" s="200"/>
      <c r="Y85" s="200"/>
      <c r="Z85" s="201"/>
      <c r="AA85" s="201"/>
      <c r="AB85" s="200"/>
      <c r="AC85" s="200"/>
      <c r="AD85" s="200"/>
      <c r="AE85" s="201"/>
      <c r="AF85" s="201"/>
      <c r="AG85" s="54"/>
      <c r="AH85" s="54"/>
      <c r="AI85" s="54"/>
    </row>
    <row r="86" spans="1:35" ht="14.5" customHeight="1" x14ac:dyDescent="0.35">
      <c r="A86" s="527"/>
      <c r="B86" s="117"/>
      <c r="C86" s="117"/>
      <c r="D86" s="117"/>
      <c r="E86" s="528" t="s">
        <v>765</v>
      </c>
      <c r="F86" s="645" t="s">
        <v>794</v>
      </c>
      <c r="G86" s="646"/>
      <c r="H86" s="132"/>
      <c r="I86" s="86"/>
      <c r="J86" s="86"/>
      <c r="K86" s="86"/>
      <c r="L86" s="86"/>
      <c r="M86" s="86"/>
      <c r="N86" s="86"/>
      <c r="O86" s="86"/>
      <c r="P86" s="86"/>
      <c r="Q86" s="111"/>
      <c r="R86" s="551"/>
      <c r="S86" s="200"/>
      <c r="T86" s="125"/>
      <c r="U86" s="125"/>
      <c r="V86" s="201"/>
      <c r="W86" s="200"/>
      <c r="X86" s="200"/>
      <c r="Y86" s="200"/>
      <c r="Z86" s="201"/>
      <c r="AA86" s="201"/>
      <c r="AB86" s="200"/>
      <c r="AC86" s="200"/>
      <c r="AD86" s="200"/>
      <c r="AE86" s="201"/>
      <c r="AF86" s="201"/>
      <c r="AG86" s="54"/>
      <c r="AH86" s="54"/>
      <c r="AI86" s="54"/>
    </row>
    <row r="87" spans="1:35" ht="14.5" customHeight="1" x14ac:dyDescent="0.45">
      <c r="A87" s="131"/>
      <c r="B87" s="132"/>
      <c r="C87" s="140"/>
      <c r="D87" s="128" t="s">
        <v>351</v>
      </c>
      <c r="E87" s="267">
        <v>5.7</v>
      </c>
      <c r="F87" s="267">
        <v>5.7</v>
      </c>
      <c r="G87" s="170" t="s">
        <v>53</v>
      </c>
      <c r="H87" s="132"/>
      <c r="I87" s="86"/>
      <c r="J87" s="86"/>
      <c r="K87" s="86"/>
      <c r="L87" s="86"/>
      <c r="M87" s="86"/>
      <c r="N87" s="86"/>
      <c r="O87" s="86"/>
      <c r="P87" s="86"/>
      <c r="Q87" s="111"/>
      <c r="R87" s="551"/>
      <c r="S87" s="200"/>
      <c r="T87" s="125"/>
      <c r="U87" s="125"/>
      <c r="V87" s="201"/>
      <c r="W87" s="200"/>
      <c r="X87" s="200"/>
      <c r="Y87" s="200"/>
      <c r="Z87" s="201"/>
      <c r="AA87" s="201"/>
      <c r="AB87" s="200"/>
      <c r="AC87" s="200"/>
      <c r="AD87" s="200"/>
      <c r="AE87" s="201"/>
      <c r="AF87" s="201"/>
      <c r="AG87" s="54"/>
      <c r="AH87" s="54"/>
      <c r="AI87" s="54"/>
    </row>
    <row r="88" spans="1:35" ht="14.5" customHeight="1" x14ac:dyDescent="0.45">
      <c r="A88" s="131"/>
      <c r="B88" s="132"/>
      <c r="C88" s="140"/>
      <c r="D88" s="128" t="s">
        <v>352</v>
      </c>
      <c r="E88" s="133">
        <v>11</v>
      </c>
      <c r="F88" s="133">
        <v>11</v>
      </c>
      <c r="G88" s="170" t="s">
        <v>69</v>
      </c>
      <c r="H88" s="132"/>
      <c r="I88" s="86"/>
      <c r="J88" s="86"/>
      <c r="K88" s="86"/>
      <c r="L88" s="86"/>
      <c r="M88" s="86"/>
      <c r="N88" s="86"/>
      <c r="O88" s="86"/>
      <c r="P88" s="86"/>
      <c r="Q88" s="111"/>
      <c r="R88" s="551"/>
      <c r="S88" s="200"/>
      <c r="T88" s="125"/>
      <c r="U88" s="125"/>
      <c r="V88" s="201"/>
      <c r="W88" s="200"/>
      <c r="X88" s="200"/>
      <c r="Y88" s="200"/>
      <c r="Z88" s="201"/>
      <c r="AA88" s="201"/>
      <c r="AB88" s="200"/>
      <c r="AC88" s="200"/>
      <c r="AD88" s="200"/>
      <c r="AE88" s="201"/>
      <c r="AF88" s="201"/>
      <c r="AG88" s="54"/>
      <c r="AH88" s="54"/>
      <c r="AI88" s="54"/>
    </row>
    <row r="89" spans="1:35" ht="14.5" customHeight="1" x14ac:dyDescent="0.45">
      <c r="A89" s="131"/>
      <c r="B89" s="132"/>
      <c r="C89" s="140"/>
      <c r="D89" s="128" t="s">
        <v>353</v>
      </c>
      <c r="E89" s="133">
        <v>2.9</v>
      </c>
      <c r="F89" s="133">
        <v>2.9</v>
      </c>
      <c r="G89" s="170" t="s">
        <v>69</v>
      </c>
      <c r="H89" s="132"/>
      <c r="I89" s="86"/>
      <c r="J89" s="86"/>
      <c r="K89" s="86"/>
      <c r="L89" s="86"/>
      <c r="M89" s="86"/>
      <c r="N89" s="86"/>
      <c r="O89" s="86"/>
      <c r="P89" s="86"/>
      <c r="Q89" s="111"/>
      <c r="R89" s="551"/>
      <c r="S89" s="200"/>
      <c r="T89" s="125"/>
      <c r="U89" s="125"/>
      <c r="V89" s="201"/>
      <c r="W89" s="200"/>
      <c r="X89" s="200"/>
      <c r="Y89" s="200"/>
      <c r="Z89" s="201"/>
      <c r="AA89" s="201"/>
      <c r="AB89" s="200"/>
      <c r="AC89" s="200"/>
      <c r="AD89" s="200"/>
      <c r="AE89" s="201"/>
      <c r="AF89" s="201"/>
      <c r="AG89" s="54"/>
      <c r="AH89" s="54"/>
      <c r="AI89" s="54"/>
    </row>
    <row r="90" spans="1:35" ht="14.5" customHeight="1" x14ac:dyDescent="0.45">
      <c r="A90" s="131"/>
      <c r="B90" s="132"/>
      <c r="C90" s="140"/>
      <c r="D90" s="128" t="s">
        <v>354</v>
      </c>
      <c r="E90" s="133">
        <v>3.3</v>
      </c>
      <c r="F90" s="133">
        <v>3.3</v>
      </c>
      <c r="G90" s="170" t="s">
        <v>69</v>
      </c>
      <c r="H90" s="132"/>
      <c r="I90" s="86"/>
      <c r="J90" s="86"/>
      <c r="K90" s="86"/>
      <c r="L90" s="86"/>
      <c r="M90" s="86"/>
      <c r="N90" s="86"/>
      <c r="O90" s="86"/>
      <c r="P90" s="86"/>
      <c r="Q90" s="111"/>
      <c r="R90" s="551"/>
      <c r="S90" s="200"/>
      <c r="T90" s="125"/>
      <c r="U90" s="125"/>
      <c r="V90" s="201"/>
      <c r="W90" s="200"/>
      <c r="X90" s="200"/>
      <c r="Y90" s="200"/>
      <c r="Z90" s="201"/>
      <c r="AA90" s="201"/>
      <c r="AB90" s="200"/>
      <c r="AC90" s="200"/>
      <c r="AD90" s="200"/>
      <c r="AE90" s="201"/>
      <c r="AF90" s="201"/>
      <c r="AG90" s="54"/>
      <c r="AH90" s="54"/>
      <c r="AI90" s="54"/>
    </row>
    <row r="91" spans="1:35" ht="14.5" customHeight="1" x14ac:dyDescent="0.45">
      <c r="A91" s="131"/>
      <c r="B91" s="132"/>
      <c r="C91" s="140"/>
      <c r="D91" s="128" t="s">
        <v>355</v>
      </c>
      <c r="E91" s="133">
        <v>1.5</v>
      </c>
      <c r="F91" s="133">
        <v>1.5</v>
      </c>
      <c r="G91" s="170" t="s">
        <v>169</v>
      </c>
      <c r="H91" s="132"/>
      <c r="I91" s="86"/>
      <c r="J91" s="86"/>
      <c r="K91" s="86"/>
      <c r="L91" s="86"/>
      <c r="M91" s="86"/>
      <c r="N91" s="86"/>
      <c r="O91" s="86"/>
      <c r="P91" s="86"/>
      <c r="Q91" s="111"/>
      <c r="R91" s="551"/>
      <c r="S91" s="200"/>
      <c r="T91" s="125"/>
      <c r="U91" s="125"/>
      <c r="V91" s="201"/>
      <c r="W91" s="200"/>
      <c r="X91" s="200"/>
      <c r="Y91" s="200"/>
      <c r="Z91" s="201"/>
      <c r="AA91" s="201"/>
      <c r="AB91" s="200"/>
      <c r="AC91" s="200"/>
      <c r="AD91" s="200"/>
      <c r="AE91" s="201"/>
      <c r="AF91" s="201"/>
      <c r="AG91" s="54"/>
      <c r="AH91" s="54"/>
      <c r="AI91" s="54"/>
    </row>
    <row r="92" spans="1:35" ht="14.5" customHeight="1" x14ac:dyDescent="0.45">
      <c r="A92" s="131"/>
      <c r="B92" s="132"/>
      <c r="C92" s="140"/>
      <c r="D92" s="128" t="s">
        <v>356</v>
      </c>
      <c r="E92" s="133">
        <v>60</v>
      </c>
      <c r="F92" s="133">
        <v>60</v>
      </c>
      <c r="G92" s="170" t="s">
        <v>70</v>
      </c>
      <c r="H92" s="132"/>
      <c r="I92" s="86"/>
      <c r="J92" s="86"/>
      <c r="K92" s="86"/>
      <c r="L92" s="86"/>
      <c r="M92" s="86"/>
      <c r="N92" s="86"/>
      <c r="O92" s="86"/>
      <c r="P92" s="86"/>
      <c r="Q92" s="111"/>
      <c r="R92" s="551"/>
      <c r="S92" s="200"/>
      <c r="T92" s="125"/>
      <c r="U92" s="125"/>
      <c r="V92" s="201"/>
      <c r="W92" s="200"/>
      <c r="X92" s="200"/>
      <c r="Y92" s="200"/>
      <c r="Z92" s="201"/>
      <c r="AA92" s="201"/>
      <c r="AB92" s="200"/>
      <c r="AC92" s="200"/>
      <c r="AD92" s="200"/>
      <c r="AE92" s="201"/>
      <c r="AF92" s="201"/>
      <c r="AG92" s="54"/>
      <c r="AH92" s="54"/>
      <c r="AI92" s="54"/>
    </row>
    <row r="93" spans="1:35" ht="14.5" customHeight="1" x14ac:dyDescent="0.45">
      <c r="A93" s="131"/>
      <c r="B93" s="132"/>
      <c r="C93" s="140"/>
      <c r="D93" s="128" t="s">
        <v>788</v>
      </c>
      <c r="E93" s="133">
        <v>4</v>
      </c>
      <c r="F93" s="133">
        <v>4</v>
      </c>
      <c r="G93" s="170" t="s">
        <v>0</v>
      </c>
      <c r="H93" s="132"/>
      <c r="I93" s="86"/>
      <c r="J93" s="86"/>
      <c r="K93" s="86"/>
      <c r="L93" s="86"/>
      <c r="M93" s="86"/>
      <c r="N93" s="86"/>
      <c r="O93" s="86"/>
      <c r="P93" s="86"/>
      <c r="Q93" s="111"/>
      <c r="R93" s="551"/>
      <c r="S93" s="200"/>
      <c r="T93" s="125"/>
      <c r="U93" s="125"/>
      <c r="V93" s="201"/>
      <c r="W93" s="200"/>
      <c r="X93" s="200"/>
      <c r="Y93" s="200"/>
      <c r="Z93" s="201"/>
      <c r="AA93" s="201"/>
      <c r="AB93" s="200"/>
      <c r="AC93" s="200"/>
      <c r="AD93" s="200"/>
      <c r="AE93" s="201"/>
      <c r="AF93" s="201"/>
      <c r="AG93" s="54"/>
      <c r="AH93" s="54"/>
      <c r="AI93" s="54"/>
    </row>
    <row r="94" spans="1:35" ht="14.5" customHeight="1" x14ac:dyDescent="0.45">
      <c r="A94" s="131"/>
      <c r="B94" s="132"/>
      <c r="C94" s="140"/>
      <c r="D94" s="128" t="s">
        <v>785</v>
      </c>
      <c r="E94" s="133">
        <v>0.8</v>
      </c>
      <c r="F94" s="133">
        <v>0.8</v>
      </c>
      <c r="G94" s="170" t="s">
        <v>0</v>
      </c>
      <c r="H94" s="132"/>
      <c r="I94" s="86"/>
      <c r="J94" s="86"/>
      <c r="K94" s="86"/>
      <c r="L94" s="86"/>
      <c r="M94" s="86"/>
      <c r="N94" s="86"/>
      <c r="O94" s="86"/>
      <c r="P94" s="86"/>
      <c r="Q94" s="111"/>
      <c r="R94" s="551"/>
      <c r="S94" s="200"/>
      <c r="T94" s="125"/>
      <c r="U94" s="125"/>
      <c r="V94" s="201"/>
      <c r="W94" s="200"/>
      <c r="X94" s="200"/>
      <c r="Y94" s="200"/>
      <c r="Z94" s="201"/>
      <c r="AA94" s="201"/>
      <c r="AB94" s="200"/>
      <c r="AC94" s="200"/>
      <c r="AD94" s="200"/>
      <c r="AE94" s="201"/>
      <c r="AF94" s="201"/>
      <c r="AG94" s="54"/>
      <c r="AH94" s="54"/>
      <c r="AI94" s="54"/>
    </row>
    <row r="95" spans="1:35" ht="14.5" customHeight="1" x14ac:dyDescent="0.45">
      <c r="A95" s="131"/>
      <c r="B95" s="132"/>
      <c r="C95" s="132"/>
      <c r="D95" s="128" t="s">
        <v>787</v>
      </c>
      <c r="E95" s="2"/>
      <c r="F95" s="133">
        <v>63</v>
      </c>
      <c r="G95" s="170" t="s">
        <v>69</v>
      </c>
      <c r="H95" s="132"/>
      <c r="I95" s="86"/>
      <c r="J95" s="86"/>
      <c r="K95" s="86"/>
      <c r="L95" s="86"/>
      <c r="M95" s="86"/>
      <c r="N95" s="86"/>
      <c r="O95" s="86"/>
      <c r="P95" s="86"/>
      <c r="Q95" s="111"/>
      <c r="R95" s="551"/>
      <c r="S95" s="200"/>
      <c r="T95" s="125"/>
      <c r="U95" s="125"/>
      <c r="V95" s="201"/>
      <c r="W95" s="200"/>
      <c r="X95" s="200"/>
      <c r="Y95" s="200"/>
      <c r="Z95" s="201"/>
      <c r="AA95" s="201"/>
      <c r="AB95" s="200"/>
      <c r="AC95" s="200"/>
      <c r="AD95" s="200"/>
      <c r="AE95" s="201"/>
      <c r="AF95" s="201"/>
      <c r="AG95" s="54"/>
      <c r="AH95" s="54"/>
      <c r="AI95" s="54"/>
    </row>
    <row r="96" spans="1:35" ht="14.5" customHeight="1" thickBot="1" x14ac:dyDescent="0.5">
      <c r="A96" s="205"/>
      <c r="B96" s="186"/>
      <c r="C96" s="206"/>
      <c r="D96" s="187" t="s">
        <v>357</v>
      </c>
      <c r="E96" s="263">
        <v>50</v>
      </c>
      <c r="F96" s="263">
        <v>50</v>
      </c>
      <c r="G96" s="188" t="s">
        <v>241</v>
      </c>
      <c r="H96" s="132"/>
      <c r="I96" s="86"/>
      <c r="J96" s="86"/>
      <c r="K96" s="86"/>
      <c r="L96" s="86"/>
      <c r="M96" s="86"/>
      <c r="N96" s="86"/>
      <c r="O96" s="86"/>
      <c r="P96" s="86"/>
      <c r="Q96" s="111"/>
      <c r="R96" s="551"/>
      <c r="S96" s="200"/>
      <c r="T96" s="125"/>
      <c r="U96" s="125"/>
      <c r="V96" s="201"/>
      <c r="W96" s="200"/>
      <c r="X96" s="200"/>
      <c r="Y96" s="200"/>
      <c r="Z96" s="201"/>
      <c r="AA96" s="201"/>
      <c r="AB96" s="200"/>
      <c r="AC96" s="200"/>
      <c r="AD96" s="200"/>
      <c r="AE96" s="201"/>
      <c r="AF96" s="201"/>
      <c r="AG96" s="54"/>
      <c r="AH96" s="54"/>
      <c r="AI96" s="54"/>
    </row>
    <row r="97" spans="1:35" ht="18" customHeight="1" thickBot="1" x14ac:dyDescent="0.4">
      <c r="A97" s="131"/>
      <c r="B97" s="132"/>
      <c r="C97" s="140"/>
      <c r="D97" s="128"/>
      <c r="E97" s="204"/>
      <c r="F97" s="207"/>
      <c r="G97" s="132"/>
      <c r="H97" s="132"/>
      <c r="I97" s="86"/>
      <c r="J97" s="86"/>
      <c r="K97" s="86"/>
      <c r="L97" s="86"/>
      <c r="M97" s="86"/>
      <c r="N97" s="86"/>
      <c r="O97" s="86"/>
      <c r="P97" s="86"/>
      <c r="Q97" s="111"/>
      <c r="R97" s="551"/>
      <c r="S97" s="200"/>
      <c r="T97" s="125"/>
      <c r="U97" s="125"/>
      <c r="V97" s="201"/>
      <c r="W97" s="200"/>
      <c r="X97" s="200"/>
      <c r="Y97" s="200"/>
      <c r="Z97" s="201"/>
      <c r="AA97" s="201"/>
      <c r="AB97" s="200"/>
      <c r="AC97" s="200"/>
      <c r="AD97" s="200"/>
      <c r="AE97" s="201"/>
      <c r="AF97" s="201"/>
      <c r="AG97" s="54"/>
      <c r="AH97" s="54"/>
      <c r="AI97" s="54"/>
    </row>
    <row r="98" spans="1:35" ht="14.5" customHeight="1" x14ac:dyDescent="0.45">
      <c r="A98" s="181"/>
      <c r="B98" s="182"/>
      <c r="C98" s="185"/>
      <c r="D98" s="214" t="s">
        <v>792</v>
      </c>
      <c r="E98" s="269" t="s">
        <v>942</v>
      </c>
      <c r="F98" s="183"/>
      <c r="G98" s="184"/>
      <c r="H98" s="132"/>
      <c r="I98" s="86"/>
      <c r="J98" s="86"/>
      <c r="K98" s="86"/>
      <c r="L98" s="86"/>
      <c r="M98" s="86"/>
      <c r="N98" s="86"/>
      <c r="O98" s="86"/>
      <c r="P98" s="86"/>
      <c r="Q98" s="111"/>
      <c r="R98" s="551"/>
      <c r="S98" s="200"/>
      <c r="T98" s="125"/>
      <c r="U98" s="125"/>
      <c r="V98" s="201"/>
      <c r="W98" s="200"/>
      <c r="X98" s="200"/>
      <c r="Y98" s="200"/>
      <c r="Z98" s="201"/>
      <c r="AA98" s="201"/>
      <c r="AB98" s="200"/>
      <c r="AC98" s="200"/>
      <c r="AD98" s="200"/>
      <c r="AE98" s="201"/>
      <c r="AF98" s="201"/>
      <c r="AG98" s="54"/>
      <c r="AH98" s="54"/>
      <c r="AI98" s="54"/>
    </row>
    <row r="99" spans="1:35" ht="14.5" customHeight="1" x14ac:dyDescent="0.35">
      <c r="A99" s="527"/>
      <c r="B99" s="117"/>
      <c r="C99" s="117"/>
      <c r="D99" s="117"/>
      <c r="E99" s="539" t="s">
        <v>765</v>
      </c>
      <c r="F99" s="537" t="s">
        <v>794</v>
      </c>
      <c r="G99" s="275"/>
      <c r="H99" s="132"/>
      <c r="I99" s="86"/>
      <c r="J99" s="86"/>
      <c r="K99" s="86"/>
      <c r="L99" s="86"/>
      <c r="M99" s="86"/>
      <c r="N99" s="86"/>
      <c r="O99" s="86"/>
      <c r="P99" s="86"/>
      <c r="Q99" s="111"/>
      <c r="R99" s="551"/>
      <c r="S99" s="200"/>
      <c r="T99" s="125"/>
      <c r="U99" s="125"/>
      <c r="V99" s="201"/>
      <c r="W99" s="200"/>
      <c r="X99" s="200"/>
      <c r="Y99" s="200"/>
      <c r="Z99" s="201"/>
      <c r="AA99" s="201"/>
      <c r="AB99" s="200"/>
      <c r="AC99" s="200"/>
      <c r="AD99" s="200"/>
      <c r="AE99" s="201"/>
      <c r="AF99" s="201"/>
      <c r="AG99" s="54"/>
      <c r="AH99" s="54"/>
      <c r="AI99" s="54"/>
    </row>
    <row r="100" spans="1:35" ht="14.5" customHeight="1" x14ac:dyDescent="0.45">
      <c r="A100" s="131"/>
      <c r="B100" s="132"/>
      <c r="C100" s="132"/>
      <c r="D100" s="128" t="s">
        <v>351</v>
      </c>
      <c r="E100" s="133">
        <v>1.9</v>
      </c>
      <c r="F100" s="133">
        <v>1.9</v>
      </c>
      <c r="G100" s="170" t="s">
        <v>53</v>
      </c>
      <c r="H100" s="132"/>
      <c r="I100" s="86"/>
      <c r="J100" s="86"/>
      <c r="K100" s="86"/>
      <c r="L100" s="86"/>
      <c r="M100" s="86"/>
      <c r="N100" s="86"/>
      <c r="O100" s="86"/>
      <c r="P100" s="86"/>
      <c r="Q100" s="111"/>
      <c r="R100" s="551"/>
      <c r="S100" s="200"/>
      <c r="T100" s="125"/>
      <c r="U100" s="125"/>
      <c r="V100" s="201"/>
      <c r="W100" s="200"/>
      <c r="X100" s="200"/>
      <c r="Y100" s="200"/>
      <c r="Z100" s="201"/>
      <c r="AA100" s="201"/>
      <c r="AB100" s="200"/>
      <c r="AC100" s="200"/>
      <c r="AD100" s="200"/>
      <c r="AE100" s="201"/>
      <c r="AF100" s="201"/>
      <c r="AG100" s="54"/>
      <c r="AH100" s="54"/>
      <c r="AI100" s="54"/>
    </row>
    <row r="101" spans="1:35" ht="14.5" customHeight="1" x14ac:dyDescent="0.45">
      <c r="A101" s="131"/>
      <c r="B101" s="132"/>
      <c r="C101" s="132"/>
      <c r="D101" s="128" t="s">
        <v>352</v>
      </c>
      <c r="E101" s="133">
        <v>22</v>
      </c>
      <c r="F101" s="133">
        <v>22</v>
      </c>
      <c r="G101" s="170" t="s">
        <v>69</v>
      </c>
      <c r="H101" s="132"/>
      <c r="I101" s="86"/>
      <c r="J101" s="86"/>
      <c r="K101" s="86"/>
      <c r="L101" s="86"/>
      <c r="M101" s="86"/>
      <c r="N101" s="86"/>
      <c r="O101" s="86"/>
      <c r="P101" s="86"/>
      <c r="Q101" s="111"/>
      <c r="R101" s="551"/>
      <c r="S101" s="200"/>
      <c r="T101" s="125"/>
      <c r="U101" s="125"/>
      <c r="V101" s="201"/>
      <c r="W101" s="200"/>
      <c r="X101" s="200"/>
      <c r="Y101" s="200"/>
      <c r="Z101" s="201"/>
      <c r="AA101" s="201"/>
      <c r="AB101" s="200"/>
      <c r="AC101" s="200"/>
      <c r="AD101" s="200"/>
      <c r="AE101" s="201"/>
      <c r="AF101" s="201"/>
      <c r="AG101" s="54"/>
      <c r="AH101" s="54"/>
      <c r="AI101" s="54"/>
    </row>
    <row r="102" spans="1:35" ht="14.5" customHeight="1" x14ac:dyDescent="0.45">
      <c r="A102" s="131"/>
      <c r="B102" s="132"/>
      <c r="C102" s="140"/>
      <c r="D102" s="128" t="s">
        <v>353</v>
      </c>
      <c r="E102" s="133">
        <v>2.5</v>
      </c>
      <c r="F102" s="133">
        <v>2.5</v>
      </c>
      <c r="G102" s="170" t="s">
        <v>69</v>
      </c>
      <c r="H102" s="132"/>
      <c r="I102" s="86"/>
      <c r="J102" s="86"/>
      <c r="K102" s="86"/>
      <c r="L102" s="86"/>
      <c r="M102" s="86"/>
      <c r="N102" s="86"/>
      <c r="O102" s="86"/>
      <c r="P102" s="86"/>
      <c r="Q102" s="111"/>
      <c r="R102" s="551"/>
      <c r="S102" s="200"/>
      <c r="T102" s="125"/>
      <c r="U102" s="125"/>
      <c r="V102" s="201"/>
      <c r="W102" s="200"/>
      <c r="X102" s="200"/>
      <c r="Y102" s="200"/>
      <c r="Z102" s="201"/>
      <c r="AA102" s="201"/>
      <c r="AB102" s="200"/>
      <c r="AC102" s="200"/>
      <c r="AD102" s="200"/>
      <c r="AE102" s="201"/>
      <c r="AF102" s="201"/>
      <c r="AG102" s="54"/>
      <c r="AH102" s="54"/>
      <c r="AI102" s="54"/>
    </row>
    <row r="103" spans="1:35" ht="14.5" customHeight="1" x14ac:dyDescent="0.45">
      <c r="A103" s="131"/>
      <c r="B103" s="132"/>
      <c r="C103" s="140"/>
      <c r="D103" s="128" t="s">
        <v>354</v>
      </c>
      <c r="E103" s="133">
        <v>4</v>
      </c>
      <c r="F103" s="133">
        <v>4</v>
      </c>
      <c r="G103" s="170" t="s">
        <v>69</v>
      </c>
      <c r="H103" s="132"/>
      <c r="I103" s="86"/>
      <c r="J103" s="86"/>
      <c r="K103" s="86"/>
      <c r="L103" s="86"/>
      <c r="M103" s="86"/>
      <c r="N103" s="86"/>
      <c r="O103" s="86"/>
      <c r="P103" s="86"/>
      <c r="Q103" s="111"/>
      <c r="R103" s="551"/>
      <c r="S103" s="200"/>
      <c r="T103" s="125"/>
      <c r="U103" s="125"/>
      <c r="V103" s="201"/>
      <c r="W103" s="200"/>
      <c r="X103" s="200"/>
      <c r="Y103" s="200"/>
      <c r="Z103" s="201"/>
      <c r="AA103" s="201"/>
      <c r="AB103" s="200"/>
      <c r="AC103" s="200"/>
      <c r="AD103" s="200"/>
      <c r="AE103" s="201"/>
      <c r="AF103" s="201"/>
      <c r="AG103" s="54"/>
      <c r="AH103" s="54"/>
      <c r="AI103" s="54"/>
    </row>
    <row r="104" spans="1:35" ht="14.5" customHeight="1" x14ac:dyDescent="0.45">
      <c r="A104" s="131"/>
      <c r="B104" s="132"/>
      <c r="C104" s="140"/>
      <c r="D104" s="128" t="s">
        <v>355</v>
      </c>
      <c r="E104" s="133">
        <v>1.5</v>
      </c>
      <c r="F104" s="133">
        <v>1.5</v>
      </c>
      <c r="G104" s="170" t="s">
        <v>169</v>
      </c>
      <c r="H104" s="132"/>
      <c r="I104" s="86"/>
      <c r="J104" s="86"/>
      <c r="K104" s="86"/>
      <c r="L104" s="86"/>
      <c r="M104" s="86"/>
      <c r="N104" s="86"/>
      <c r="O104" s="86"/>
      <c r="P104" s="86"/>
      <c r="Q104" s="111"/>
      <c r="R104" s="551"/>
      <c r="S104" s="200"/>
      <c r="T104" s="125"/>
      <c r="U104" s="125"/>
      <c r="V104" s="201"/>
      <c r="W104" s="200"/>
      <c r="X104" s="200"/>
      <c r="Y104" s="200"/>
      <c r="Z104" s="201"/>
      <c r="AA104" s="201"/>
      <c r="AB104" s="200"/>
      <c r="AC104" s="200"/>
      <c r="AD104" s="200"/>
      <c r="AE104" s="201"/>
      <c r="AF104" s="201"/>
      <c r="AG104" s="54"/>
      <c r="AH104" s="54"/>
      <c r="AI104" s="54"/>
    </row>
    <row r="105" spans="1:35" ht="14.5" customHeight="1" x14ac:dyDescent="0.45">
      <c r="A105" s="131"/>
      <c r="B105" s="132"/>
      <c r="C105" s="140"/>
      <c r="D105" s="128" t="s">
        <v>356</v>
      </c>
      <c r="E105" s="133">
        <v>150</v>
      </c>
      <c r="F105" s="133">
        <v>150</v>
      </c>
      <c r="G105" s="170" t="s">
        <v>70</v>
      </c>
      <c r="H105" s="132"/>
      <c r="I105" s="86"/>
      <c r="J105" s="86"/>
      <c r="K105" s="86"/>
      <c r="L105" s="86"/>
      <c r="M105" s="86"/>
      <c r="N105" s="86"/>
      <c r="O105" s="86"/>
      <c r="P105" s="86"/>
      <c r="Q105" s="111"/>
      <c r="R105" s="551"/>
      <c r="S105" s="54"/>
      <c r="T105" s="6"/>
      <c r="U105" s="6"/>
      <c r="W105" s="54"/>
      <c r="X105" s="54"/>
      <c r="Y105" s="54"/>
      <c r="AB105" s="54"/>
      <c r="AC105" s="54"/>
      <c r="AD105" s="54"/>
      <c r="AG105" s="54"/>
      <c r="AH105" s="54"/>
      <c r="AI105" s="54"/>
    </row>
    <row r="106" spans="1:35" ht="14.5" customHeight="1" x14ac:dyDescent="0.45">
      <c r="A106" s="131"/>
      <c r="B106" s="132"/>
      <c r="C106" s="140"/>
      <c r="D106" s="128" t="s">
        <v>788</v>
      </c>
      <c r="E106" s="133">
        <v>2</v>
      </c>
      <c r="F106" s="133">
        <v>2</v>
      </c>
      <c r="G106" s="170" t="s">
        <v>0</v>
      </c>
      <c r="H106" s="132"/>
      <c r="I106" s="86"/>
      <c r="J106" s="86"/>
      <c r="K106" s="86"/>
      <c r="L106" s="86"/>
      <c r="M106" s="86"/>
      <c r="N106" s="86"/>
      <c r="O106" s="86"/>
      <c r="P106" s="86"/>
      <c r="Q106" s="111"/>
      <c r="R106" s="551"/>
      <c r="S106" s="54"/>
      <c r="T106" s="54"/>
      <c r="W106" s="54"/>
      <c r="X106" s="54"/>
      <c r="Y106" s="54"/>
      <c r="AB106" s="54"/>
      <c r="AC106" s="54"/>
      <c r="AD106" s="54"/>
      <c r="AG106" s="54"/>
      <c r="AH106" s="54"/>
      <c r="AI106" s="54"/>
    </row>
    <row r="107" spans="1:35" ht="14.5" customHeight="1" x14ac:dyDescent="0.45">
      <c r="A107" s="131"/>
      <c r="B107" s="132"/>
      <c r="C107" s="132"/>
      <c r="D107" s="128" t="s">
        <v>785</v>
      </c>
      <c r="E107" s="133">
        <v>0.8</v>
      </c>
      <c r="F107" s="133">
        <v>0.8</v>
      </c>
      <c r="G107" s="170" t="s">
        <v>0</v>
      </c>
      <c r="H107" s="132"/>
      <c r="I107" s="86"/>
      <c r="J107" s="86"/>
      <c r="K107" s="86"/>
      <c r="L107" s="86"/>
      <c r="M107" s="86"/>
      <c r="N107" s="86"/>
      <c r="O107" s="86"/>
      <c r="P107" s="86"/>
      <c r="Q107" s="111"/>
      <c r="R107" s="551"/>
      <c r="S107" s="54"/>
      <c r="T107" s="54"/>
      <c r="W107" s="54"/>
      <c r="X107" s="54"/>
      <c r="Y107" s="54"/>
      <c r="AB107" s="54"/>
      <c r="AC107" s="54"/>
      <c r="AD107" s="54"/>
      <c r="AG107" s="54"/>
      <c r="AH107" s="54"/>
      <c r="AI107" s="54"/>
    </row>
    <row r="108" spans="1:35" ht="14.5" customHeight="1" x14ac:dyDescent="0.45">
      <c r="A108" s="131"/>
      <c r="B108" s="132"/>
      <c r="C108" s="132"/>
      <c r="D108" s="128" t="s">
        <v>787</v>
      </c>
      <c r="E108" s="133">
        <v>33</v>
      </c>
      <c r="F108" s="2"/>
      <c r="G108" s="170" t="s">
        <v>69</v>
      </c>
      <c r="H108" s="132"/>
      <c r="I108" s="86"/>
      <c r="J108" s="86"/>
      <c r="K108" s="86"/>
      <c r="L108" s="86"/>
      <c r="M108" s="86"/>
      <c r="N108" s="86"/>
      <c r="O108" s="86"/>
      <c r="P108" s="86"/>
      <c r="Q108" s="111"/>
      <c r="R108" s="551"/>
      <c r="S108" s="54"/>
      <c r="T108" s="54"/>
      <c r="W108" s="54"/>
      <c r="X108" s="54"/>
      <c r="Y108" s="54"/>
      <c r="AB108" s="54"/>
      <c r="AC108" s="54"/>
      <c r="AD108" s="54"/>
      <c r="AG108" s="54"/>
      <c r="AH108" s="54"/>
      <c r="AI108" s="54"/>
    </row>
    <row r="109" spans="1:35" ht="14.25" customHeight="1" thickBot="1" x14ac:dyDescent="0.5">
      <c r="A109" s="205"/>
      <c r="B109" s="186"/>
      <c r="C109" s="186"/>
      <c r="D109" s="187" t="s">
        <v>357</v>
      </c>
      <c r="E109" s="263">
        <v>50</v>
      </c>
      <c r="F109" s="263">
        <v>50</v>
      </c>
      <c r="G109" s="188" t="s">
        <v>241</v>
      </c>
      <c r="H109" s="132"/>
      <c r="I109" s="86"/>
      <c r="J109" s="86"/>
      <c r="K109" s="86"/>
      <c r="L109" s="86"/>
      <c r="M109" s="86"/>
      <c r="N109" s="86"/>
      <c r="O109" s="86"/>
      <c r="P109" s="86"/>
      <c r="Q109" s="111"/>
      <c r="R109" s="551"/>
      <c r="S109" s="54"/>
      <c r="T109" s="54"/>
      <c r="W109" s="54"/>
      <c r="X109" s="54"/>
      <c r="Y109" s="54"/>
      <c r="AB109" s="54"/>
      <c r="AC109" s="54"/>
      <c r="AD109" s="54"/>
      <c r="AG109" s="54"/>
      <c r="AH109" s="54"/>
      <c r="AI109" s="54"/>
    </row>
    <row r="110" spans="1:35" ht="14.5" customHeight="1" thickBot="1" x14ac:dyDescent="0.4">
      <c r="A110" s="131"/>
      <c r="B110" s="132"/>
      <c r="C110" s="132"/>
      <c r="D110" s="128"/>
      <c r="E110" s="514"/>
      <c r="F110" s="207"/>
      <c r="G110" s="132"/>
      <c r="H110" s="132"/>
      <c r="I110" s="90"/>
      <c r="J110" s="91"/>
      <c r="K110" s="86"/>
      <c r="L110" s="86"/>
      <c r="M110" s="86"/>
      <c r="N110" s="86"/>
      <c r="O110" s="86"/>
      <c r="P110" s="86"/>
      <c r="Q110" s="111"/>
      <c r="R110" s="551"/>
      <c r="S110" s="54"/>
      <c r="T110" s="54"/>
      <c r="W110" s="54"/>
      <c r="X110" s="54"/>
      <c r="Y110" s="54"/>
      <c r="AB110" s="54"/>
      <c r="AC110" s="54"/>
      <c r="AD110" s="54"/>
      <c r="AG110" s="54"/>
      <c r="AH110" s="54"/>
      <c r="AI110" s="54"/>
    </row>
    <row r="111" spans="1:35" ht="14.5" customHeight="1" x14ac:dyDescent="0.35">
      <c r="A111" s="530" t="s">
        <v>721</v>
      </c>
      <c r="B111" s="515"/>
      <c r="C111" s="516"/>
      <c r="D111" s="530"/>
      <c r="E111" s="535" t="s">
        <v>784</v>
      </c>
      <c r="F111" s="536" t="s">
        <v>795</v>
      </c>
      <c r="G111" s="517"/>
      <c r="H111" s="132"/>
      <c r="I111" s="86"/>
      <c r="J111" s="86"/>
      <c r="K111" s="86"/>
      <c r="L111" s="86"/>
      <c r="M111" s="86"/>
      <c r="N111" s="86"/>
      <c r="O111" s="86"/>
      <c r="P111" s="86"/>
      <c r="Q111" s="111"/>
      <c r="R111" s="551"/>
      <c r="S111" s="54"/>
      <c r="T111" s="54"/>
      <c r="W111" s="54"/>
      <c r="X111" s="54"/>
      <c r="Y111" s="54"/>
      <c r="AB111" s="54"/>
      <c r="AC111" s="54"/>
      <c r="AD111" s="54"/>
      <c r="AG111" s="54"/>
      <c r="AH111" s="54"/>
      <c r="AI111" s="54"/>
    </row>
    <row r="112" spans="1:35" ht="14.5" customHeight="1" x14ac:dyDescent="0.45">
      <c r="A112" s="131"/>
      <c r="B112" s="132"/>
      <c r="C112" s="132"/>
      <c r="D112" s="128" t="s">
        <v>789</v>
      </c>
      <c r="E112" s="264">
        <v>0</v>
      </c>
      <c r="F112" s="264">
        <v>0</v>
      </c>
      <c r="G112" s="170" t="s">
        <v>0</v>
      </c>
      <c r="H112" s="132"/>
      <c r="I112" s="86"/>
      <c r="J112" s="86"/>
      <c r="K112" s="86"/>
      <c r="L112" s="86"/>
      <c r="M112" s="86"/>
      <c r="N112" s="86"/>
      <c r="O112" s="86"/>
      <c r="P112" s="86"/>
      <c r="Q112" s="111"/>
      <c r="R112" s="551"/>
      <c r="S112" s="54"/>
      <c r="T112" s="54"/>
      <c r="W112" s="54"/>
      <c r="X112" s="54"/>
      <c r="Y112" s="54"/>
      <c r="AB112" s="54"/>
      <c r="AC112" s="54"/>
      <c r="AD112" s="54"/>
      <c r="AG112" s="54"/>
      <c r="AH112" s="54"/>
      <c r="AI112" s="54"/>
    </row>
    <row r="113" spans="1:35" ht="14.5" customHeight="1" thickBot="1" x14ac:dyDescent="0.5">
      <c r="A113" s="205"/>
      <c r="B113" s="186"/>
      <c r="C113" s="186"/>
      <c r="D113" s="187" t="s">
        <v>786</v>
      </c>
      <c r="E113" s="265">
        <v>0</v>
      </c>
      <c r="F113" s="265">
        <v>0</v>
      </c>
      <c r="G113" s="188" t="s">
        <v>69</v>
      </c>
      <c r="H113" s="132"/>
      <c r="I113" s="86"/>
      <c r="J113" s="86"/>
      <c r="K113" s="86"/>
      <c r="L113" s="86"/>
      <c r="M113" s="86"/>
      <c r="N113" s="86"/>
      <c r="O113" s="86"/>
      <c r="P113" s="86"/>
      <c r="Q113" s="111"/>
      <c r="R113" s="551"/>
      <c r="S113" s="54"/>
      <c r="T113" s="54"/>
      <c r="W113" s="54"/>
      <c r="X113" s="54"/>
      <c r="Y113" s="54"/>
      <c r="AB113" s="54"/>
      <c r="AC113" s="54"/>
      <c r="AD113" s="54"/>
      <c r="AG113" s="54"/>
      <c r="AH113" s="54"/>
      <c r="AI113" s="54"/>
    </row>
    <row r="114" spans="1:35" ht="13.3" thickBot="1" x14ac:dyDescent="0.4">
      <c r="A114" s="166"/>
      <c r="B114" s="167"/>
      <c r="C114" s="167"/>
      <c r="D114" s="167"/>
      <c r="E114" s="215"/>
      <c r="F114" s="167"/>
      <c r="G114" s="167"/>
      <c r="H114" s="167"/>
      <c r="I114" s="216"/>
      <c r="J114" s="216"/>
      <c r="K114" s="216"/>
      <c r="L114" s="216"/>
      <c r="M114" s="216"/>
      <c r="N114" s="216"/>
      <c r="O114" s="216"/>
      <c r="P114" s="216"/>
      <c r="Q114" s="217"/>
      <c r="R114" s="551"/>
      <c r="S114" s="54"/>
      <c r="T114" s="54"/>
      <c r="W114" s="54"/>
      <c r="X114" s="54"/>
      <c r="Y114" s="54"/>
      <c r="AB114" s="54"/>
      <c r="AC114" s="54"/>
      <c r="AD114" s="54"/>
      <c r="AG114" s="54"/>
      <c r="AH114" s="54"/>
      <c r="AI114" s="54"/>
    </row>
    <row r="115" spans="1:35" x14ac:dyDescent="0.35">
      <c r="A115" s="548"/>
      <c r="B115" s="549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1"/>
      <c r="S115" s="54"/>
      <c r="T115" s="54"/>
      <c r="W115" s="54"/>
      <c r="X115" s="54"/>
      <c r="Y115" s="54"/>
      <c r="AB115" s="54"/>
      <c r="AC115" s="54"/>
      <c r="AD115" s="54"/>
      <c r="AG115" s="54"/>
      <c r="AH115" s="54"/>
      <c r="AI115" s="54"/>
    </row>
    <row r="116" spans="1:35" x14ac:dyDescent="0.35">
      <c r="A116" s="82"/>
      <c r="R116" s="54"/>
      <c r="S116" s="54"/>
      <c r="T116" s="54"/>
      <c r="W116" s="54"/>
      <c r="X116" s="54"/>
      <c r="Y116" s="54"/>
      <c r="AB116" s="54"/>
      <c r="AC116" s="54"/>
      <c r="AD116" s="54"/>
      <c r="AG116" s="54"/>
      <c r="AH116" s="54"/>
      <c r="AI116" s="54"/>
    </row>
    <row r="117" spans="1:35" x14ac:dyDescent="0.35">
      <c r="R117" s="54"/>
      <c r="S117" s="54"/>
      <c r="T117" s="54"/>
      <c r="W117" s="54"/>
      <c r="X117" s="54"/>
      <c r="Y117" s="54"/>
      <c r="AB117" s="54"/>
      <c r="AC117" s="54"/>
      <c r="AD117" s="54"/>
      <c r="AG117" s="54"/>
      <c r="AH117" s="54"/>
      <c r="AI117" s="54"/>
    </row>
    <row r="118" spans="1:35" x14ac:dyDescent="0.35">
      <c r="R118" s="54"/>
      <c r="S118" s="54"/>
      <c r="T118" s="54"/>
      <c r="W118" s="54"/>
      <c r="X118" s="54"/>
      <c r="Y118" s="54"/>
      <c r="AB118" s="54"/>
      <c r="AC118" s="54"/>
      <c r="AD118" s="54"/>
      <c r="AG118" s="54"/>
      <c r="AH118" s="54"/>
      <c r="AI118" s="54"/>
    </row>
    <row r="119" spans="1:35" x14ac:dyDescent="0.35">
      <c r="R119" s="54"/>
      <c r="S119" s="54"/>
      <c r="T119" s="54"/>
      <c r="W119" s="54"/>
      <c r="X119" s="54"/>
      <c r="Y119" s="54"/>
      <c r="AB119" s="54"/>
      <c r="AC119" s="54"/>
      <c r="AD119" s="54"/>
      <c r="AG119" s="54"/>
      <c r="AH119" s="54"/>
      <c r="AI119" s="54"/>
    </row>
    <row r="120" spans="1:35" x14ac:dyDescent="0.35">
      <c r="R120" s="54"/>
      <c r="S120" s="54"/>
      <c r="T120" s="54"/>
      <c r="W120" s="54"/>
      <c r="X120" s="54"/>
      <c r="Y120" s="54"/>
      <c r="AB120" s="54"/>
      <c r="AC120" s="54"/>
      <c r="AD120" s="54"/>
      <c r="AG120" s="54"/>
      <c r="AH120" s="54"/>
      <c r="AI120" s="54"/>
    </row>
    <row r="121" spans="1:35" x14ac:dyDescent="0.35">
      <c r="R121" s="54"/>
      <c r="S121" s="54"/>
      <c r="T121" s="54"/>
      <c r="W121" s="54"/>
      <c r="X121" s="54"/>
      <c r="Y121" s="54"/>
      <c r="AB121" s="54"/>
      <c r="AC121" s="54"/>
      <c r="AD121" s="54"/>
      <c r="AG121" s="54"/>
      <c r="AH121" s="54"/>
      <c r="AI121" s="54"/>
    </row>
    <row r="122" spans="1:35" x14ac:dyDescent="0.35">
      <c r="R122" s="54"/>
      <c r="S122" s="54"/>
      <c r="T122" s="54"/>
      <c r="W122" s="54"/>
      <c r="X122" s="54"/>
      <c r="Y122" s="54"/>
      <c r="AB122" s="54"/>
      <c r="AC122" s="54"/>
      <c r="AD122" s="54"/>
      <c r="AG122" s="54"/>
      <c r="AH122" s="54"/>
      <c r="AI122" s="54"/>
    </row>
    <row r="123" spans="1:35" x14ac:dyDescent="0.35">
      <c r="R123" s="54"/>
      <c r="S123" s="54"/>
      <c r="T123" s="54"/>
      <c r="W123" s="54"/>
      <c r="X123" s="54"/>
      <c r="Y123" s="54"/>
      <c r="AB123" s="54"/>
      <c r="AC123" s="54"/>
      <c r="AD123" s="54"/>
      <c r="AG123" s="54"/>
      <c r="AH123" s="54"/>
      <c r="AI123" s="54"/>
    </row>
    <row r="124" spans="1:35" x14ac:dyDescent="0.35">
      <c r="R124" s="54"/>
      <c r="S124" s="54"/>
      <c r="T124" s="54"/>
      <c r="W124" s="54"/>
      <c r="X124" s="54"/>
      <c r="Y124" s="54"/>
      <c r="AB124" s="54"/>
      <c r="AC124" s="54"/>
      <c r="AD124" s="54"/>
      <c r="AG124" s="54"/>
      <c r="AH124" s="54"/>
      <c r="AI124" s="54"/>
    </row>
    <row r="125" spans="1:35" x14ac:dyDescent="0.35">
      <c r="R125" s="54"/>
      <c r="S125" s="54"/>
      <c r="T125" s="54"/>
      <c r="W125" s="54"/>
      <c r="X125" s="54"/>
      <c r="Y125" s="54"/>
      <c r="AB125" s="54"/>
      <c r="AC125" s="54"/>
      <c r="AD125" s="54"/>
      <c r="AG125" s="54"/>
      <c r="AH125" s="54"/>
      <c r="AI125" s="54"/>
    </row>
    <row r="126" spans="1:35" x14ac:dyDescent="0.35">
      <c r="R126" s="54"/>
      <c r="S126" s="54"/>
      <c r="T126" s="54"/>
      <c r="W126" s="54"/>
      <c r="X126" s="54"/>
      <c r="Y126" s="54"/>
      <c r="AB126" s="54"/>
      <c r="AC126" s="54"/>
      <c r="AD126" s="54"/>
      <c r="AG126" s="54"/>
      <c r="AH126" s="54"/>
      <c r="AI126" s="54"/>
    </row>
    <row r="127" spans="1:35" x14ac:dyDescent="0.35">
      <c r="R127" s="54"/>
      <c r="S127" s="54"/>
      <c r="T127" s="54"/>
      <c r="W127" s="54"/>
      <c r="X127" s="54"/>
      <c r="Y127" s="54"/>
      <c r="AB127" s="54"/>
      <c r="AC127" s="54"/>
      <c r="AD127" s="54"/>
      <c r="AG127" s="54"/>
      <c r="AH127" s="54"/>
      <c r="AI127" s="54"/>
    </row>
    <row r="128" spans="1:35" x14ac:dyDescent="0.35">
      <c r="R128" s="54"/>
      <c r="S128" s="54"/>
      <c r="T128" s="54"/>
      <c r="W128" s="54"/>
      <c r="X128" s="54"/>
      <c r="Y128" s="54"/>
      <c r="AB128" s="54"/>
      <c r="AC128" s="54"/>
      <c r="AD128" s="54"/>
      <c r="AG128" s="54"/>
      <c r="AH128" s="54"/>
      <c r="AI128" s="54"/>
    </row>
    <row r="129" spans="18:35" x14ac:dyDescent="0.35">
      <c r="R129" s="54"/>
      <c r="S129" s="54"/>
      <c r="T129" s="54"/>
      <c r="W129" s="54"/>
      <c r="X129" s="54"/>
      <c r="Y129" s="54"/>
      <c r="AB129" s="54"/>
      <c r="AC129" s="54"/>
      <c r="AD129" s="54"/>
      <c r="AG129" s="54"/>
      <c r="AH129" s="54"/>
      <c r="AI129" s="54"/>
    </row>
    <row r="130" spans="18:35" x14ac:dyDescent="0.35">
      <c r="R130" s="54"/>
      <c r="S130" s="54"/>
      <c r="T130" s="54"/>
      <c r="W130" s="54"/>
      <c r="X130" s="54"/>
      <c r="Y130" s="54"/>
      <c r="AB130" s="54"/>
      <c r="AC130" s="54"/>
      <c r="AD130" s="54"/>
      <c r="AG130" s="54"/>
      <c r="AH130" s="54"/>
      <c r="AI130" s="54"/>
    </row>
    <row r="131" spans="18:35" x14ac:dyDescent="0.35">
      <c r="R131" s="54"/>
      <c r="S131" s="54"/>
      <c r="T131" s="54"/>
      <c r="W131" s="54"/>
      <c r="X131" s="54"/>
      <c r="Y131" s="54"/>
      <c r="AB131" s="54"/>
      <c r="AC131" s="54"/>
      <c r="AD131" s="54"/>
      <c r="AG131" s="54"/>
      <c r="AH131" s="54"/>
      <c r="AI131" s="54"/>
    </row>
    <row r="132" spans="18:35" x14ac:dyDescent="0.35">
      <c r="R132" s="54"/>
      <c r="S132" s="54"/>
      <c r="T132" s="54"/>
      <c r="W132" s="54"/>
      <c r="X132" s="54"/>
      <c r="Y132" s="54"/>
      <c r="AB132" s="54"/>
      <c r="AC132" s="54"/>
      <c r="AD132" s="54"/>
      <c r="AG132" s="54"/>
      <c r="AH132" s="54"/>
      <c r="AI132" s="54"/>
    </row>
    <row r="133" spans="18:35" x14ac:dyDescent="0.35">
      <c r="R133" s="54"/>
      <c r="S133" s="54"/>
      <c r="T133" s="54"/>
      <c r="W133" s="54"/>
      <c r="X133" s="54"/>
      <c r="Y133" s="54"/>
      <c r="AB133" s="54"/>
      <c r="AC133" s="54"/>
      <c r="AD133" s="54"/>
      <c r="AG133" s="54"/>
      <c r="AH133" s="54"/>
      <c r="AI133" s="54"/>
    </row>
    <row r="134" spans="18:35" x14ac:dyDescent="0.35">
      <c r="R134" s="54"/>
      <c r="S134" s="54"/>
      <c r="T134" s="54"/>
      <c r="W134" s="54"/>
      <c r="X134" s="54"/>
      <c r="Y134" s="54"/>
      <c r="AB134" s="54"/>
      <c r="AC134" s="54"/>
      <c r="AD134" s="54"/>
      <c r="AG134" s="54"/>
      <c r="AH134" s="54"/>
      <c r="AI134" s="54"/>
    </row>
    <row r="135" spans="18:35" x14ac:dyDescent="0.35">
      <c r="R135" s="54"/>
      <c r="S135" s="54"/>
      <c r="T135" s="54"/>
      <c r="W135" s="54"/>
      <c r="X135" s="54"/>
      <c r="Y135" s="54"/>
      <c r="AB135" s="54"/>
      <c r="AC135" s="54"/>
      <c r="AD135" s="54"/>
      <c r="AG135" s="54"/>
      <c r="AH135" s="54"/>
      <c r="AI135" s="54"/>
    </row>
    <row r="136" spans="18:35" x14ac:dyDescent="0.35">
      <c r="R136" s="54"/>
      <c r="S136" s="54"/>
      <c r="T136" s="54"/>
      <c r="W136" s="54"/>
      <c r="X136" s="54"/>
      <c r="Y136" s="54"/>
      <c r="AB136" s="54"/>
      <c r="AC136" s="54"/>
      <c r="AD136" s="54"/>
      <c r="AG136" s="54"/>
      <c r="AH136" s="54"/>
      <c r="AI136" s="54"/>
    </row>
    <row r="137" spans="18:35" x14ac:dyDescent="0.35">
      <c r="R137" s="54"/>
      <c r="S137" s="54"/>
      <c r="T137" s="54"/>
      <c r="W137" s="54"/>
      <c r="X137" s="54"/>
      <c r="Y137" s="54"/>
      <c r="AB137" s="54"/>
      <c r="AC137" s="54"/>
      <c r="AD137" s="54"/>
      <c r="AG137" s="54"/>
      <c r="AH137" s="54"/>
      <c r="AI137" s="54"/>
    </row>
    <row r="138" spans="18:35" x14ac:dyDescent="0.35">
      <c r="R138" s="54"/>
      <c r="S138" s="54"/>
      <c r="T138" s="54"/>
      <c r="W138" s="54"/>
      <c r="X138" s="54"/>
      <c r="Y138" s="54"/>
      <c r="AB138" s="54"/>
      <c r="AC138" s="54"/>
      <c r="AD138" s="54"/>
      <c r="AG138" s="54"/>
      <c r="AH138" s="54"/>
      <c r="AI138" s="54"/>
    </row>
    <row r="139" spans="18:35" x14ac:dyDescent="0.35">
      <c r="R139" s="54"/>
      <c r="S139" s="54"/>
      <c r="T139" s="54"/>
      <c r="W139" s="54"/>
      <c r="X139" s="54"/>
      <c r="Y139" s="54"/>
      <c r="AB139" s="54"/>
      <c r="AC139" s="54"/>
      <c r="AD139" s="54"/>
      <c r="AG139" s="54"/>
      <c r="AH139" s="54"/>
      <c r="AI139" s="54"/>
    </row>
    <row r="140" spans="18:35" x14ac:dyDescent="0.35">
      <c r="R140" s="54"/>
      <c r="S140" s="54"/>
      <c r="T140" s="54"/>
      <c r="W140" s="54"/>
      <c r="X140" s="54"/>
      <c r="Y140" s="54"/>
      <c r="AB140" s="54"/>
      <c r="AC140" s="54"/>
      <c r="AD140" s="54"/>
      <c r="AG140" s="54"/>
      <c r="AH140" s="54"/>
      <c r="AI140" s="54"/>
    </row>
    <row r="141" spans="18:35" x14ac:dyDescent="0.35">
      <c r="R141" s="54"/>
      <c r="S141" s="54"/>
      <c r="T141" s="54"/>
      <c r="W141" s="54"/>
      <c r="X141" s="54"/>
      <c r="Y141" s="54"/>
      <c r="AB141" s="54"/>
      <c r="AC141" s="54"/>
      <c r="AD141" s="54"/>
      <c r="AG141" s="54"/>
      <c r="AH141" s="54"/>
      <c r="AI141" s="54"/>
    </row>
    <row r="142" spans="18:35" x14ac:dyDescent="0.35">
      <c r="R142" s="54"/>
      <c r="S142" s="54"/>
      <c r="T142" s="54"/>
      <c r="W142" s="54"/>
      <c r="X142" s="54"/>
      <c r="Y142" s="54"/>
      <c r="AB142" s="54"/>
      <c r="AC142" s="54"/>
      <c r="AD142" s="54"/>
      <c r="AG142" s="54"/>
      <c r="AH142" s="54"/>
      <c r="AI142" s="54"/>
    </row>
    <row r="143" spans="18:35" x14ac:dyDescent="0.35">
      <c r="R143" s="54"/>
      <c r="S143" s="54"/>
      <c r="T143" s="54"/>
      <c r="W143" s="54"/>
      <c r="X143" s="54"/>
      <c r="Y143" s="54"/>
      <c r="AB143" s="54"/>
      <c r="AC143" s="54"/>
      <c r="AD143" s="54"/>
      <c r="AG143" s="54"/>
      <c r="AH143" s="54"/>
      <c r="AI143" s="54"/>
    </row>
    <row r="144" spans="18:35" x14ac:dyDescent="0.35">
      <c r="R144" s="54"/>
      <c r="S144" s="54"/>
      <c r="T144" s="54"/>
      <c r="W144" s="54"/>
      <c r="X144" s="54"/>
      <c r="Y144" s="54"/>
      <c r="AB144" s="54"/>
      <c r="AC144" s="54"/>
      <c r="AD144" s="54"/>
      <c r="AG144" s="54"/>
      <c r="AH144" s="54"/>
      <c r="AI144" s="54"/>
    </row>
    <row r="145" spans="18:35" x14ac:dyDescent="0.35">
      <c r="R145" s="54"/>
      <c r="S145" s="54"/>
      <c r="T145" s="54"/>
      <c r="W145" s="54"/>
      <c r="X145" s="54"/>
      <c r="Y145" s="54"/>
      <c r="AB145" s="54"/>
      <c r="AC145" s="54"/>
      <c r="AD145" s="54"/>
      <c r="AG145" s="54"/>
      <c r="AH145" s="54"/>
      <c r="AI145" s="54"/>
    </row>
    <row r="146" spans="18:35" x14ac:dyDescent="0.35">
      <c r="R146" s="54"/>
      <c r="S146" s="54"/>
      <c r="T146" s="54"/>
      <c r="W146" s="54"/>
      <c r="X146" s="54"/>
      <c r="Y146" s="54"/>
      <c r="AB146" s="54"/>
      <c r="AC146" s="54"/>
      <c r="AD146" s="54"/>
      <c r="AG146" s="54"/>
      <c r="AH146" s="54"/>
      <c r="AI146" s="54"/>
    </row>
    <row r="147" spans="18:35" x14ac:dyDescent="0.35">
      <c r="R147" s="54"/>
      <c r="S147" s="54"/>
      <c r="T147" s="54"/>
      <c r="W147" s="54"/>
      <c r="X147" s="54"/>
      <c r="Y147" s="54"/>
      <c r="AB147" s="54"/>
      <c r="AC147" s="54"/>
      <c r="AD147" s="54"/>
      <c r="AG147" s="54"/>
      <c r="AH147" s="54"/>
      <c r="AI147" s="54"/>
    </row>
    <row r="148" spans="18:35" x14ac:dyDescent="0.35">
      <c r="R148" s="54"/>
      <c r="S148" s="54"/>
      <c r="T148" s="54"/>
      <c r="W148" s="54"/>
      <c r="X148" s="54"/>
      <c r="Y148" s="54"/>
      <c r="AB148" s="54"/>
      <c r="AC148" s="54"/>
      <c r="AD148" s="54"/>
      <c r="AG148" s="54"/>
      <c r="AH148" s="54"/>
      <c r="AI148" s="54"/>
    </row>
    <row r="149" spans="18:35" x14ac:dyDescent="0.35">
      <c r="R149" s="54"/>
      <c r="S149" s="54"/>
      <c r="T149" s="54"/>
      <c r="W149" s="54"/>
      <c r="X149" s="54"/>
      <c r="Y149" s="54"/>
      <c r="AB149" s="54"/>
      <c r="AC149" s="54"/>
      <c r="AD149" s="54"/>
      <c r="AG149" s="54"/>
      <c r="AH149" s="54"/>
      <c r="AI149" s="54"/>
    </row>
    <row r="150" spans="18:35" x14ac:dyDescent="0.35">
      <c r="R150" s="54"/>
      <c r="S150" s="54"/>
      <c r="T150" s="54"/>
      <c r="W150" s="54"/>
      <c r="X150" s="54"/>
      <c r="Y150" s="54"/>
      <c r="AB150" s="54"/>
      <c r="AC150" s="54"/>
      <c r="AD150" s="54"/>
      <c r="AG150" s="54"/>
      <c r="AH150" s="54"/>
      <c r="AI150" s="54"/>
    </row>
    <row r="151" spans="18:35" x14ac:dyDescent="0.35">
      <c r="R151" s="54"/>
      <c r="S151" s="54"/>
      <c r="T151" s="54"/>
      <c r="W151" s="54"/>
      <c r="X151" s="54"/>
      <c r="Y151" s="54"/>
      <c r="AB151" s="54"/>
      <c r="AC151" s="54"/>
      <c r="AD151" s="54"/>
      <c r="AG151" s="54"/>
      <c r="AH151" s="54"/>
      <c r="AI151" s="54"/>
    </row>
    <row r="152" spans="18:35" x14ac:dyDescent="0.35">
      <c r="R152" s="54"/>
      <c r="S152" s="54"/>
      <c r="T152" s="54"/>
      <c r="W152" s="54"/>
      <c r="X152" s="54"/>
      <c r="Y152" s="54"/>
      <c r="AB152" s="54"/>
      <c r="AC152" s="54"/>
      <c r="AD152" s="54"/>
      <c r="AG152" s="54"/>
      <c r="AH152" s="54"/>
      <c r="AI152" s="54"/>
    </row>
    <row r="153" spans="18:35" x14ac:dyDescent="0.35">
      <c r="R153" s="54"/>
      <c r="S153" s="54"/>
      <c r="T153" s="54"/>
      <c r="W153" s="54"/>
      <c r="X153" s="54"/>
      <c r="Y153" s="54"/>
      <c r="AB153" s="54"/>
      <c r="AC153" s="54"/>
      <c r="AD153" s="54"/>
      <c r="AG153" s="54"/>
      <c r="AH153" s="54"/>
      <c r="AI153" s="54"/>
    </row>
    <row r="154" spans="18:35" x14ac:dyDescent="0.35">
      <c r="R154" s="54"/>
      <c r="S154" s="54"/>
      <c r="T154" s="54"/>
      <c r="W154" s="54"/>
      <c r="X154" s="54"/>
      <c r="Y154" s="54"/>
      <c r="AB154" s="54"/>
      <c r="AC154" s="54"/>
      <c r="AD154" s="54"/>
      <c r="AG154" s="54"/>
      <c r="AH154" s="54"/>
      <c r="AI154" s="54"/>
    </row>
    <row r="155" spans="18:35" x14ac:dyDescent="0.35">
      <c r="R155" s="54"/>
      <c r="S155" s="54"/>
      <c r="T155" s="54"/>
      <c r="W155" s="54"/>
      <c r="X155" s="54"/>
      <c r="Y155" s="54"/>
      <c r="AB155" s="54"/>
      <c r="AC155" s="54"/>
      <c r="AD155" s="54"/>
      <c r="AG155" s="54"/>
      <c r="AH155" s="54"/>
      <c r="AI155" s="54"/>
    </row>
    <row r="156" spans="18:35" x14ac:dyDescent="0.35">
      <c r="R156" s="54"/>
      <c r="S156" s="54"/>
      <c r="T156" s="54"/>
      <c r="W156" s="54"/>
      <c r="X156" s="54"/>
      <c r="Y156" s="54"/>
      <c r="AB156" s="54"/>
      <c r="AC156" s="54"/>
      <c r="AD156" s="54"/>
      <c r="AG156" s="54"/>
      <c r="AH156" s="54"/>
      <c r="AI156" s="54"/>
    </row>
    <row r="157" spans="18:35" x14ac:dyDescent="0.35">
      <c r="R157" s="54"/>
      <c r="S157" s="54"/>
      <c r="T157" s="54"/>
      <c r="W157" s="54"/>
      <c r="X157" s="54"/>
      <c r="Y157" s="54"/>
      <c r="AB157" s="54"/>
      <c r="AC157" s="54"/>
      <c r="AD157" s="54"/>
      <c r="AG157" s="54"/>
      <c r="AH157" s="54"/>
      <c r="AI157" s="54"/>
    </row>
    <row r="158" spans="18:35" x14ac:dyDescent="0.35">
      <c r="R158" s="54"/>
      <c r="S158" s="54"/>
      <c r="T158" s="54"/>
      <c r="W158" s="54"/>
      <c r="X158" s="54"/>
      <c r="Y158" s="54"/>
      <c r="AB158" s="54"/>
      <c r="AC158" s="54"/>
      <c r="AD158" s="54"/>
      <c r="AG158" s="54"/>
      <c r="AH158" s="54"/>
      <c r="AI158" s="54"/>
    </row>
    <row r="159" spans="18:35" x14ac:dyDescent="0.35">
      <c r="R159" s="54"/>
      <c r="S159" s="54"/>
      <c r="T159" s="54"/>
      <c r="W159" s="54"/>
      <c r="X159" s="54"/>
      <c r="Y159" s="54"/>
      <c r="AB159" s="54"/>
      <c r="AC159" s="54"/>
      <c r="AD159" s="54"/>
      <c r="AG159" s="54"/>
      <c r="AH159" s="54"/>
      <c r="AI159" s="54"/>
    </row>
    <row r="160" spans="18:35" x14ac:dyDescent="0.35">
      <c r="R160" s="54"/>
      <c r="S160" s="54"/>
      <c r="T160" s="54"/>
      <c r="W160" s="54"/>
      <c r="X160" s="54"/>
      <c r="Y160" s="54"/>
      <c r="AB160" s="54"/>
      <c r="AC160" s="54"/>
      <c r="AD160" s="54"/>
      <c r="AG160" s="54"/>
      <c r="AH160" s="54"/>
      <c r="AI160" s="54"/>
    </row>
    <row r="161" spans="18:35" x14ac:dyDescent="0.35">
      <c r="R161" s="54"/>
      <c r="S161" s="54"/>
      <c r="T161" s="54"/>
      <c r="W161" s="54"/>
      <c r="X161" s="54"/>
      <c r="Y161" s="54"/>
      <c r="AB161" s="54"/>
      <c r="AC161" s="54"/>
      <c r="AD161" s="54"/>
      <c r="AG161" s="54"/>
      <c r="AH161" s="54"/>
      <c r="AI161" s="54"/>
    </row>
    <row r="162" spans="18:35" x14ac:dyDescent="0.35">
      <c r="R162" s="54"/>
      <c r="S162" s="54"/>
      <c r="T162" s="54"/>
      <c r="W162" s="54"/>
      <c r="X162" s="54"/>
      <c r="Y162" s="54"/>
      <c r="AB162" s="54"/>
      <c r="AC162" s="54"/>
      <c r="AD162" s="54"/>
      <c r="AG162" s="54"/>
      <c r="AH162" s="54"/>
      <c r="AI162" s="54"/>
    </row>
    <row r="163" spans="18:35" x14ac:dyDescent="0.35">
      <c r="R163" s="54"/>
      <c r="S163" s="54"/>
      <c r="T163" s="54"/>
      <c r="W163" s="54"/>
      <c r="X163" s="54"/>
      <c r="Y163" s="54"/>
      <c r="AB163" s="54"/>
      <c r="AC163" s="54"/>
      <c r="AD163" s="54"/>
      <c r="AG163" s="54"/>
      <c r="AH163" s="54"/>
      <c r="AI163" s="54"/>
    </row>
    <row r="164" spans="18:35" x14ac:dyDescent="0.35">
      <c r="R164" s="54"/>
      <c r="S164" s="54"/>
      <c r="T164" s="54"/>
      <c r="W164" s="54"/>
      <c r="X164" s="54"/>
      <c r="Y164" s="54"/>
      <c r="AB164" s="54"/>
      <c r="AC164" s="54"/>
      <c r="AD164" s="54"/>
      <c r="AG164" s="54"/>
      <c r="AH164" s="54"/>
      <c r="AI164" s="54"/>
    </row>
    <row r="165" spans="18:35" x14ac:dyDescent="0.35">
      <c r="R165" s="54"/>
      <c r="S165" s="54"/>
      <c r="T165" s="54"/>
      <c r="W165" s="54"/>
      <c r="X165" s="54"/>
      <c r="Y165" s="54"/>
      <c r="AB165" s="54"/>
      <c r="AC165" s="54"/>
      <c r="AD165" s="54"/>
      <c r="AG165" s="54"/>
      <c r="AH165" s="54"/>
      <c r="AI165" s="54"/>
    </row>
    <row r="166" spans="18:35" x14ac:dyDescent="0.35">
      <c r="R166" s="54"/>
      <c r="S166" s="54"/>
      <c r="T166" s="54"/>
      <c r="W166" s="54"/>
      <c r="X166" s="54"/>
      <c r="Y166" s="54"/>
      <c r="AB166" s="54"/>
      <c r="AC166" s="54"/>
      <c r="AD166" s="54"/>
      <c r="AG166" s="54"/>
      <c r="AH166" s="54"/>
      <c r="AI166" s="54"/>
    </row>
    <row r="167" spans="18:35" x14ac:dyDescent="0.35">
      <c r="R167" s="54"/>
      <c r="S167" s="54"/>
      <c r="T167" s="54"/>
      <c r="W167" s="54"/>
      <c r="X167" s="54"/>
      <c r="Y167" s="54"/>
      <c r="AB167" s="54"/>
      <c r="AC167" s="54"/>
      <c r="AD167" s="54"/>
      <c r="AG167" s="54"/>
      <c r="AH167" s="54"/>
      <c r="AI167" s="54"/>
    </row>
    <row r="168" spans="18:35" x14ac:dyDescent="0.35">
      <c r="R168" s="54"/>
      <c r="S168" s="54"/>
      <c r="T168" s="54"/>
      <c r="W168" s="54"/>
      <c r="X168" s="54"/>
      <c r="Y168" s="54"/>
      <c r="AB168" s="54"/>
      <c r="AC168" s="54"/>
      <c r="AD168" s="54"/>
      <c r="AG168" s="54"/>
      <c r="AH168" s="54"/>
      <c r="AI168" s="54"/>
    </row>
    <row r="169" spans="18:35" x14ac:dyDescent="0.35">
      <c r="R169" s="54"/>
      <c r="S169" s="54"/>
      <c r="T169" s="54"/>
      <c r="W169" s="54"/>
      <c r="X169" s="54"/>
      <c r="Y169" s="54"/>
      <c r="AB169" s="54"/>
      <c r="AC169" s="54"/>
      <c r="AD169" s="54"/>
      <c r="AG169" s="54"/>
      <c r="AH169" s="54"/>
      <c r="AI169" s="54"/>
    </row>
    <row r="170" spans="18:35" x14ac:dyDescent="0.35">
      <c r="R170" s="54"/>
      <c r="S170" s="54"/>
      <c r="T170" s="54"/>
      <c r="W170" s="54"/>
      <c r="X170" s="54"/>
      <c r="Y170" s="54"/>
      <c r="AB170" s="54"/>
      <c r="AC170" s="54"/>
      <c r="AD170" s="54"/>
      <c r="AG170" s="54"/>
      <c r="AH170" s="54"/>
      <c r="AI170" s="54"/>
    </row>
    <row r="171" spans="18:35" x14ac:dyDescent="0.35">
      <c r="R171" s="54"/>
      <c r="S171" s="54"/>
      <c r="T171" s="54"/>
      <c r="W171" s="54"/>
      <c r="X171" s="54"/>
      <c r="Y171" s="54"/>
      <c r="AB171" s="54"/>
      <c r="AC171" s="54"/>
      <c r="AD171" s="54"/>
      <c r="AG171" s="54"/>
      <c r="AH171" s="54"/>
      <c r="AI171" s="54"/>
    </row>
    <row r="172" spans="18:35" x14ac:dyDescent="0.35">
      <c r="R172" s="54"/>
      <c r="S172" s="54"/>
      <c r="T172" s="54"/>
      <c r="W172" s="54"/>
      <c r="X172" s="54"/>
      <c r="Y172" s="54"/>
      <c r="AB172" s="54"/>
      <c r="AC172" s="54"/>
      <c r="AD172" s="54"/>
      <c r="AG172" s="54"/>
      <c r="AH172" s="54"/>
      <c r="AI172" s="54"/>
    </row>
    <row r="173" spans="18:35" x14ac:dyDescent="0.35">
      <c r="R173" s="54"/>
      <c r="S173" s="54"/>
      <c r="T173" s="54"/>
      <c r="W173" s="54"/>
      <c r="X173" s="54"/>
      <c r="Y173" s="54"/>
      <c r="AB173" s="54"/>
      <c r="AC173" s="54"/>
      <c r="AD173" s="54"/>
      <c r="AG173" s="54"/>
      <c r="AH173" s="54"/>
      <c r="AI173" s="54"/>
    </row>
    <row r="174" spans="18:35" x14ac:dyDescent="0.35">
      <c r="R174" s="54"/>
      <c r="S174" s="54"/>
      <c r="T174" s="54"/>
      <c r="W174" s="54"/>
      <c r="X174" s="54"/>
      <c r="Y174" s="54"/>
      <c r="AB174" s="54"/>
      <c r="AC174" s="54"/>
      <c r="AD174" s="54"/>
      <c r="AG174" s="54"/>
      <c r="AH174" s="54"/>
      <c r="AI174" s="54"/>
    </row>
    <row r="175" spans="18:35" x14ac:dyDescent="0.35">
      <c r="R175" s="54"/>
      <c r="S175" s="54"/>
      <c r="T175" s="54"/>
      <c r="W175" s="54"/>
      <c r="X175" s="54"/>
      <c r="Y175" s="54"/>
      <c r="AB175" s="54"/>
      <c r="AC175" s="54"/>
      <c r="AD175" s="54"/>
      <c r="AG175" s="54"/>
      <c r="AH175" s="54"/>
      <c r="AI175" s="54"/>
    </row>
    <row r="176" spans="18:35" x14ac:dyDescent="0.35">
      <c r="R176" s="54"/>
      <c r="S176" s="54"/>
      <c r="T176" s="54"/>
      <c r="W176" s="54"/>
      <c r="X176" s="54"/>
      <c r="Y176" s="54"/>
      <c r="AB176" s="54"/>
      <c r="AC176" s="54"/>
      <c r="AD176" s="54"/>
      <c r="AG176" s="54"/>
      <c r="AH176" s="54"/>
      <c r="AI176" s="54"/>
    </row>
    <row r="177" spans="18:35" x14ac:dyDescent="0.35">
      <c r="R177" s="54"/>
      <c r="S177" s="54"/>
      <c r="T177" s="54"/>
      <c r="W177" s="54"/>
      <c r="X177" s="54"/>
      <c r="Y177" s="54"/>
      <c r="AB177" s="54"/>
      <c r="AC177" s="54"/>
      <c r="AD177" s="54"/>
      <c r="AG177" s="54"/>
      <c r="AH177" s="54"/>
      <c r="AI177" s="54"/>
    </row>
    <row r="178" spans="18:35" x14ac:dyDescent="0.35">
      <c r="R178" s="54"/>
      <c r="S178" s="54"/>
      <c r="T178" s="54"/>
      <c r="W178" s="54"/>
      <c r="X178" s="54"/>
      <c r="Y178" s="54"/>
      <c r="AB178" s="54"/>
      <c r="AC178" s="54"/>
      <c r="AD178" s="54"/>
      <c r="AG178" s="54"/>
      <c r="AH178" s="54"/>
      <c r="AI178" s="54"/>
    </row>
    <row r="179" spans="18:35" x14ac:dyDescent="0.35">
      <c r="R179" s="54"/>
      <c r="S179" s="54"/>
      <c r="T179" s="54"/>
      <c r="W179" s="54"/>
      <c r="X179" s="54"/>
      <c r="Y179" s="54"/>
      <c r="AB179" s="54"/>
      <c r="AC179" s="54"/>
      <c r="AD179" s="54"/>
      <c r="AG179" s="54"/>
      <c r="AH179" s="54"/>
      <c r="AI179" s="54"/>
    </row>
    <row r="180" spans="18:35" x14ac:dyDescent="0.35">
      <c r="R180" s="54"/>
      <c r="S180" s="54"/>
      <c r="T180" s="54"/>
      <c r="W180" s="54"/>
      <c r="X180" s="54"/>
      <c r="Y180" s="54"/>
      <c r="AB180" s="54"/>
      <c r="AC180" s="54"/>
      <c r="AD180" s="54"/>
      <c r="AG180" s="54"/>
      <c r="AH180" s="54"/>
      <c r="AI180" s="54"/>
    </row>
    <row r="181" spans="18:35" x14ac:dyDescent="0.35">
      <c r="R181" s="54"/>
      <c r="S181" s="54"/>
      <c r="T181" s="54"/>
      <c r="W181" s="54"/>
      <c r="X181" s="54"/>
      <c r="Y181" s="54"/>
      <c r="AB181" s="54"/>
      <c r="AC181" s="54"/>
      <c r="AD181" s="54"/>
      <c r="AG181" s="54"/>
      <c r="AH181" s="54"/>
      <c r="AI181" s="54"/>
    </row>
    <row r="182" spans="18:35" x14ac:dyDescent="0.35">
      <c r="R182" s="54"/>
      <c r="S182" s="54"/>
      <c r="T182" s="54"/>
      <c r="W182" s="54"/>
      <c r="X182" s="54"/>
      <c r="Y182" s="54"/>
      <c r="AB182" s="54"/>
      <c r="AC182" s="54"/>
      <c r="AD182" s="54"/>
      <c r="AG182" s="54"/>
      <c r="AH182" s="54"/>
      <c r="AI182" s="54"/>
    </row>
    <row r="183" spans="18:35" x14ac:dyDescent="0.35">
      <c r="R183" s="54"/>
      <c r="S183" s="54"/>
      <c r="T183" s="54"/>
      <c r="W183" s="54"/>
      <c r="X183" s="54"/>
      <c r="Y183" s="54"/>
      <c r="AB183" s="54"/>
      <c r="AC183" s="54"/>
      <c r="AD183" s="54"/>
      <c r="AG183" s="54"/>
      <c r="AH183" s="54"/>
      <c r="AI183" s="54"/>
    </row>
    <row r="184" spans="18:35" x14ac:dyDescent="0.35">
      <c r="R184" s="54"/>
      <c r="S184" s="54"/>
      <c r="T184" s="54"/>
      <c r="W184" s="54"/>
      <c r="X184" s="54"/>
      <c r="Y184" s="54"/>
      <c r="AB184" s="54"/>
      <c r="AC184" s="54"/>
      <c r="AD184" s="54"/>
      <c r="AG184" s="54"/>
      <c r="AH184" s="54"/>
      <c r="AI184" s="54"/>
    </row>
    <row r="185" spans="18:35" x14ac:dyDescent="0.35">
      <c r="R185" s="54"/>
      <c r="S185" s="54"/>
      <c r="T185" s="54"/>
      <c r="W185" s="54"/>
      <c r="X185" s="54"/>
      <c r="Y185" s="54"/>
      <c r="AB185" s="54"/>
      <c r="AC185" s="54"/>
      <c r="AD185" s="54"/>
      <c r="AG185" s="54"/>
      <c r="AH185" s="54"/>
      <c r="AI185" s="54"/>
    </row>
    <row r="186" spans="18:35" x14ac:dyDescent="0.35">
      <c r="R186" s="54"/>
      <c r="S186" s="54"/>
      <c r="T186" s="54"/>
      <c r="W186" s="54"/>
      <c r="X186" s="54"/>
      <c r="Y186" s="54"/>
      <c r="AB186" s="54"/>
      <c r="AC186" s="54"/>
      <c r="AD186" s="54"/>
      <c r="AG186" s="54"/>
      <c r="AH186" s="54"/>
      <c r="AI186" s="54"/>
    </row>
    <row r="187" spans="18:35" x14ac:dyDescent="0.35">
      <c r="R187" s="54"/>
      <c r="S187" s="54"/>
      <c r="T187" s="54"/>
      <c r="W187" s="54"/>
      <c r="X187" s="54"/>
      <c r="Y187" s="54"/>
      <c r="AB187" s="54"/>
      <c r="AC187" s="54"/>
      <c r="AD187" s="54"/>
      <c r="AG187" s="54"/>
      <c r="AH187" s="54"/>
      <c r="AI187" s="54"/>
    </row>
    <row r="188" spans="18:35" x14ac:dyDescent="0.35">
      <c r="R188" s="54"/>
      <c r="S188" s="54"/>
      <c r="T188" s="54"/>
      <c r="W188" s="54"/>
      <c r="X188" s="54"/>
      <c r="Y188" s="54"/>
      <c r="AB188" s="54"/>
      <c r="AC188" s="54"/>
      <c r="AD188" s="54"/>
      <c r="AG188" s="54"/>
      <c r="AH188" s="54"/>
      <c r="AI188" s="54"/>
    </row>
    <row r="189" spans="18:35" x14ac:dyDescent="0.35">
      <c r="R189" s="54"/>
      <c r="S189" s="54"/>
      <c r="T189" s="54"/>
      <c r="W189" s="54"/>
      <c r="X189" s="54"/>
      <c r="Y189" s="54"/>
      <c r="AB189" s="54"/>
      <c r="AC189" s="54"/>
      <c r="AD189" s="54"/>
      <c r="AG189" s="54"/>
      <c r="AH189" s="54"/>
      <c r="AI189" s="54"/>
    </row>
    <row r="190" spans="18:35" x14ac:dyDescent="0.35">
      <c r="R190" s="54"/>
      <c r="S190" s="54"/>
      <c r="T190" s="54"/>
      <c r="W190" s="54"/>
      <c r="X190" s="54"/>
      <c r="Y190" s="54"/>
      <c r="AB190" s="54"/>
      <c r="AC190" s="54"/>
      <c r="AD190" s="54"/>
      <c r="AG190" s="54"/>
      <c r="AH190" s="54"/>
      <c r="AI190" s="54"/>
    </row>
    <row r="191" spans="18:35" x14ac:dyDescent="0.35">
      <c r="R191" s="54"/>
      <c r="S191" s="54"/>
      <c r="T191" s="54"/>
      <c r="W191" s="54"/>
      <c r="X191" s="54"/>
      <c r="Y191" s="54"/>
      <c r="AB191" s="54"/>
      <c r="AC191" s="54"/>
      <c r="AD191" s="54"/>
      <c r="AG191" s="54"/>
      <c r="AH191" s="54"/>
      <c r="AI191" s="54"/>
    </row>
    <row r="192" spans="18:35" x14ac:dyDescent="0.35">
      <c r="R192" s="54"/>
      <c r="S192" s="54"/>
      <c r="T192" s="54"/>
      <c r="W192" s="54"/>
      <c r="X192" s="54"/>
      <c r="Y192" s="54"/>
      <c r="AB192" s="54"/>
      <c r="AC192" s="54"/>
      <c r="AD192" s="54"/>
      <c r="AG192" s="54"/>
      <c r="AH192" s="54"/>
      <c r="AI192" s="54"/>
    </row>
    <row r="193" spans="18:35" x14ac:dyDescent="0.35">
      <c r="R193" s="54"/>
      <c r="S193" s="54"/>
      <c r="T193" s="54"/>
      <c r="W193" s="54"/>
      <c r="X193" s="54"/>
      <c r="Y193" s="54"/>
      <c r="AB193" s="54"/>
      <c r="AC193" s="54"/>
      <c r="AD193" s="54"/>
      <c r="AG193" s="54"/>
      <c r="AH193" s="54"/>
      <c r="AI193" s="54"/>
    </row>
    <row r="194" spans="18:35" x14ac:dyDescent="0.35">
      <c r="R194" s="54"/>
      <c r="S194" s="54"/>
      <c r="T194" s="54"/>
      <c r="W194" s="54"/>
      <c r="X194" s="54"/>
      <c r="Y194" s="54"/>
      <c r="AB194" s="54"/>
      <c r="AC194" s="54"/>
      <c r="AD194" s="54"/>
      <c r="AG194" s="54"/>
      <c r="AH194" s="54"/>
      <c r="AI194" s="54"/>
    </row>
    <row r="195" spans="18:35" x14ac:dyDescent="0.35">
      <c r="R195" s="54"/>
      <c r="S195" s="54"/>
      <c r="T195" s="54"/>
      <c r="W195" s="54"/>
      <c r="X195" s="54"/>
      <c r="Y195" s="54"/>
      <c r="AB195" s="54"/>
      <c r="AC195" s="54"/>
      <c r="AD195" s="54"/>
      <c r="AG195" s="54"/>
      <c r="AH195" s="54"/>
      <c r="AI195" s="54"/>
    </row>
    <row r="196" spans="18:35" x14ac:dyDescent="0.35">
      <c r="R196" s="54"/>
      <c r="S196" s="54"/>
      <c r="T196" s="54"/>
      <c r="W196" s="54"/>
      <c r="X196" s="54"/>
      <c r="Y196" s="54"/>
      <c r="AB196" s="54"/>
      <c r="AC196" s="54"/>
      <c r="AD196" s="54"/>
      <c r="AG196" s="54"/>
      <c r="AH196" s="54"/>
      <c r="AI196" s="54"/>
    </row>
    <row r="197" spans="18:35" x14ac:dyDescent="0.35">
      <c r="R197" s="54"/>
      <c r="S197" s="54"/>
      <c r="T197" s="54"/>
      <c r="W197" s="54"/>
      <c r="X197" s="54"/>
      <c r="Y197" s="54"/>
      <c r="AB197" s="54"/>
      <c r="AC197" s="54"/>
      <c r="AD197" s="54"/>
      <c r="AG197" s="54"/>
      <c r="AH197" s="54"/>
      <c r="AI197" s="54"/>
    </row>
    <row r="198" spans="18:35" x14ac:dyDescent="0.35">
      <c r="R198" s="54"/>
      <c r="S198" s="54"/>
      <c r="T198" s="54"/>
      <c r="W198" s="54"/>
      <c r="X198" s="54"/>
      <c r="Y198" s="54"/>
      <c r="AB198" s="54"/>
      <c r="AC198" s="54"/>
      <c r="AD198" s="54"/>
      <c r="AG198" s="54"/>
      <c r="AH198" s="54"/>
      <c r="AI198" s="54"/>
    </row>
    <row r="199" spans="18:35" x14ac:dyDescent="0.35">
      <c r="R199" s="54"/>
      <c r="S199" s="54"/>
      <c r="T199" s="54"/>
      <c r="W199" s="54"/>
      <c r="X199" s="54"/>
      <c r="Y199" s="54"/>
      <c r="AB199" s="54"/>
      <c r="AC199" s="54"/>
      <c r="AD199" s="54"/>
      <c r="AG199" s="54"/>
      <c r="AH199" s="54"/>
      <c r="AI199" s="54"/>
    </row>
    <row r="200" spans="18:35" x14ac:dyDescent="0.35">
      <c r="R200" s="54"/>
      <c r="S200" s="54"/>
      <c r="T200" s="54"/>
      <c r="W200" s="54"/>
      <c r="X200" s="54"/>
      <c r="Y200" s="54"/>
      <c r="AB200" s="54"/>
      <c r="AC200" s="54"/>
      <c r="AD200" s="54"/>
      <c r="AG200" s="54"/>
      <c r="AH200" s="54"/>
      <c r="AI200" s="54"/>
    </row>
    <row r="201" spans="18:35" x14ac:dyDescent="0.35">
      <c r="R201" s="54"/>
      <c r="S201" s="54"/>
      <c r="T201" s="54"/>
      <c r="W201" s="54"/>
      <c r="X201" s="54"/>
      <c r="Y201" s="54"/>
      <c r="AB201" s="54"/>
      <c r="AC201" s="54"/>
      <c r="AD201" s="54"/>
      <c r="AG201" s="54"/>
      <c r="AH201" s="54"/>
      <c r="AI201" s="54"/>
    </row>
    <row r="202" spans="18:35" x14ac:dyDescent="0.35">
      <c r="R202" s="54"/>
      <c r="S202" s="54"/>
      <c r="T202" s="54"/>
      <c r="W202" s="54"/>
      <c r="X202" s="54"/>
      <c r="Y202" s="54"/>
      <c r="AB202" s="54"/>
      <c r="AC202" s="54"/>
      <c r="AD202" s="54"/>
      <c r="AG202" s="54"/>
      <c r="AH202" s="54"/>
      <c r="AI202" s="54"/>
    </row>
    <row r="203" spans="18:35" x14ac:dyDescent="0.35">
      <c r="R203" s="54"/>
      <c r="S203" s="54"/>
      <c r="T203" s="54"/>
      <c r="W203" s="54"/>
      <c r="X203" s="54"/>
      <c r="Y203" s="54"/>
      <c r="AB203" s="54"/>
      <c r="AC203" s="54"/>
      <c r="AD203" s="54"/>
      <c r="AG203" s="54"/>
      <c r="AH203" s="54"/>
      <c r="AI203" s="54"/>
    </row>
    <row r="204" spans="18:35" x14ac:dyDescent="0.35">
      <c r="R204" s="54"/>
      <c r="S204" s="54"/>
      <c r="T204" s="54"/>
      <c r="W204" s="54"/>
      <c r="X204" s="54"/>
      <c r="Y204" s="54"/>
      <c r="AB204" s="54"/>
      <c r="AC204" s="54"/>
      <c r="AD204" s="54"/>
      <c r="AG204" s="54"/>
      <c r="AH204" s="54"/>
      <c r="AI204" s="54"/>
    </row>
    <row r="205" spans="18:35" x14ac:dyDescent="0.35">
      <c r="R205" s="54"/>
      <c r="S205" s="54"/>
      <c r="T205" s="54"/>
      <c r="W205" s="54"/>
      <c r="X205" s="54"/>
      <c r="Y205" s="54"/>
      <c r="AB205" s="54"/>
      <c r="AC205" s="54"/>
      <c r="AD205" s="54"/>
      <c r="AG205" s="54"/>
      <c r="AH205" s="54"/>
      <c r="AI205" s="54"/>
    </row>
    <row r="206" spans="18:35" x14ac:dyDescent="0.35">
      <c r="R206" s="54"/>
      <c r="S206" s="54"/>
      <c r="T206" s="54"/>
      <c r="W206" s="54"/>
      <c r="X206" s="54"/>
      <c r="Y206" s="54"/>
      <c r="AB206" s="54"/>
      <c r="AC206" s="54"/>
      <c r="AD206" s="54"/>
      <c r="AG206" s="54"/>
      <c r="AH206" s="54"/>
      <c r="AI206" s="54"/>
    </row>
    <row r="207" spans="18:35" x14ac:dyDescent="0.35">
      <c r="R207" s="54"/>
      <c r="S207" s="54"/>
      <c r="T207" s="54"/>
      <c r="W207" s="54"/>
      <c r="X207" s="54"/>
      <c r="Y207" s="54"/>
      <c r="AB207" s="54"/>
      <c r="AC207" s="54"/>
      <c r="AD207" s="54"/>
      <c r="AG207" s="54"/>
      <c r="AH207" s="54"/>
      <c r="AI207" s="54"/>
    </row>
    <row r="208" spans="18:35" x14ac:dyDescent="0.35">
      <c r="R208" s="54"/>
      <c r="S208" s="54"/>
      <c r="T208" s="54"/>
      <c r="W208" s="54"/>
      <c r="X208" s="54"/>
      <c r="Y208" s="54"/>
      <c r="AB208" s="54"/>
      <c r="AC208" s="54"/>
      <c r="AD208" s="54"/>
      <c r="AG208" s="54"/>
      <c r="AH208" s="54"/>
      <c r="AI208" s="54"/>
    </row>
    <row r="209" spans="18:35" x14ac:dyDescent="0.35">
      <c r="R209" s="54"/>
      <c r="S209" s="54"/>
      <c r="T209" s="54"/>
      <c r="W209" s="54"/>
      <c r="X209" s="54"/>
      <c r="Y209" s="54"/>
      <c r="AB209" s="54"/>
      <c r="AC209" s="54"/>
      <c r="AD209" s="54"/>
      <c r="AG209" s="54"/>
      <c r="AH209" s="54"/>
      <c r="AI209" s="54"/>
    </row>
    <row r="210" spans="18:35" x14ac:dyDescent="0.35">
      <c r="R210" s="54"/>
      <c r="S210" s="54"/>
      <c r="T210" s="54"/>
      <c r="W210" s="54"/>
      <c r="X210" s="54"/>
      <c r="Y210" s="54"/>
      <c r="AB210" s="54"/>
      <c r="AC210" s="54"/>
      <c r="AD210" s="54"/>
      <c r="AG210" s="54"/>
      <c r="AH210" s="54"/>
      <c r="AI210" s="54"/>
    </row>
    <row r="211" spans="18:35" x14ac:dyDescent="0.35">
      <c r="R211" s="54"/>
      <c r="S211" s="54"/>
      <c r="T211" s="54"/>
      <c r="W211" s="54"/>
      <c r="X211" s="54"/>
      <c r="Y211" s="54"/>
      <c r="AB211" s="54"/>
      <c r="AC211" s="54"/>
      <c r="AD211" s="54"/>
      <c r="AG211" s="54"/>
      <c r="AH211" s="54"/>
      <c r="AI211" s="54"/>
    </row>
    <row r="212" spans="18:35" x14ac:dyDescent="0.35">
      <c r="R212" s="54"/>
      <c r="S212" s="54"/>
      <c r="T212" s="54"/>
      <c r="W212" s="54"/>
      <c r="X212" s="54"/>
      <c r="Y212" s="54"/>
      <c r="AB212" s="54"/>
      <c r="AC212" s="54"/>
      <c r="AD212" s="54"/>
      <c r="AG212" s="54"/>
      <c r="AH212" s="54"/>
      <c r="AI212" s="54"/>
    </row>
    <row r="213" spans="18:35" x14ac:dyDescent="0.35">
      <c r="R213" s="54"/>
      <c r="S213" s="54"/>
      <c r="T213" s="54"/>
      <c r="W213" s="54"/>
      <c r="X213" s="54"/>
      <c r="Y213" s="54"/>
      <c r="AB213" s="54"/>
      <c r="AC213" s="54"/>
      <c r="AD213" s="54"/>
      <c r="AG213" s="54"/>
      <c r="AH213" s="54"/>
      <c r="AI213" s="54"/>
    </row>
    <row r="214" spans="18:35" x14ac:dyDescent="0.35">
      <c r="R214" s="54"/>
      <c r="S214" s="54"/>
      <c r="T214" s="54"/>
      <c r="W214" s="54"/>
      <c r="X214" s="54"/>
      <c r="Y214" s="54"/>
      <c r="AB214" s="54"/>
      <c r="AC214" s="54"/>
      <c r="AD214" s="54"/>
      <c r="AG214" s="54"/>
      <c r="AH214" s="54"/>
      <c r="AI214" s="54"/>
    </row>
    <row r="215" spans="18:35" x14ac:dyDescent="0.35">
      <c r="R215" s="54"/>
      <c r="S215" s="54"/>
      <c r="T215" s="54"/>
      <c r="W215" s="54"/>
      <c r="X215" s="54"/>
      <c r="Y215" s="54"/>
      <c r="AB215" s="54"/>
      <c r="AC215" s="54"/>
      <c r="AD215" s="54"/>
      <c r="AG215" s="54"/>
      <c r="AH215" s="54"/>
      <c r="AI215" s="54"/>
    </row>
    <row r="216" spans="18:35" x14ac:dyDescent="0.35">
      <c r="R216" s="54"/>
      <c r="S216" s="54"/>
      <c r="T216" s="54"/>
      <c r="W216" s="54"/>
      <c r="X216" s="54"/>
      <c r="Y216" s="54"/>
      <c r="AB216" s="54"/>
      <c r="AC216" s="54"/>
      <c r="AD216" s="54"/>
      <c r="AG216" s="54"/>
      <c r="AH216" s="54"/>
      <c r="AI216" s="54"/>
    </row>
    <row r="217" spans="18:35" x14ac:dyDescent="0.35">
      <c r="R217" s="54"/>
      <c r="S217" s="54"/>
      <c r="T217" s="54"/>
      <c r="W217" s="54"/>
      <c r="X217" s="54"/>
      <c r="Y217" s="54"/>
      <c r="AB217" s="54"/>
      <c r="AC217" s="54"/>
      <c r="AD217" s="54"/>
      <c r="AG217" s="54"/>
      <c r="AH217" s="54"/>
      <c r="AI217" s="54"/>
    </row>
    <row r="218" spans="18:35" x14ac:dyDescent="0.35">
      <c r="R218" s="54"/>
      <c r="S218" s="54"/>
      <c r="T218" s="54"/>
      <c r="W218" s="54"/>
      <c r="X218" s="54"/>
      <c r="Y218" s="54"/>
      <c r="AB218" s="54"/>
      <c r="AC218" s="54"/>
      <c r="AD218" s="54"/>
      <c r="AG218" s="54"/>
      <c r="AH218" s="54"/>
      <c r="AI218" s="54"/>
    </row>
    <row r="219" spans="18:35" x14ac:dyDescent="0.35">
      <c r="R219" s="54"/>
      <c r="S219" s="54"/>
      <c r="T219" s="54"/>
      <c r="W219" s="54"/>
      <c r="X219" s="54"/>
      <c r="Y219" s="54"/>
      <c r="AB219" s="54"/>
      <c r="AC219" s="54"/>
      <c r="AD219" s="54"/>
      <c r="AG219" s="54"/>
      <c r="AH219" s="54"/>
      <c r="AI219" s="54"/>
    </row>
    <row r="220" spans="18:35" x14ac:dyDescent="0.35">
      <c r="R220" s="54"/>
      <c r="S220" s="54"/>
      <c r="T220" s="54"/>
      <c r="W220" s="54"/>
      <c r="X220" s="54"/>
      <c r="Y220" s="54"/>
      <c r="AB220" s="54"/>
      <c r="AC220" s="54"/>
      <c r="AD220" s="54"/>
      <c r="AG220" s="54"/>
      <c r="AH220" s="54"/>
      <c r="AI220" s="54"/>
    </row>
    <row r="221" spans="18:35" x14ac:dyDescent="0.35">
      <c r="R221" s="54"/>
      <c r="S221" s="54"/>
      <c r="T221" s="54"/>
      <c r="W221" s="54"/>
      <c r="X221" s="54"/>
      <c r="Y221" s="54"/>
      <c r="AB221" s="54"/>
      <c r="AC221" s="54"/>
      <c r="AD221" s="54"/>
      <c r="AG221" s="54"/>
      <c r="AH221" s="54"/>
      <c r="AI221" s="54"/>
    </row>
    <row r="222" spans="18:35" x14ac:dyDescent="0.35">
      <c r="R222" s="54"/>
      <c r="S222" s="54"/>
      <c r="T222" s="54"/>
      <c r="W222" s="54"/>
      <c r="X222" s="54"/>
      <c r="Y222" s="54"/>
      <c r="AB222" s="54"/>
      <c r="AC222" s="54"/>
      <c r="AD222" s="54"/>
      <c r="AG222" s="54"/>
      <c r="AH222" s="54"/>
      <c r="AI222" s="54"/>
    </row>
    <row r="223" spans="18:35" x14ac:dyDescent="0.35">
      <c r="R223" s="54"/>
      <c r="S223" s="54"/>
      <c r="T223" s="54"/>
      <c r="W223" s="54"/>
      <c r="X223" s="54"/>
      <c r="Y223" s="54"/>
      <c r="AB223" s="54"/>
      <c r="AC223" s="54"/>
      <c r="AD223" s="54"/>
      <c r="AG223" s="54"/>
      <c r="AH223" s="54"/>
      <c r="AI223" s="54"/>
    </row>
    <row r="224" spans="18:35" x14ac:dyDescent="0.35">
      <c r="R224" s="54"/>
      <c r="S224" s="54"/>
      <c r="T224" s="54"/>
      <c r="W224" s="54"/>
      <c r="X224" s="54"/>
      <c r="Y224" s="54"/>
      <c r="AB224" s="54"/>
      <c r="AC224" s="54"/>
      <c r="AD224" s="54"/>
      <c r="AG224" s="54"/>
      <c r="AH224" s="54"/>
      <c r="AI224" s="54"/>
    </row>
    <row r="225" spans="18:35" x14ac:dyDescent="0.35">
      <c r="R225" s="54"/>
      <c r="S225" s="54"/>
      <c r="T225" s="54"/>
      <c r="W225" s="54"/>
      <c r="X225" s="54"/>
      <c r="Y225" s="54"/>
      <c r="AB225" s="54"/>
      <c r="AC225" s="54"/>
      <c r="AD225" s="54"/>
      <c r="AG225" s="54"/>
      <c r="AH225" s="54"/>
      <c r="AI225" s="54"/>
    </row>
    <row r="226" spans="18:35" x14ac:dyDescent="0.35">
      <c r="R226" s="54"/>
      <c r="S226" s="54"/>
      <c r="T226" s="54"/>
      <c r="W226" s="54"/>
      <c r="X226" s="54"/>
      <c r="Y226" s="54"/>
      <c r="AB226" s="54"/>
      <c r="AC226" s="54"/>
      <c r="AD226" s="54"/>
      <c r="AG226" s="54"/>
      <c r="AH226" s="54"/>
      <c r="AI226" s="54"/>
    </row>
    <row r="227" spans="18:35" x14ac:dyDescent="0.35">
      <c r="R227" s="54"/>
      <c r="S227" s="54"/>
      <c r="T227" s="54"/>
      <c r="W227" s="54"/>
      <c r="X227" s="54"/>
      <c r="Y227" s="54"/>
      <c r="AB227" s="54"/>
      <c r="AC227" s="54"/>
      <c r="AD227" s="54"/>
      <c r="AG227" s="54"/>
      <c r="AH227" s="54"/>
      <c r="AI227" s="54"/>
    </row>
    <row r="228" spans="18:35" x14ac:dyDescent="0.35">
      <c r="R228" s="54"/>
      <c r="S228" s="54"/>
      <c r="T228" s="54"/>
      <c r="W228" s="54"/>
      <c r="X228" s="54"/>
      <c r="Y228" s="54"/>
      <c r="AB228" s="54"/>
      <c r="AC228" s="54"/>
      <c r="AD228" s="54"/>
      <c r="AG228" s="54"/>
      <c r="AH228" s="54"/>
      <c r="AI228" s="54"/>
    </row>
    <row r="229" spans="18:35" x14ac:dyDescent="0.35">
      <c r="R229" s="54"/>
      <c r="S229" s="54"/>
      <c r="T229" s="54"/>
      <c r="W229" s="54"/>
      <c r="X229" s="54"/>
      <c r="Y229" s="54"/>
      <c r="AB229" s="54"/>
      <c r="AC229" s="54"/>
      <c r="AD229" s="54"/>
      <c r="AG229" s="54"/>
      <c r="AH229" s="54"/>
      <c r="AI229" s="54"/>
    </row>
    <row r="230" spans="18:35" x14ac:dyDescent="0.35">
      <c r="R230" s="54"/>
      <c r="S230" s="54"/>
      <c r="T230" s="54"/>
      <c r="W230" s="54"/>
      <c r="X230" s="54"/>
      <c r="Y230" s="54"/>
      <c r="AB230" s="54"/>
      <c r="AC230" s="54"/>
      <c r="AD230" s="54"/>
      <c r="AG230" s="54"/>
      <c r="AH230" s="54"/>
      <c r="AI230" s="54"/>
    </row>
    <row r="231" spans="18:35" x14ac:dyDescent="0.35">
      <c r="R231" s="54"/>
      <c r="S231" s="54"/>
      <c r="T231" s="54"/>
      <c r="W231" s="54"/>
      <c r="X231" s="54"/>
      <c r="Y231" s="54"/>
      <c r="AB231" s="54"/>
      <c r="AC231" s="54"/>
      <c r="AD231" s="54"/>
      <c r="AG231" s="54"/>
      <c r="AH231" s="54"/>
      <c r="AI231" s="54"/>
    </row>
    <row r="232" spans="18:35" x14ac:dyDescent="0.35">
      <c r="R232" s="54"/>
      <c r="S232" s="54"/>
      <c r="T232" s="54"/>
      <c r="W232" s="54"/>
      <c r="X232" s="54"/>
      <c r="Y232" s="54"/>
      <c r="AB232" s="54"/>
      <c r="AC232" s="54"/>
      <c r="AD232" s="54"/>
      <c r="AG232" s="54"/>
      <c r="AH232" s="54"/>
      <c r="AI232" s="54"/>
    </row>
    <row r="233" spans="18:35" x14ac:dyDescent="0.35">
      <c r="R233" s="54"/>
      <c r="S233" s="54"/>
      <c r="T233" s="54"/>
      <c r="W233" s="54"/>
      <c r="X233" s="54"/>
      <c r="Y233" s="54"/>
      <c r="AB233" s="54"/>
      <c r="AC233" s="54"/>
      <c r="AD233" s="54"/>
      <c r="AG233" s="54"/>
      <c r="AH233" s="54"/>
      <c r="AI233" s="54"/>
    </row>
    <row r="234" spans="18:35" x14ac:dyDescent="0.35">
      <c r="R234" s="54"/>
      <c r="S234" s="54"/>
      <c r="T234" s="54"/>
      <c r="W234" s="54"/>
      <c r="X234" s="54"/>
      <c r="Y234" s="54"/>
      <c r="AB234" s="54"/>
      <c r="AC234" s="54"/>
      <c r="AD234" s="54"/>
      <c r="AG234" s="54"/>
      <c r="AH234" s="54"/>
      <c r="AI234" s="54"/>
    </row>
    <row r="235" spans="18:35" x14ac:dyDescent="0.35">
      <c r="R235" s="54"/>
      <c r="S235" s="54"/>
      <c r="T235" s="54"/>
      <c r="W235" s="54"/>
      <c r="X235" s="54"/>
      <c r="Y235" s="54"/>
      <c r="AB235" s="54"/>
      <c r="AC235" s="54"/>
      <c r="AD235" s="54"/>
      <c r="AG235" s="54"/>
      <c r="AH235" s="54"/>
      <c r="AI235" s="54"/>
    </row>
    <row r="236" spans="18:35" x14ac:dyDescent="0.35">
      <c r="R236" s="54"/>
      <c r="S236" s="54"/>
      <c r="T236" s="54"/>
      <c r="W236" s="54"/>
      <c r="X236" s="54"/>
      <c r="Y236" s="54"/>
      <c r="AB236" s="54"/>
      <c r="AC236" s="54"/>
      <c r="AD236" s="54"/>
      <c r="AG236" s="54"/>
      <c r="AH236" s="54"/>
      <c r="AI236" s="54"/>
    </row>
    <row r="237" spans="18:35" x14ac:dyDescent="0.35">
      <c r="R237" s="54"/>
      <c r="S237" s="54"/>
      <c r="T237" s="54"/>
      <c r="W237" s="54"/>
      <c r="X237" s="54"/>
      <c r="Y237" s="54"/>
      <c r="AB237" s="54"/>
      <c r="AC237" s="54"/>
      <c r="AD237" s="54"/>
      <c r="AG237" s="54"/>
      <c r="AH237" s="54"/>
      <c r="AI237" s="54"/>
    </row>
    <row r="238" spans="18:35" x14ac:dyDescent="0.35">
      <c r="R238" s="54"/>
      <c r="S238" s="54"/>
      <c r="T238" s="54"/>
      <c r="W238" s="54"/>
      <c r="X238" s="54"/>
      <c r="Y238" s="54"/>
      <c r="AB238" s="54"/>
      <c r="AC238" s="54"/>
      <c r="AD238" s="54"/>
      <c r="AG238" s="54"/>
      <c r="AH238" s="54"/>
      <c r="AI238" s="54"/>
    </row>
    <row r="239" spans="18:35" x14ac:dyDescent="0.35">
      <c r="R239" s="54"/>
      <c r="S239" s="54"/>
      <c r="T239" s="54"/>
      <c r="W239" s="54"/>
      <c r="X239" s="54"/>
      <c r="Y239" s="54"/>
      <c r="AB239" s="54"/>
      <c r="AC239" s="54"/>
      <c r="AD239" s="54"/>
      <c r="AG239" s="54"/>
      <c r="AH239" s="54"/>
      <c r="AI239" s="54"/>
    </row>
    <row r="240" spans="18:35" x14ac:dyDescent="0.35">
      <c r="R240" s="54"/>
      <c r="S240" s="54"/>
      <c r="T240" s="54"/>
      <c r="W240" s="54"/>
      <c r="X240" s="54"/>
      <c r="Y240" s="54"/>
      <c r="AB240" s="54"/>
      <c r="AC240" s="54"/>
      <c r="AD240" s="54"/>
      <c r="AG240" s="54"/>
      <c r="AH240" s="54"/>
      <c r="AI240" s="54"/>
    </row>
    <row r="241" spans="18:35" x14ac:dyDescent="0.35">
      <c r="R241" s="54"/>
      <c r="S241" s="54"/>
      <c r="T241" s="54"/>
      <c r="W241" s="54"/>
      <c r="X241" s="54"/>
      <c r="Y241" s="54"/>
      <c r="AB241" s="54"/>
      <c r="AC241" s="54"/>
      <c r="AD241" s="54"/>
      <c r="AG241" s="54"/>
      <c r="AH241" s="54"/>
      <c r="AI241" s="54"/>
    </row>
    <row r="242" spans="18:35" x14ac:dyDescent="0.35">
      <c r="R242" s="54"/>
      <c r="S242" s="54"/>
      <c r="T242" s="54"/>
      <c r="W242" s="54"/>
      <c r="X242" s="54"/>
      <c r="Y242" s="54"/>
      <c r="AB242" s="54"/>
      <c r="AC242" s="54"/>
      <c r="AD242" s="54"/>
      <c r="AG242" s="54"/>
      <c r="AH242" s="54"/>
      <c r="AI242" s="54"/>
    </row>
    <row r="243" spans="18:35" x14ac:dyDescent="0.35">
      <c r="R243" s="54"/>
      <c r="S243" s="54"/>
      <c r="T243" s="54"/>
      <c r="W243" s="54"/>
      <c r="X243" s="54"/>
      <c r="Y243" s="54"/>
      <c r="AB243" s="54"/>
      <c r="AC243" s="54"/>
      <c r="AD243" s="54"/>
      <c r="AG243" s="54"/>
      <c r="AH243" s="54"/>
      <c r="AI243" s="54"/>
    </row>
    <row r="244" spans="18:35" x14ac:dyDescent="0.35">
      <c r="R244" s="54"/>
      <c r="S244" s="54"/>
      <c r="T244" s="54"/>
      <c r="W244" s="54"/>
      <c r="X244" s="54"/>
      <c r="Y244" s="54"/>
      <c r="AB244" s="54"/>
      <c r="AC244" s="54"/>
      <c r="AD244" s="54"/>
      <c r="AG244" s="54"/>
      <c r="AH244" s="54"/>
      <c r="AI244" s="54"/>
    </row>
    <row r="245" spans="18:35" x14ac:dyDescent="0.35">
      <c r="R245" s="54"/>
      <c r="S245" s="54"/>
      <c r="T245" s="54"/>
      <c r="W245" s="54"/>
      <c r="X245" s="54"/>
      <c r="Y245" s="54"/>
      <c r="AB245" s="54"/>
      <c r="AC245" s="54"/>
      <c r="AD245" s="54"/>
      <c r="AG245" s="54"/>
      <c r="AH245" s="54"/>
      <c r="AI245" s="54"/>
    </row>
    <row r="246" spans="18:35" x14ac:dyDescent="0.35">
      <c r="R246" s="54"/>
      <c r="S246" s="54"/>
      <c r="T246" s="54"/>
      <c r="W246" s="54"/>
      <c r="X246" s="54"/>
      <c r="Y246" s="54"/>
      <c r="AB246" s="54"/>
      <c r="AC246" s="54"/>
      <c r="AD246" s="54"/>
      <c r="AG246" s="54"/>
      <c r="AH246" s="54"/>
      <c r="AI246" s="54"/>
    </row>
    <row r="247" spans="18:35" x14ac:dyDescent="0.35">
      <c r="R247" s="54"/>
      <c r="S247" s="54"/>
      <c r="T247" s="54"/>
      <c r="W247" s="54"/>
      <c r="X247" s="54"/>
      <c r="Y247" s="54"/>
      <c r="AB247" s="54"/>
      <c r="AC247" s="54"/>
      <c r="AD247" s="54"/>
      <c r="AG247" s="54"/>
      <c r="AH247" s="54"/>
      <c r="AI247" s="54"/>
    </row>
    <row r="248" spans="18:35" x14ac:dyDescent="0.35">
      <c r="R248" s="54"/>
      <c r="S248" s="54"/>
      <c r="T248" s="54"/>
      <c r="W248" s="54"/>
      <c r="X248" s="54"/>
      <c r="Y248" s="54"/>
      <c r="AB248" s="54"/>
      <c r="AC248" s="54"/>
      <c r="AD248" s="54"/>
      <c r="AG248" s="54"/>
      <c r="AH248" s="54"/>
      <c r="AI248" s="54"/>
    </row>
    <row r="249" spans="18:35" x14ac:dyDescent="0.35">
      <c r="R249" s="54"/>
      <c r="S249" s="54"/>
      <c r="T249" s="54"/>
      <c r="W249" s="54"/>
      <c r="X249" s="54"/>
      <c r="Y249" s="54"/>
      <c r="AB249" s="54"/>
      <c r="AC249" s="54"/>
      <c r="AD249" s="54"/>
      <c r="AG249" s="54"/>
      <c r="AH249" s="54"/>
      <c r="AI249" s="54"/>
    </row>
    <row r="250" spans="18:35" x14ac:dyDescent="0.35">
      <c r="R250" s="54"/>
      <c r="S250" s="54"/>
      <c r="T250" s="54"/>
      <c r="W250" s="54"/>
      <c r="X250" s="54"/>
      <c r="Y250" s="54"/>
      <c r="AB250" s="54"/>
      <c r="AC250" s="54"/>
      <c r="AD250" s="54"/>
      <c r="AG250" s="54"/>
      <c r="AH250" s="54"/>
      <c r="AI250" s="54"/>
    </row>
    <row r="251" spans="18:35" x14ac:dyDescent="0.35">
      <c r="R251" s="54"/>
      <c r="S251" s="54"/>
      <c r="T251" s="54"/>
      <c r="W251" s="54"/>
      <c r="X251" s="54"/>
      <c r="Y251" s="54"/>
      <c r="AB251" s="54"/>
      <c r="AC251" s="54"/>
      <c r="AD251" s="54"/>
      <c r="AG251" s="54"/>
      <c r="AH251" s="54"/>
      <c r="AI251" s="54"/>
    </row>
    <row r="252" spans="18:35" x14ac:dyDescent="0.35">
      <c r="R252" s="54"/>
      <c r="S252" s="54"/>
      <c r="T252" s="54"/>
      <c r="W252" s="54"/>
      <c r="X252" s="54"/>
      <c r="Y252" s="54"/>
      <c r="AB252" s="54"/>
      <c r="AC252" s="54"/>
      <c r="AD252" s="54"/>
      <c r="AG252" s="54"/>
      <c r="AH252" s="54"/>
      <c r="AI252" s="54"/>
    </row>
    <row r="253" spans="18:35" x14ac:dyDescent="0.35">
      <c r="R253" s="54"/>
      <c r="S253" s="54"/>
      <c r="T253" s="54"/>
      <c r="W253" s="54"/>
      <c r="X253" s="54"/>
      <c r="Y253" s="54"/>
      <c r="AB253" s="54"/>
      <c r="AC253" s="54"/>
      <c r="AD253" s="54"/>
      <c r="AG253" s="54"/>
      <c r="AH253" s="54"/>
      <c r="AI253" s="54"/>
    </row>
    <row r="254" spans="18:35" x14ac:dyDescent="0.35">
      <c r="R254" s="54"/>
      <c r="S254" s="54"/>
      <c r="T254" s="54"/>
      <c r="W254" s="54"/>
      <c r="X254" s="54"/>
      <c r="Y254" s="54"/>
      <c r="AB254" s="54"/>
      <c r="AC254" s="54"/>
      <c r="AD254" s="54"/>
      <c r="AG254" s="54"/>
      <c r="AH254" s="54"/>
      <c r="AI254" s="54"/>
    </row>
    <row r="255" spans="18:35" x14ac:dyDescent="0.35">
      <c r="R255" s="54"/>
      <c r="S255" s="54"/>
      <c r="T255" s="54"/>
      <c r="W255" s="54"/>
      <c r="X255" s="54"/>
      <c r="Y255" s="54"/>
      <c r="AB255" s="54"/>
      <c r="AC255" s="54"/>
      <c r="AD255" s="54"/>
      <c r="AG255" s="54"/>
      <c r="AH255" s="54"/>
      <c r="AI255" s="54"/>
    </row>
    <row r="256" spans="18:35" x14ac:dyDescent="0.35">
      <c r="R256" s="54"/>
      <c r="S256" s="54"/>
      <c r="T256" s="54"/>
      <c r="W256" s="54"/>
      <c r="X256" s="54"/>
      <c r="Y256" s="54"/>
      <c r="AB256" s="54"/>
      <c r="AC256" s="54"/>
      <c r="AD256" s="54"/>
      <c r="AG256" s="54"/>
      <c r="AH256" s="54"/>
      <c r="AI256" s="54"/>
    </row>
    <row r="257" spans="18:35" x14ac:dyDescent="0.35">
      <c r="R257" s="54"/>
      <c r="S257" s="54"/>
      <c r="T257" s="54"/>
      <c r="W257" s="54"/>
      <c r="X257" s="54"/>
      <c r="Y257" s="54"/>
      <c r="AB257" s="54"/>
      <c r="AC257" s="54"/>
      <c r="AD257" s="54"/>
      <c r="AG257" s="54"/>
      <c r="AH257" s="54"/>
      <c r="AI257" s="54"/>
    </row>
    <row r="258" spans="18:35" x14ac:dyDescent="0.35">
      <c r="R258" s="54"/>
      <c r="S258" s="54"/>
      <c r="T258" s="54"/>
      <c r="W258" s="54"/>
      <c r="X258" s="54"/>
      <c r="Y258" s="54"/>
      <c r="AB258" s="54"/>
      <c r="AC258" s="54"/>
      <c r="AD258" s="54"/>
      <c r="AG258" s="54"/>
      <c r="AH258" s="54"/>
      <c r="AI258" s="54"/>
    </row>
    <row r="259" spans="18:35" x14ac:dyDescent="0.35">
      <c r="R259" s="54"/>
      <c r="S259" s="54"/>
      <c r="T259" s="54"/>
      <c r="W259" s="54"/>
      <c r="X259" s="54"/>
      <c r="Y259" s="54"/>
      <c r="AB259" s="54"/>
      <c r="AC259" s="54"/>
      <c r="AD259" s="54"/>
      <c r="AG259" s="54"/>
      <c r="AH259" s="54"/>
      <c r="AI259" s="54"/>
    </row>
    <row r="260" spans="18:35" x14ac:dyDescent="0.35">
      <c r="R260" s="54"/>
      <c r="S260" s="54"/>
      <c r="T260" s="54"/>
      <c r="W260" s="54"/>
      <c r="X260" s="54"/>
      <c r="Y260" s="54"/>
      <c r="AB260" s="54"/>
      <c r="AC260" s="54"/>
      <c r="AD260" s="54"/>
      <c r="AG260" s="54"/>
      <c r="AH260" s="54"/>
      <c r="AI260" s="54"/>
    </row>
    <row r="261" spans="18:35" x14ac:dyDescent="0.35">
      <c r="R261" s="54"/>
      <c r="S261" s="54"/>
      <c r="T261" s="54"/>
      <c r="W261" s="54"/>
      <c r="X261" s="54"/>
      <c r="Y261" s="54"/>
      <c r="AB261" s="54"/>
      <c r="AC261" s="54"/>
      <c r="AD261" s="54"/>
      <c r="AG261" s="54"/>
      <c r="AH261" s="54"/>
      <c r="AI261" s="54"/>
    </row>
    <row r="262" spans="18:35" x14ac:dyDescent="0.35">
      <c r="R262" s="54"/>
      <c r="S262" s="54"/>
      <c r="T262" s="54"/>
      <c r="W262" s="54"/>
      <c r="X262" s="54"/>
      <c r="Y262" s="54"/>
      <c r="AB262" s="54"/>
      <c r="AC262" s="54"/>
      <c r="AD262" s="54"/>
      <c r="AG262" s="54"/>
      <c r="AH262" s="54"/>
      <c r="AI262" s="54"/>
    </row>
    <row r="263" spans="18:35" x14ac:dyDescent="0.35">
      <c r="R263" s="54"/>
      <c r="S263" s="54"/>
      <c r="T263" s="54"/>
      <c r="W263" s="54"/>
      <c r="X263" s="54"/>
      <c r="Y263" s="54"/>
      <c r="AB263" s="54"/>
      <c r="AC263" s="54"/>
      <c r="AD263" s="54"/>
      <c r="AG263" s="54"/>
      <c r="AH263" s="54"/>
      <c r="AI263" s="54"/>
    </row>
    <row r="264" spans="18:35" x14ac:dyDescent="0.35">
      <c r="R264" s="54"/>
      <c r="S264" s="54"/>
      <c r="T264" s="54"/>
      <c r="W264" s="54"/>
      <c r="X264" s="54"/>
      <c r="Y264" s="54"/>
      <c r="AB264" s="54"/>
      <c r="AC264" s="54"/>
      <c r="AD264" s="54"/>
      <c r="AG264" s="54"/>
      <c r="AH264" s="54"/>
      <c r="AI264" s="54"/>
    </row>
    <row r="265" spans="18:35" x14ac:dyDescent="0.35">
      <c r="R265" s="54"/>
      <c r="S265" s="54"/>
      <c r="T265" s="54"/>
      <c r="W265" s="54"/>
      <c r="X265" s="54"/>
      <c r="Y265" s="54"/>
      <c r="AB265" s="54"/>
      <c r="AC265" s="54"/>
      <c r="AD265" s="54"/>
      <c r="AG265" s="54"/>
      <c r="AH265" s="54"/>
      <c r="AI265" s="54"/>
    </row>
    <row r="266" spans="18:35" x14ac:dyDescent="0.35">
      <c r="R266" s="54"/>
      <c r="S266" s="54"/>
      <c r="T266" s="54"/>
      <c r="W266" s="54"/>
      <c r="X266" s="54"/>
      <c r="Y266" s="54"/>
      <c r="AB266" s="54"/>
      <c r="AC266" s="54"/>
      <c r="AD266" s="54"/>
      <c r="AG266" s="54"/>
      <c r="AH266" s="54"/>
      <c r="AI266" s="54"/>
    </row>
    <row r="267" spans="18:35" x14ac:dyDescent="0.35">
      <c r="R267" s="54"/>
      <c r="S267" s="54"/>
      <c r="T267" s="54"/>
      <c r="W267" s="54"/>
      <c r="X267" s="54"/>
      <c r="Y267" s="54"/>
      <c r="AB267" s="54"/>
      <c r="AC267" s="54"/>
      <c r="AD267" s="54"/>
      <c r="AG267" s="54"/>
      <c r="AH267" s="54"/>
      <c r="AI267" s="54"/>
    </row>
    <row r="268" spans="18:35" x14ac:dyDescent="0.35">
      <c r="R268" s="54"/>
      <c r="S268" s="54"/>
      <c r="T268" s="54"/>
      <c r="W268" s="54"/>
      <c r="X268" s="54"/>
      <c r="Y268" s="54"/>
      <c r="AB268" s="54"/>
      <c r="AC268" s="54"/>
      <c r="AD268" s="54"/>
      <c r="AG268" s="54"/>
      <c r="AH268" s="54"/>
      <c r="AI268" s="54"/>
    </row>
    <row r="269" spans="18:35" x14ac:dyDescent="0.35">
      <c r="R269" s="54"/>
      <c r="S269" s="54"/>
      <c r="T269" s="54"/>
      <c r="W269" s="54"/>
      <c r="X269" s="54"/>
      <c r="Y269" s="54"/>
      <c r="AB269" s="54"/>
      <c r="AC269" s="54"/>
      <c r="AD269" s="54"/>
      <c r="AG269" s="54"/>
      <c r="AH269" s="54"/>
      <c r="AI269" s="54"/>
    </row>
    <row r="270" spans="18:35" x14ac:dyDescent="0.35">
      <c r="R270" s="54"/>
      <c r="S270" s="54"/>
      <c r="T270" s="54"/>
      <c r="W270" s="54"/>
      <c r="X270" s="54"/>
      <c r="Y270" s="54"/>
      <c r="AB270" s="54"/>
      <c r="AC270" s="54"/>
      <c r="AD270" s="54"/>
      <c r="AG270" s="54"/>
      <c r="AH270" s="54"/>
      <c r="AI270" s="54"/>
    </row>
    <row r="271" spans="18:35" x14ac:dyDescent="0.35">
      <c r="R271" s="54"/>
      <c r="S271" s="54"/>
      <c r="T271" s="54"/>
      <c r="W271" s="54"/>
      <c r="X271" s="54"/>
      <c r="Y271" s="54"/>
      <c r="AB271" s="54"/>
      <c r="AC271" s="54"/>
      <c r="AD271" s="54"/>
      <c r="AG271" s="54"/>
      <c r="AH271" s="54"/>
      <c r="AI271" s="54"/>
    </row>
    <row r="272" spans="18:35" x14ac:dyDescent="0.35">
      <c r="R272" s="54"/>
      <c r="S272" s="54"/>
      <c r="T272" s="54"/>
      <c r="W272" s="54"/>
      <c r="X272" s="54"/>
      <c r="Y272" s="54"/>
      <c r="AB272" s="54"/>
      <c r="AC272" s="54"/>
      <c r="AD272" s="54"/>
      <c r="AG272" s="54"/>
      <c r="AH272" s="54"/>
      <c r="AI272" s="54"/>
    </row>
    <row r="273" spans="18:35" x14ac:dyDescent="0.35">
      <c r="R273" s="54"/>
      <c r="S273" s="54"/>
      <c r="T273" s="54"/>
      <c r="W273" s="54"/>
      <c r="X273" s="54"/>
      <c r="Y273" s="54"/>
      <c r="AB273" s="54"/>
      <c r="AC273" s="54"/>
      <c r="AD273" s="54"/>
      <c r="AG273" s="54"/>
      <c r="AH273" s="54"/>
      <c r="AI273" s="54"/>
    </row>
    <row r="274" spans="18:35" x14ac:dyDescent="0.35">
      <c r="R274" s="54"/>
      <c r="S274" s="54"/>
      <c r="T274" s="54"/>
      <c r="W274" s="54"/>
      <c r="X274" s="54"/>
      <c r="Y274" s="54"/>
      <c r="AB274" s="54"/>
      <c r="AC274" s="54"/>
      <c r="AD274" s="54"/>
      <c r="AG274" s="54"/>
      <c r="AH274" s="54"/>
      <c r="AI274" s="54"/>
    </row>
    <row r="275" spans="18:35" x14ac:dyDescent="0.35">
      <c r="R275" s="54"/>
      <c r="S275" s="54"/>
      <c r="T275" s="54"/>
      <c r="W275" s="54"/>
      <c r="X275" s="54"/>
      <c r="Y275" s="54"/>
      <c r="AB275" s="54"/>
      <c r="AC275" s="54"/>
      <c r="AD275" s="54"/>
      <c r="AG275" s="54"/>
      <c r="AH275" s="54"/>
      <c r="AI275" s="54"/>
    </row>
    <row r="276" spans="18:35" x14ac:dyDescent="0.35">
      <c r="R276" s="54"/>
      <c r="S276" s="54"/>
      <c r="T276" s="54"/>
      <c r="W276" s="54"/>
      <c r="X276" s="54"/>
      <c r="Y276" s="54"/>
      <c r="AB276" s="54"/>
      <c r="AC276" s="54"/>
      <c r="AD276" s="54"/>
      <c r="AG276" s="54"/>
      <c r="AH276" s="54"/>
      <c r="AI276" s="54"/>
    </row>
    <row r="277" spans="18:35" x14ac:dyDescent="0.35">
      <c r="R277" s="54"/>
      <c r="S277" s="54"/>
      <c r="T277" s="54"/>
      <c r="W277" s="54"/>
      <c r="X277" s="54"/>
      <c r="Y277" s="54"/>
      <c r="AB277" s="54"/>
      <c r="AC277" s="54"/>
      <c r="AD277" s="54"/>
      <c r="AG277" s="54"/>
      <c r="AH277" s="54"/>
      <c r="AI277" s="54"/>
    </row>
    <row r="278" spans="18:35" x14ac:dyDescent="0.35">
      <c r="R278" s="54"/>
      <c r="S278" s="54"/>
      <c r="T278" s="54"/>
      <c r="W278" s="54"/>
      <c r="X278" s="54"/>
      <c r="Y278" s="54"/>
      <c r="AB278" s="54"/>
      <c r="AC278" s="54"/>
      <c r="AD278" s="54"/>
      <c r="AG278" s="54"/>
      <c r="AH278" s="54"/>
      <c r="AI278" s="54"/>
    </row>
    <row r="279" spans="18:35" x14ac:dyDescent="0.35">
      <c r="R279" s="54"/>
      <c r="S279" s="54"/>
      <c r="T279" s="54"/>
      <c r="W279" s="54"/>
      <c r="X279" s="54"/>
      <c r="Y279" s="54"/>
      <c r="AB279" s="54"/>
      <c r="AC279" s="54"/>
      <c r="AD279" s="54"/>
      <c r="AG279" s="54"/>
      <c r="AH279" s="54"/>
      <c r="AI279" s="54"/>
    </row>
    <row r="280" spans="18:35" x14ac:dyDescent="0.35">
      <c r="R280" s="54"/>
      <c r="S280" s="54"/>
      <c r="T280" s="54"/>
      <c r="W280" s="54"/>
      <c r="X280" s="54"/>
      <c r="Y280" s="54"/>
      <c r="AB280" s="54"/>
      <c r="AC280" s="54"/>
      <c r="AD280" s="54"/>
      <c r="AG280" s="54"/>
      <c r="AH280" s="54"/>
      <c r="AI280" s="54"/>
    </row>
    <row r="281" spans="18:35" x14ac:dyDescent="0.35">
      <c r="R281" s="54"/>
      <c r="S281" s="54"/>
      <c r="T281" s="54"/>
      <c r="W281" s="54"/>
      <c r="X281" s="54"/>
      <c r="Y281" s="54"/>
      <c r="AB281" s="54"/>
      <c r="AC281" s="54"/>
      <c r="AD281" s="54"/>
      <c r="AG281" s="54"/>
      <c r="AH281" s="54"/>
      <c r="AI281" s="54"/>
    </row>
    <row r="282" spans="18:35" x14ac:dyDescent="0.35">
      <c r="R282" s="54"/>
      <c r="S282" s="54"/>
      <c r="T282" s="54"/>
      <c r="W282" s="54"/>
      <c r="X282" s="54"/>
      <c r="Y282" s="54"/>
      <c r="AB282" s="54"/>
      <c r="AC282" s="54"/>
      <c r="AD282" s="54"/>
      <c r="AG282" s="54"/>
      <c r="AH282" s="54"/>
      <c r="AI282" s="54"/>
    </row>
    <row r="283" spans="18:35" x14ac:dyDescent="0.35">
      <c r="R283" s="54"/>
      <c r="S283" s="54"/>
      <c r="T283" s="54"/>
      <c r="W283" s="54"/>
      <c r="X283" s="54"/>
      <c r="Y283" s="54"/>
      <c r="AB283" s="54"/>
      <c r="AC283" s="54"/>
      <c r="AD283" s="54"/>
      <c r="AG283" s="54"/>
      <c r="AH283" s="54"/>
      <c r="AI283" s="54"/>
    </row>
    <row r="284" spans="18:35" x14ac:dyDescent="0.35">
      <c r="R284" s="54"/>
      <c r="S284" s="54"/>
      <c r="T284" s="54"/>
      <c r="W284" s="54"/>
      <c r="X284" s="54"/>
      <c r="Y284" s="54"/>
      <c r="AB284" s="54"/>
      <c r="AC284" s="54"/>
      <c r="AD284" s="54"/>
      <c r="AG284" s="54"/>
      <c r="AH284" s="54"/>
      <c r="AI284" s="54"/>
    </row>
    <row r="285" spans="18:35" x14ac:dyDescent="0.35">
      <c r="R285" s="54"/>
      <c r="S285" s="54"/>
      <c r="T285" s="54"/>
      <c r="W285" s="54"/>
      <c r="X285" s="54"/>
      <c r="Y285" s="54"/>
      <c r="AB285" s="54"/>
      <c r="AC285" s="54"/>
      <c r="AD285" s="54"/>
      <c r="AG285" s="54"/>
      <c r="AH285" s="54"/>
      <c r="AI285" s="54"/>
    </row>
    <row r="286" spans="18:35" x14ac:dyDescent="0.35">
      <c r="R286" s="54"/>
      <c r="S286" s="54"/>
      <c r="T286" s="54"/>
      <c r="W286" s="54"/>
      <c r="X286" s="54"/>
      <c r="Y286" s="54"/>
      <c r="AB286" s="54"/>
      <c r="AC286" s="54"/>
      <c r="AD286" s="54"/>
      <c r="AG286" s="54"/>
      <c r="AH286" s="54"/>
      <c r="AI286" s="54"/>
    </row>
    <row r="287" spans="18:35" x14ac:dyDescent="0.35">
      <c r="R287" s="54"/>
      <c r="S287" s="54"/>
      <c r="T287" s="54"/>
      <c r="W287" s="54"/>
      <c r="X287" s="54"/>
      <c r="Y287" s="54"/>
      <c r="AB287" s="54"/>
      <c r="AC287" s="54"/>
      <c r="AD287" s="54"/>
      <c r="AG287" s="54"/>
      <c r="AH287" s="54"/>
      <c r="AI287" s="54"/>
    </row>
    <row r="288" spans="18:35" x14ac:dyDescent="0.35">
      <c r="R288" s="54"/>
      <c r="S288" s="54"/>
      <c r="T288" s="54"/>
      <c r="W288" s="54"/>
      <c r="X288" s="54"/>
      <c r="Y288" s="54"/>
      <c r="AB288" s="54"/>
      <c r="AC288" s="54"/>
      <c r="AD288" s="54"/>
      <c r="AG288" s="54"/>
      <c r="AH288" s="54"/>
      <c r="AI288" s="54"/>
    </row>
    <row r="289" spans="18:35" x14ac:dyDescent="0.35">
      <c r="R289" s="54"/>
      <c r="S289" s="54"/>
      <c r="T289" s="54"/>
      <c r="W289" s="54"/>
      <c r="X289" s="54"/>
      <c r="Y289" s="54"/>
      <c r="AB289" s="54"/>
      <c r="AC289" s="54"/>
      <c r="AD289" s="54"/>
      <c r="AG289" s="54"/>
      <c r="AH289" s="54"/>
      <c r="AI289" s="54"/>
    </row>
    <row r="290" spans="18:35" x14ac:dyDescent="0.35">
      <c r="R290" s="54"/>
      <c r="S290" s="54"/>
      <c r="T290" s="54"/>
      <c r="W290" s="54"/>
      <c r="X290" s="54"/>
      <c r="Y290" s="54"/>
      <c r="AB290" s="54"/>
      <c r="AC290" s="54"/>
      <c r="AD290" s="54"/>
      <c r="AG290" s="54"/>
      <c r="AH290" s="54"/>
      <c r="AI290" s="54"/>
    </row>
    <row r="291" spans="18:35" x14ac:dyDescent="0.35">
      <c r="R291" s="54"/>
      <c r="S291" s="54"/>
      <c r="T291" s="54"/>
      <c r="W291" s="54"/>
      <c r="X291" s="54"/>
      <c r="Y291" s="54"/>
      <c r="AB291" s="54"/>
      <c r="AC291" s="54"/>
      <c r="AD291" s="54"/>
      <c r="AG291" s="54"/>
      <c r="AH291" s="54"/>
      <c r="AI291" s="54"/>
    </row>
    <row r="292" spans="18:35" x14ac:dyDescent="0.35">
      <c r="R292" s="54"/>
      <c r="S292" s="54"/>
      <c r="T292" s="54"/>
      <c r="W292" s="54"/>
      <c r="X292" s="54"/>
      <c r="Y292" s="54"/>
      <c r="AB292" s="54"/>
      <c r="AC292" s="54"/>
      <c r="AD292" s="54"/>
      <c r="AG292" s="54"/>
      <c r="AH292" s="54"/>
      <c r="AI292" s="54"/>
    </row>
    <row r="293" spans="18:35" x14ac:dyDescent="0.35">
      <c r="R293" s="54"/>
      <c r="S293" s="54"/>
      <c r="T293" s="54"/>
      <c r="W293" s="54"/>
      <c r="X293" s="54"/>
      <c r="Y293" s="54"/>
      <c r="AB293" s="54"/>
      <c r="AC293" s="54"/>
      <c r="AD293" s="54"/>
      <c r="AG293" s="54"/>
      <c r="AH293" s="54"/>
      <c r="AI293" s="54"/>
    </row>
    <row r="294" spans="18:35" x14ac:dyDescent="0.35">
      <c r="R294" s="54"/>
      <c r="S294" s="54"/>
      <c r="T294" s="54"/>
      <c r="W294" s="54"/>
      <c r="X294" s="54"/>
      <c r="Y294" s="54"/>
      <c r="AB294" s="54"/>
      <c r="AC294" s="54"/>
      <c r="AD294" s="54"/>
      <c r="AG294" s="54"/>
      <c r="AH294" s="54"/>
      <c r="AI294" s="54"/>
    </row>
    <row r="295" spans="18:35" x14ac:dyDescent="0.35">
      <c r="R295" s="54"/>
      <c r="S295" s="54"/>
      <c r="T295" s="54"/>
      <c r="W295" s="54"/>
      <c r="X295" s="54"/>
      <c r="Y295" s="54"/>
      <c r="AB295" s="54"/>
      <c r="AC295" s="54"/>
      <c r="AD295" s="54"/>
      <c r="AG295" s="54"/>
      <c r="AH295" s="54"/>
      <c r="AI295" s="54"/>
    </row>
    <row r="296" spans="18:35" x14ac:dyDescent="0.35">
      <c r="R296" s="54"/>
      <c r="S296" s="54"/>
      <c r="T296" s="54"/>
      <c r="W296" s="54"/>
      <c r="X296" s="54"/>
      <c r="Y296" s="54"/>
      <c r="AB296" s="54"/>
      <c r="AC296" s="54"/>
      <c r="AD296" s="54"/>
      <c r="AG296" s="54"/>
      <c r="AH296" s="54"/>
      <c r="AI296" s="54"/>
    </row>
    <row r="297" spans="18:35" x14ac:dyDescent="0.35">
      <c r="R297" s="54"/>
      <c r="S297" s="54"/>
      <c r="T297" s="54"/>
      <c r="W297" s="54"/>
      <c r="X297" s="54"/>
      <c r="Y297" s="54"/>
      <c r="AB297" s="54"/>
      <c r="AC297" s="54"/>
      <c r="AD297" s="54"/>
      <c r="AG297" s="54"/>
      <c r="AH297" s="54"/>
      <c r="AI297" s="54"/>
    </row>
    <row r="298" spans="18:35" x14ac:dyDescent="0.35">
      <c r="R298" s="54"/>
      <c r="S298" s="54"/>
      <c r="T298" s="54"/>
      <c r="W298" s="54"/>
      <c r="X298" s="54"/>
      <c r="Y298" s="54"/>
      <c r="AB298" s="54"/>
      <c r="AC298" s="54"/>
      <c r="AD298" s="54"/>
      <c r="AG298" s="54"/>
      <c r="AH298" s="54"/>
      <c r="AI298" s="54"/>
    </row>
    <row r="299" spans="18:35" x14ac:dyDescent="0.35">
      <c r="R299" s="54"/>
      <c r="S299" s="54"/>
      <c r="T299" s="54"/>
      <c r="W299" s="54"/>
      <c r="X299" s="54"/>
      <c r="Y299" s="54"/>
      <c r="AB299" s="54"/>
      <c r="AC299" s="54"/>
      <c r="AD299" s="54"/>
      <c r="AG299" s="54"/>
      <c r="AH299" s="54"/>
      <c r="AI299" s="54"/>
    </row>
    <row r="300" spans="18:35" x14ac:dyDescent="0.35">
      <c r="R300" s="54"/>
      <c r="S300" s="54"/>
      <c r="T300" s="54"/>
      <c r="W300" s="54"/>
      <c r="X300" s="54"/>
      <c r="Y300" s="54"/>
      <c r="AB300" s="54"/>
      <c r="AC300" s="54"/>
      <c r="AD300" s="54"/>
      <c r="AG300" s="54"/>
      <c r="AH300" s="54"/>
      <c r="AI300" s="54"/>
    </row>
    <row r="301" spans="18:35" x14ac:dyDescent="0.35">
      <c r="R301" s="54"/>
      <c r="S301" s="54"/>
      <c r="T301" s="54"/>
      <c r="W301" s="54"/>
      <c r="X301" s="54"/>
      <c r="Y301" s="54"/>
      <c r="AB301" s="54"/>
      <c r="AC301" s="54"/>
      <c r="AD301" s="54"/>
      <c r="AG301" s="54"/>
      <c r="AH301" s="54"/>
      <c r="AI301" s="54"/>
    </row>
    <row r="302" spans="18:35" x14ac:dyDescent="0.35">
      <c r="R302" s="54"/>
      <c r="S302" s="54"/>
      <c r="T302" s="54"/>
      <c r="W302" s="54"/>
      <c r="X302" s="54"/>
      <c r="Y302" s="54"/>
      <c r="AB302" s="54"/>
      <c r="AC302" s="54"/>
      <c r="AD302" s="54"/>
      <c r="AG302" s="54"/>
      <c r="AH302" s="54"/>
      <c r="AI302" s="54"/>
    </row>
    <row r="303" spans="18:35" x14ac:dyDescent="0.35">
      <c r="R303" s="54"/>
      <c r="S303" s="54"/>
      <c r="T303" s="54"/>
      <c r="W303" s="54"/>
      <c r="X303" s="54"/>
      <c r="Y303" s="54"/>
      <c r="AB303" s="54"/>
      <c r="AC303" s="54"/>
      <c r="AD303" s="54"/>
      <c r="AG303" s="54"/>
      <c r="AH303" s="54"/>
      <c r="AI303" s="54"/>
    </row>
    <row r="304" spans="18:35" x14ac:dyDescent="0.35">
      <c r="R304" s="54"/>
      <c r="S304" s="54"/>
      <c r="T304" s="54"/>
      <c r="W304" s="54"/>
      <c r="X304" s="54"/>
      <c r="Y304" s="54"/>
      <c r="AB304" s="54"/>
      <c r="AC304" s="54"/>
      <c r="AD304" s="54"/>
      <c r="AG304" s="54"/>
      <c r="AH304" s="54"/>
      <c r="AI304" s="54"/>
    </row>
    <row r="305" spans="18:35" x14ac:dyDescent="0.35">
      <c r="R305" s="54"/>
      <c r="S305" s="54"/>
      <c r="T305" s="54"/>
      <c r="W305" s="54"/>
      <c r="X305" s="54"/>
      <c r="Y305" s="54"/>
      <c r="AB305" s="54"/>
      <c r="AC305" s="54"/>
      <c r="AD305" s="54"/>
      <c r="AG305" s="54"/>
      <c r="AH305" s="54"/>
      <c r="AI305" s="54"/>
    </row>
    <row r="306" spans="18:35" x14ac:dyDescent="0.35">
      <c r="R306" s="54"/>
      <c r="S306" s="54"/>
      <c r="T306" s="54"/>
      <c r="W306" s="54"/>
      <c r="X306" s="54"/>
      <c r="Y306" s="54"/>
      <c r="AB306" s="54"/>
      <c r="AC306" s="54"/>
      <c r="AD306" s="54"/>
      <c r="AG306" s="54"/>
      <c r="AH306" s="54"/>
      <c r="AI306" s="54"/>
    </row>
    <row r="307" spans="18:35" x14ac:dyDescent="0.35">
      <c r="R307" s="54"/>
      <c r="S307" s="54"/>
      <c r="T307" s="54"/>
      <c r="W307" s="54"/>
      <c r="X307" s="54"/>
      <c r="Y307" s="54"/>
      <c r="AB307" s="54"/>
      <c r="AC307" s="54"/>
      <c r="AD307" s="54"/>
      <c r="AG307" s="54"/>
      <c r="AH307" s="54"/>
      <c r="AI307" s="54"/>
    </row>
    <row r="308" spans="18:35" x14ac:dyDescent="0.35">
      <c r="R308" s="54"/>
      <c r="S308" s="54"/>
      <c r="T308" s="54"/>
      <c r="W308" s="54"/>
      <c r="X308" s="54"/>
      <c r="Y308" s="54"/>
      <c r="AB308" s="54"/>
      <c r="AC308" s="54"/>
      <c r="AD308" s="54"/>
      <c r="AG308" s="54"/>
      <c r="AH308" s="54"/>
      <c r="AI308" s="54"/>
    </row>
    <row r="309" spans="18:35" x14ac:dyDescent="0.35">
      <c r="R309" s="54"/>
      <c r="S309" s="54"/>
      <c r="T309" s="54"/>
      <c r="W309" s="54"/>
      <c r="X309" s="54"/>
      <c r="Y309" s="54"/>
      <c r="AB309" s="54"/>
      <c r="AC309" s="54"/>
      <c r="AD309" s="54"/>
      <c r="AG309" s="54"/>
      <c r="AH309" s="54"/>
      <c r="AI309" s="54"/>
    </row>
    <row r="310" spans="18:35" x14ac:dyDescent="0.35">
      <c r="R310" s="54"/>
      <c r="S310" s="54"/>
      <c r="T310" s="54"/>
      <c r="W310" s="54"/>
      <c r="X310" s="54"/>
      <c r="Y310" s="54"/>
      <c r="AB310" s="54"/>
      <c r="AC310" s="54"/>
      <c r="AD310" s="54"/>
      <c r="AG310" s="54"/>
      <c r="AH310" s="54"/>
      <c r="AI310" s="54"/>
    </row>
    <row r="311" spans="18:35" x14ac:dyDescent="0.35">
      <c r="R311" s="54"/>
      <c r="S311" s="54"/>
      <c r="T311" s="54"/>
      <c r="W311" s="54"/>
      <c r="X311" s="54"/>
      <c r="Y311" s="54"/>
      <c r="AB311" s="54"/>
      <c r="AC311" s="54"/>
      <c r="AD311" s="54"/>
      <c r="AG311" s="54"/>
      <c r="AH311" s="54"/>
      <c r="AI311" s="54"/>
    </row>
    <row r="312" spans="18:35" x14ac:dyDescent="0.35">
      <c r="R312" s="54"/>
      <c r="S312" s="54"/>
      <c r="T312" s="54"/>
      <c r="W312" s="54"/>
      <c r="X312" s="54"/>
      <c r="Y312" s="54"/>
      <c r="AB312" s="54"/>
      <c r="AC312" s="54"/>
      <c r="AD312" s="54"/>
      <c r="AG312" s="54"/>
      <c r="AH312" s="54"/>
      <c r="AI312" s="54"/>
    </row>
    <row r="313" spans="18:35" x14ac:dyDescent="0.35">
      <c r="R313" s="54"/>
      <c r="S313" s="54"/>
      <c r="T313" s="54"/>
      <c r="W313" s="54"/>
      <c r="X313" s="54"/>
      <c r="Y313" s="54"/>
      <c r="AB313" s="54"/>
      <c r="AC313" s="54"/>
      <c r="AD313" s="54"/>
      <c r="AG313" s="54"/>
      <c r="AH313" s="54"/>
      <c r="AI313" s="54"/>
    </row>
    <row r="314" spans="18:35" x14ac:dyDescent="0.35">
      <c r="R314" s="54"/>
      <c r="S314" s="54"/>
      <c r="T314" s="54"/>
      <c r="W314" s="54"/>
      <c r="X314" s="54"/>
      <c r="Y314" s="54"/>
      <c r="AB314" s="54"/>
      <c r="AC314" s="54"/>
      <c r="AD314" s="54"/>
      <c r="AG314" s="54"/>
      <c r="AH314" s="54"/>
      <c r="AI314" s="54"/>
    </row>
    <row r="315" spans="18:35" x14ac:dyDescent="0.35">
      <c r="R315" s="54"/>
      <c r="S315" s="54"/>
      <c r="T315" s="54"/>
      <c r="W315" s="54"/>
      <c r="X315" s="54"/>
      <c r="Y315" s="54"/>
      <c r="AB315" s="54"/>
      <c r="AC315" s="54"/>
      <c r="AD315" s="54"/>
      <c r="AG315" s="54"/>
      <c r="AH315" s="54"/>
      <c r="AI315" s="54"/>
    </row>
    <row r="316" spans="18:35" x14ac:dyDescent="0.35">
      <c r="R316" s="54"/>
      <c r="S316" s="54"/>
      <c r="T316" s="54"/>
      <c r="W316" s="54"/>
      <c r="X316" s="54"/>
      <c r="Y316" s="54"/>
      <c r="AB316" s="54"/>
      <c r="AC316" s="54"/>
      <c r="AD316" s="54"/>
      <c r="AG316" s="54"/>
      <c r="AH316" s="54"/>
      <c r="AI316" s="54"/>
    </row>
    <row r="317" spans="18:35" x14ac:dyDescent="0.35">
      <c r="R317" s="54"/>
      <c r="S317" s="54"/>
      <c r="T317" s="54"/>
      <c r="W317" s="54"/>
      <c r="X317" s="54"/>
      <c r="Y317" s="54"/>
      <c r="AB317" s="54"/>
      <c r="AC317" s="54"/>
      <c r="AD317" s="54"/>
      <c r="AG317" s="54"/>
      <c r="AH317" s="54"/>
      <c r="AI317" s="54"/>
    </row>
    <row r="318" spans="18:35" x14ac:dyDescent="0.35">
      <c r="R318" s="54"/>
      <c r="S318" s="54"/>
      <c r="T318" s="54"/>
      <c r="W318" s="54"/>
      <c r="X318" s="54"/>
      <c r="Y318" s="54"/>
      <c r="AB318" s="54"/>
      <c r="AC318" s="54"/>
      <c r="AD318" s="54"/>
      <c r="AG318" s="54"/>
      <c r="AH318" s="54"/>
      <c r="AI318" s="54"/>
    </row>
    <row r="319" spans="18:35" x14ac:dyDescent="0.35">
      <c r="R319" s="54"/>
      <c r="S319" s="54"/>
      <c r="T319" s="54"/>
      <c r="W319" s="54"/>
      <c r="X319" s="54"/>
      <c r="Y319" s="54"/>
      <c r="AB319" s="54"/>
      <c r="AC319" s="54"/>
      <c r="AD319" s="54"/>
      <c r="AG319" s="54"/>
      <c r="AH319" s="54"/>
      <c r="AI319" s="54"/>
    </row>
    <row r="320" spans="18:35" x14ac:dyDescent="0.35">
      <c r="R320" s="54"/>
      <c r="S320" s="54"/>
      <c r="T320" s="54"/>
      <c r="W320" s="54"/>
      <c r="X320" s="54"/>
      <c r="Y320" s="54"/>
      <c r="AB320" s="54"/>
      <c r="AC320" s="54"/>
      <c r="AD320" s="54"/>
      <c r="AG320" s="54"/>
      <c r="AH320" s="54"/>
      <c r="AI320" s="54"/>
    </row>
    <row r="321" spans="18:35" x14ac:dyDescent="0.35">
      <c r="R321" s="54"/>
      <c r="S321" s="54"/>
      <c r="T321" s="54"/>
      <c r="W321" s="54"/>
      <c r="X321" s="54"/>
      <c r="Y321" s="54"/>
      <c r="AB321" s="54"/>
      <c r="AC321" s="54"/>
      <c r="AD321" s="54"/>
      <c r="AG321" s="54"/>
      <c r="AH321" s="54"/>
      <c r="AI321" s="54"/>
    </row>
    <row r="322" spans="18:35" x14ac:dyDescent="0.35">
      <c r="R322" s="54"/>
      <c r="S322" s="54"/>
      <c r="T322" s="54"/>
      <c r="W322" s="54"/>
      <c r="X322" s="54"/>
      <c r="Y322" s="54"/>
      <c r="AB322" s="54"/>
      <c r="AC322" s="54"/>
      <c r="AD322" s="54"/>
      <c r="AG322" s="54"/>
      <c r="AH322" s="54"/>
      <c r="AI322" s="54"/>
    </row>
    <row r="323" spans="18:35" x14ac:dyDescent="0.35">
      <c r="R323" s="54"/>
      <c r="S323" s="54"/>
      <c r="T323" s="54"/>
      <c r="W323" s="54"/>
      <c r="X323" s="54"/>
      <c r="Y323" s="54"/>
      <c r="AB323" s="54"/>
      <c r="AC323" s="54"/>
      <c r="AD323" s="54"/>
      <c r="AG323" s="54"/>
      <c r="AH323" s="54"/>
      <c r="AI323" s="54"/>
    </row>
    <row r="324" spans="18:35" x14ac:dyDescent="0.35">
      <c r="R324" s="54"/>
      <c r="S324" s="54"/>
      <c r="T324" s="54"/>
      <c r="W324" s="54"/>
      <c r="X324" s="54"/>
      <c r="Y324" s="54"/>
      <c r="AB324" s="54"/>
      <c r="AC324" s="54"/>
      <c r="AD324" s="54"/>
      <c r="AG324" s="54"/>
      <c r="AH324" s="54"/>
      <c r="AI324" s="54"/>
    </row>
    <row r="325" spans="18:35" x14ac:dyDescent="0.35">
      <c r="R325" s="54"/>
      <c r="S325" s="54"/>
      <c r="T325" s="54"/>
      <c r="W325" s="54"/>
      <c r="X325" s="54"/>
      <c r="Y325" s="54"/>
      <c r="AB325" s="54"/>
      <c r="AC325" s="54"/>
      <c r="AD325" s="54"/>
      <c r="AG325" s="54"/>
      <c r="AH325" s="54"/>
      <c r="AI325" s="54"/>
    </row>
    <row r="326" spans="18:35" x14ac:dyDescent="0.35">
      <c r="R326" s="54"/>
      <c r="S326" s="54"/>
      <c r="T326" s="54"/>
      <c r="W326" s="54"/>
      <c r="X326" s="54"/>
      <c r="Y326" s="54"/>
      <c r="AB326" s="54"/>
      <c r="AC326" s="54"/>
      <c r="AD326" s="54"/>
      <c r="AG326" s="54"/>
      <c r="AH326" s="54"/>
      <c r="AI326" s="54"/>
    </row>
    <row r="327" spans="18:35" x14ac:dyDescent="0.35">
      <c r="R327" s="54"/>
      <c r="S327" s="54"/>
      <c r="T327" s="54"/>
      <c r="W327" s="54"/>
      <c r="X327" s="54"/>
      <c r="Y327" s="54"/>
      <c r="AB327" s="54"/>
      <c r="AC327" s="54"/>
      <c r="AD327" s="54"/>
      <c r="AG327" s="54"/>
      <c r="AH327" s="54"/>
      <c r="AI327" s="54"/>
    </row>
    <row r="328" spans="18:35" x14ac:dyDescent="0.35">
      <c r="R328" s="54"/>
      <c r="S328" s="54"/>
      <c r="T328" s="54"/>
      <c r="W328" s="54"/>
      <c r="X328" s="54"/>
      <c r="Y328" s="54"/>
      <c r="AB328" s="54"/>
      <c r="AC328" s="54"/>
      <c r="AD328" s="54"/>
      <c r="AG328" s="54"/>
      <c r="AH328" s="54"/>
      <c r="AI328" s="54"/>
    </row>
    <row r="329" spans="18:35" x14ac:dyDescent="0.35">
      <c r="R329" s="54"/>
      <c r="S329" s="54"/>
      <c r="T329" s="54"/>
      <c r="W329" s="54"/>
      <c r="X329" s="54"/>
      <c r="Y329" s="54"/>
      <c r="AB329" s="54"/>
      <c r="AC329" s="54"/>
      <c r="AD329" s="54"/>
      <c r="AG329" s="54"/>
      <c r="AH329" s="54"/>
      <c r="AI329" s="54"/>
    </row>
    <row r="330" spans="18:35" x14ac:dyDescent="0.35">
      <c r="R330" s="54"/>
      <c r="S330" s="54"/>
      <c r="T330" s="54"/>
      <c r="W330" s="54"/>
      <c r="X330" s="54"/>
      <c r="Y330" s="54"/>
      <c r="AB330" s="54"/>
      <c r="AC330" s="54"/>
      <c r="AD330" s="54"/>
      <c r="AG330" s="54"/>
      <c r="AH330" s="54"/>
      <c r="AI330" s="54"/>
    </row>
    <row r="331" spans="18:35" x14ac:dyDescent="0.35">
      <c r="R331" s="54"/>
      <c r="S331" s="54"/>
      <c r="T331" s="54"/>
      <c r="W331" s="54"/>
      <c r="X331" s="54"/>
      <c r="Y331" s="54"/>
      <c r="AB331" s="54"/>
      <c r="AC331" s="54"/>
      <c r="AD331" s="54"/>
      <c r="AG331" s="54"/>
      <c r="AH331" s="54"/>
      <c r="AI331" s="54"/>
    </row>
    <row r="332" spans="18:35" x14ac:dyDescent="0.35">
      <c r="R332" s="54"/>
      <c r="S332" s="54"/>
      <c r="T332" s="54"/>
      <c r="W332" s="54"/>
      <c r="X332" s="54"/>
      <c r="Y332" s="54"/>
      <c r="AB332" s="54"/>
      <c r="AC332" s="54"/>
      <c r="AD332" s="54"/>
      <c r="AG332" s="54"/>
      <c r="AH332" s="54"/>
      <c r="AI332" s="54"/>
    </row>
    <row r="333" spans="18:35" x14ac:dyDescent="0.35">
      <c r="R333" s="54"/>
      <c r="S333" s="54"/>
      <c r="T333" s="54"/>
      <c r="W333" s="54"/>
      <c r="X333" s="54"/>
      <c r="Y333" s="54"/>
      <c r="AB333" s="54"/>
      <c r="AC333" s="54"/>
      <c r="AD333" s="54"/>
      <c r="AG333" s="54"/>
      <c r="AH333" s="54"/>
      <c r="AI333" s="54"/>
    </row>
    <row r="334" spans="18:35" x14ac:dyDescent="0.35">
      <c r="R334" s="54"/>
      <c r="S334" s="54"/>
      <c r="T334" s="54"/>
      <c r="W334" s="54"/>
      <c r="X334" s="54"/>
      <c r="Y334" s="54"/>
      <c r="AB334" s="54"/>
      <c r="AC334" s="54"/>
      <c r="AD334" s="54"/>
      <c r="AG334" s="54"/>
      <c r="AH334" s="54"/>
      <c r="AI334" s="54"/>
    </row>
    <row r="335" spans="18:35" x14ac:dyDescent="0.35">
      <c r="R335" s="54"/>
      <c r="S335" s="54"/>
      <c r="T335" s="54"/>
      <c r="W335" s="54"/>
      <c r="X335" s="54"/>
      <c r="Y335" s="54"/>
      <c r="AB335" s="54"/>
      <c r="AC335" s="54"/>
      <c r="AD335" s="54"/>
      <c r="AG335" s="54"/>
      <c r="AH335" s="54"/>
      <c r="AI335" s="54"/>
    </row>
    <row r="336" spans="18:35" x14ac:dyDescent="0.35">
      <c r="R336" s="54"/>
      <c r="S336" s="54"/>
      <c r="T336" s="54"/>
      <c r="W336" s="54"/>
      <c r="X336" s="54"/>
      <c r="Y336" s="54"/>
      <c r="AB336" s="54"/>
      <c r="AC336" s="54"/>
      <c r="AD336" s="54"/>
      <c r="AG336" s="54"/>
      <c r="AH336" s="54"/>
      <c r="AI336" s="54"/>
    </row>
    <row r="337" spans="18:35" x14ac:dyDescent="0.35">
      <c r="R337" s="54"/>
      <c r="S337" s="54"/>
      <c r="T337" s="54"/>
      <c r="W337" s="54"/>
      <c r="X337" s="54"/>
      <c r="Y337" s="54"/>
      <c r="AB337" s="54"/>
      <c r="AC337" s="54"/>
      <c r="AD337" s="54"/>
      <c r="AG337" s="54"/>
      <c r="AH337" s="54"/>
      <c r="AI337" s="54"/>
    </row>
    <row r="338" spans="18:35" x14ac:dyDescent="0.35">
      <c r="R338" s="54"/>
      <c r="S338" s="54"/>
      <c r="T338" s="54"/>
      <c r="W338" s="54"/>
      <c r="X338" s="54"/>
      <c r="Y338" s="54"/>
      <c r="AB338" s="54"/>
      <c r="AC338" s="54"/>
      <c r="AD338" s="54"/>
      <c r="AG338" s="54"/>
      <c r="AH338" s="54"/>
      <c r="AI338" s="54"/>
    </row>
    <row r="339" spans="18:35" x14ac:dyDescent="0.35">
      <c r="R339" s="54"/>
      <c r="S339" s="54"/>
      <c r="T339" s="54"/>
      <c r="W339" s="54"/>
      <c r="X339" s="54"/>
      <c r="Y339" s="54"/>
      <c r="AB339" s="54"/>
      <c r="AC339" s="54"/>
      <c r="AD339" s="54"/>
      <c r="AG339" s="54"/>
      <c r="AH339" s="54"/>
      <c r="AI339" s="54"/>
    </row>
    <row r="340" spans="18:35" x14ac:dyDescent="0.35">
      <c r="R340" s="54"/>
      <c r="S340" s="54"/>
      <c r="T340" s="54"/>
      <c r="W340" s="54"/>
      <c r="X340" s="54"/>
      <c r="Y340" s="54"/>
      <c r="AB340" s="54"/>
      <c r="AC340" s="54"/>
      <c r="AD340" s="54"/>
      <c r="AG340" s="54"/>
      <c r="AH340" s="54"/>
      <c r="AI340" s="54"/>
    </row>
    <row r="341" spans="18:35" x14ac:dyDescent="0.35">
      <c r="R341" s="54"/>
      <c r="S341" s="54"/>
      <c r="T341" s="54"/>
      <c r="W341" s="54"/>
      <c r="X341" s="54"/>
      <c r="Y341" s="54"/>
      <c r="AB341" s="54"/>
      <c r="AC341" s="54"/>
      <c r="AD341" s="54"/>
      <c r="AG341" s="54"/>
      <c r="AH341" s="54"/>
      <c r="AI341" s="54"/>
    </row>
    <row r="342" spans="18:35" x14ac:dyDescent="0.35">
      <c r="R342" s="54"/>
      <c r="S342" s="54"/>
      <c r="T342" s="54"/>
      <c r="W342" s="54"/>
      <c r="X342" s="54"/>
      <c r="Y342" s="54"/>
      <c r="AB342" s="54"/>
      <c r="AC342" s="54"/>
      <c r="AD342" s="54"/>
      <c r="AG342" s="54"/>
      <c r="AH342" s="54"/>
      <c r="AI342" s="54"/>
    </row>
    <row r="343" spans="18:35" x14ac:dyDescent="0.35">
      <c r="R343" s="54"/>
      <c r="S343" s="54"/>
      <c r="T343" s="54"/>
      <c r="W343" s="54"/>
      <c r="X343" s="54"/>
      <c r="Y343" s="54"/>
      <c r="AB343" s="54"/>
      <c r="AC343" s="54"/>
      <c r="AD343" s="54"/>
      <c r="AG343" s="54"/>
      <c r="AH343" s="54"/>
      <c r="AI343" s="54"/>
    </row>
    <row r="344" spans="18:35" x14ac:dyDescent="0.35">
      <c r="R344" s="54"/>
      <c r="S344" s="54"/>
      <c r="T344" s="54"/>
      <c r="W344" s="54"/>
      <c r="X344" s="54"/>
      <c r="Y344" s="54"/>
      <c r="AB344" s="54"/>
      <c r="AC344" s="54"/>
      <c r="AD344" s="54"/>
      <c r="AG344" s="54"/>
      <c r="AH344" s="54"/>
      <c r="AI344" s="54"/>
    </row>
    <row r="345" spans="18:35" x14ac:dyDescent="0.35">
      <c r="R345" s="54"/>
      <c r="S345" s="54"/>
      <c r="T345" s="54"/>
      <c r="W345" s="54"/>
      <c r="X345" s="54"/>
      <c r="Y345" s="54"/>
      <c r="AB345" s="54"/>
      <c r="AC345" s="54"/>
      <c r="AD345" s="54"/>
      <c r="AG345" s="54"/>
      <c r="AH345" s="54"/>
      <c r="AI345" s="54"/>
    </row>
    <row r="346" spans="18:35" x14ac:dyDescent="0.35">
      <c r="R346" s="54"/>
      <c r="S346" s="54"/>
      <c r="T346" s="54"/>
      <c r="W346" s="54"/>
      <c r="X346" s="54"/>
      <c r="Y346" s="54"/>
      <c r="AB346" s="54"/>
      <c r="AC346" s="54"/>
      <c r="AD346" s="54"/>
      <c r="AG346" s="54"/>
      <c r="AH346" s="54"/>
      <c r="AI346" s="54"/>
    </row>
    <row r="347" spans="18:35" x14ac:dyDescent="0.35">
      <c r="R347" s="54"/>
      <c r="S347" s="54"/>
      <c r="T347" s="54"/>
      <c r="W347" s="54"/>
      <c r="X347" s="54"/>
      <c r="Y347" s="54"/>
      <c r="AB347" s="54"/>
      <c r="AC347" s="54"/>
      <c r="AD347" s="54"/>
      <c r="AG347" s="54"/>
      <c r="AH347" s="54"/>
      <c r="AI347" s="54"/>
    </row>
    <row r="348" spans="18:35" x14ac:dyDescent="0.35">
      <c r="R348" s="54"/>
      <c r="S348" s="54"/>
      <c r="T348" s="54"/>
      <c r="W348" s="54"/>
      <c r="X348" s="54"/>
      <c r="Y348" s="54"/>
      <c r="AB348" s="54"/>
      <c r="AC348" s="54"/>
      <c r="AD348" s="54"/>
      <c r="AG348" s="54"/>
      <c r="AH348" s="54"/>
      <c r="AI348" s="54"/>
    </row>
    <row r="349" spans="18:35" x14ac:dyDescent="0.35">
      <c r="R349" s="54"/>
      <c r="S349" s="54"/>
      <c r="T349" s="54"/>
      <c r="W349" s="54"/>
      <c r="X349" s="54"/>
      <c r="Y349" s="54"/>
      <c r="AB349" s="54"/>
      <c r="AC349" s="54"/>
      <c r="AD349" s="54"/>
      <c r="AG349" s="54"/>
      <c r="AH349" s="54"/>
      <c r="AI349" s="54"/>
    </row>
    <row r="350" spans="18:35" x14ac:dyDescent="0.35">
      <c r="R350" s="54"/>
      <c r="S350" s="54"/>
      <c r="T350" s="54"/>
      <c r="W350" s="54"/>
      <c r="X350" s="54"/>
      <c r="Y350" s="54"/>
      <c r="AB350" s="54"/>
      <c r="AC350" s="54"/>
      <c r="AD350" s="54"/>
      <c r="AG350" s="54"/>
      <c r="AH350" s="54"/>
      <c r="AI350" s="54"/>
    </row>
    <row r="351" spans="18:35" x14ac:dyDescent="0.35">
      <c r="R351" s="54"/>
      <c r="S351" s="54"/>
      <c r="T351" s="54"/>
      <c r="W351" s="54"/>
      <c r="X351" s="54"/>
      <c r="Y351" s="54"/>
      <c r="AB351" s="54"/>
      <c r="AC351" s="54"/>
      <c r="AD351" s="54"/>
      <c r="AG351" s="54"/>
      <c r="AH351" s="54"/>
      <c r="AI351" s="54"/>
    </row>
    <row r="352" spans="18:35" x14ac:dyDescent="0.35">
      <c r="R352" s="54"/>
      <c r="S352" s="54"/>
      <c r="T352" s="54"/>
      <c r="W352" s="54"/>
      <c r="X352" s="54"/>
      <c r="Y352" s="54"/>
      <c r="AB352" s="54"/>
      <c r="AC352" s="54"/>
      <c r="AD352" s="54"/>
      <c r="AG352" s="54"/>
      <c r="AH352" s="54"/>
      <c r="AI352" s="54"/>
    </row>
    <row r="353" spans="18:35" x14ac:dyDescent="0.35">
      <c r="R353" s="54"/>
      <c r="S353" s="54"/>
      <c r="T353" s="54"/>
      <c r="W353" s="54"/>
      <c r="X353" s="54"/>
      <c r="Y353" s="54"/>
      <c r="AB353" s="54"/>
      <c r="AC353" s="54"/>
      <c r="AD353" s="54"/>
      <c r="AG353" s="54"/>
      <c r="AH353" s="54"/>
      <c r="AI353" s="54"/>
    </row>
    <row r="354" spans="18:35" x14ac:dyDescent="0.35">
      <c r="R354" s="54"/>
      <c r="S354" s="54"/>
      <c r="T354" s="54"/>
      <c r="W354" s="54"/>
      <c r="X354" s="54"/>
      <c r="Y354" s="54"/>
      <c r="AB354" s="54"/>
      <c r="AC354" s="54"/>
      <c r="AD354" s="54"/>
      <c r="AG354" s="54"/>
      <c r="AH354" s="54"/>
      <c r="AI354" s="54"/>
    </row>
    <row r="355" spans="18:35" x14ac:dyDescent="0.35">
      <c r="R355" s="54"/>
      <c r="S355" s="54"/>
      <c r="T355" s="54"/>
      <c r="W355" s="54"/>
      <c r="X355" s="54"/>
      <c r="Y355" s="54"/>
      <c r="AB355" s="54"/>
      <c r="AC355" s="54"/>
      <c r="AD355" s="54"/>
      <c r="AG355" s="54"/>
      <c r="AH355" s="54"/>
      <c r="AI355" s="54"/>
    </row>
    <row r="356" spans="18:35" x14ac:dyDescent="0.35">
      <c r="R356" s="54"/>
      <c r="S356" s="54"/>
      <c r="T356" s="54"/>
      <c r="W356" s="54"/>
      <c r="X356" s="54"/>
      <c r="Y356" s="54"/>
      <c r="AB356" s="54"/>
      <c r="AC356" s="54"/>
      <c r="AD356" s="54"/>
      <c r="AG356" s="54"/>
      <c r="AH356" s="54"/>
      <c r="AI356" s="54"/>
    </row>
    <row r="357" spans="18:35" x14ac:dyDescent="0.35">
      <c r="R357" s="54"/>
      <c r="S357" s="54"/>
      <c r="T357" s="54"/>
      <c r="W357" s="54"/>
      <c r="X357" s="54"/>
      <c r="Y357" s="54"/>
      <c r="AB357" s="54"/>
      <c r="AC357" s="54"/>
      <c r="AD357" s="54"/>
      <c r="AG357" s="54"/>
      <c r="AH357" s="54"/>
      <c r="AI357" s="54"/>
    </row>
    <row r="358" spans="18:35" x14ac:dyDescent="0.35">
      <c r="R358" s="54"/>
      <c r="S358" s="54"/>
      <c r="T358" s="54"/>
      <c r="W358" s="54"/>
      <c r="X358" s="54"/>
      <c r="Y358" s="54"/>
      <c r="AB358" s="54"/>
      <c r="AC358" s="54"/>
      <c r="AD358" s="54"/>
      <c r="AG358" s="54"/>
      <c r="AH358" s="54"/>
      <c r="AI358" s="54"/>
    </row>
    <row r="359" spans="18:35" x14ac:dyDescent="0.35">
      <c r="R359" s="54"/>
      <c r="S359" s="54"/>
      <c r="T359" s="54"/>
      <c r="W359" s="54"/>
      <c r="X359" s="54"/>
      <c r="Y359" s="54"/>
      <c r="AB359" s="54"/>
      <c r="AC359" s="54"/>
      <c r="AD359" s="54"/>
      <c r="AG359" s="54"/>
      <c r="AH359" s="54"/>
      <c r="AI359" s="54"/>
    </row>
    <row r="360" spans="18:35" x14ac:dyDescent="0.35">
      <c r="R360" s="54"/>
      <c r="S360" s="54"/>
      <c r="T360" s="54"/>
      <c r="W360" s="54"/>
      <c r="X360" s="54"/>
      <c r="Y360" s="54"/>
      <c r="AB360" s="54"/>
      <c r="AC360" s="54"/>
      <c r="AD360" s="54"/>
      <c r="AG360" s="54"/>
      <c r="AH360" s="54"/>
      <c r="AI360" s="54"/>
    </row>
    <row r="361" spans="18:35" x14ac:dyDescent="0.35">
      <c r="R361" s="54"/>
      <c r="S361" s="54"/>
      <c r="T361" s="54"/>
      <c r="W361" s="54"/>
      <c r="X361" s="54"/>
      <c r="Y361" s="54"/>
      <c r="AB361" s="54"/>
      <c r="AC361" s="54"/>
      <c r="AD361" s="54"/>
      <c r="AG361" s="54"/>
      <c r="AH361" s="54"/>
      <c r="AI361" s="54"/>
    </row>
    <row r="362" spans="18:35" x14ac:dyDescent="0.35">
      <c r="R362" s="54"/>
      <c r="S362" s="54"/>
      <c r="T362" s="54"/>
      <c r="W362" s="54"/>
      <c r="X362" s="54"/>
      <c r="Y362" s="54"/>
      <c r="AB362" s="54"/>
      <c r="AC362" s="54"/>
      <c r="AD362" s="54"/>
      <c r="AG362" s="54"/>
      <c r="AH362" s="54"/>
      <c r="AI362" s="54"/>
    </row>
    <row r="363" spans="18:35" x14ac:dyDescent="0.35">
      <c r="R363" s="54"/>
      <c r="S363" s="54"/>
      <c r="T363" s="54"/>
      <c r="W363" s="54"/>
      <c r="X363" s="54"/>
      <c r="Y363" s="54"/>
      <c r="AB363" s="54"/>
      <c r="AC363" s="54"/>
      <c r="AD363" s="54"/>
      <c r="AG363" s="54"/>
      <c r="AH363" s="54"/>
      <c r="AI363" s="54"/>
    </row>
    <row r="364" spans="18:35" x14ac:dyDescent="0.35">
      <c r="R364" s="54"/>
      <c r="S364" s="54"/>
      <c r="T364" s="54"/>
      <c r="W364" s="54"/>
      <c r="X364" s="54"/>
      <c r="Y364" s="54"/>
      <c r="AB364" s="54"/>
      <c r="AC364" s="54"/>
      <c r="AD364" s="54"/>
      <c r="AG364" s="54"/>
      <c r="AH364" s="54"/>
      <c r="AI364" s="54"/>
    </row>
    <row r="365" spans="18:35" x14ac:dyDescent="0.35">
      <c r="R365" s="54"/>
      <c r="S365" s="54"/>
      <c r="T365" s="54"/>
      <c r="W365" s="54"/>
      <c r="X365" s="54"/>
      <c r="Y365" s="54"/>
      <c r="AB365" s="54"/>
      <c r="AC365" s="54"/>
      <c r="AD365" s="54"/>
      <c r="AG365" s="54"/>
      <c r="AH365" s="54"/>
      <c r="AI365" s="54"/>
    </row>
    <row r="366" spans="18:35" x14ac:dyDescent="0.35">
      <c r="R366" s="54"/>
      <c r="S366" s="54"/>
      <c r="T366" s="54"/>
      <c r="W366" s="54"/>
      <c r="X366" s="54"/>
      <c r="Y366" s="54"/>
      <c r="AB366" s="54"/>
      <c r="AC366" s="54"/>
      <c r="AD366" s="54"/>
      <c r="AG366" s="54"/>
      <c r="AH366" s="54"/>
      <c r="AI366" s="54"/>
    </row>
    <row r="367" spans="18:35" x14ac:dyDescent="0.35">
      <c r="R367" s="54"/>
      <c r="S367" s="54"/>
      <c r="T367" s="54"/>
      <c r="W367" s="54"/>
      <c r="X367" s="54"/>
      <c r="Y367" s="54"/>
      <c r="AB367" s="54"/>
      <c r="AC367" s="54"/>
      <c r="AD367" s="54"/>
      <c r="AG367" s="54"/>
      <c r="AH367" s="54"/>
      <c r="AI367" s="54"/>
    </row>
    <row r="368" spans="18:35" x14ac:dyDescent="0.35">
      <c r="R368" s="54"/>
      <c r="S368" s="54"/>
      <c r="T368" s="54"/>
      <c r="W368" s="54"/>
      <c r="X368" s="54"/>
      <c r="Y368" s="54"/>
      <c r="AB368" s="54"/>
      <c r="AC368" s="54"/>
      <c r="AD368" s="54"/>
      <c r="AG368" s="54"/>
      <c r="AH368" s="54"/>
      <c r="AI368" s="54"/>
    </row>
    <row r="369" spans="18:35" x14ac:dyDescent="0.35">
      <c r="R369" s="54"/>
      <c r="S369" s="54"/>
      <c r="T369" s="54"/>
      <c r="W369" s="54"/>
      <c r="X369" s="54"/>
      <c r="Y369" s="54"/>
      <c r="AB369" s="54"/>
      <c r="AC369" s="54"/>
      <c r="AD369" s="54"/>
      <c r="AG369" s="54"/>
      <c r="AH369" s="54"/>
      <c r="AI369" s="54"/>
    </row>
    <row r="370" spans="18:35" x14ac:dyDescent="0.35">
      <c r="R370" s="54"/>
      <c r="S370" s="54"/>
      <c r="T370" s="54"/>
      <c r="W370" s="54"/>
      <c r="X370" s="54"/>
      <c r="Y370" s="54"/>
      <c r="AB370" s="54"/>
      <c r="AC370" s="54"/>
      <c r="AD370" s="54"/>
      <c r="AG370" s="54"/>
      <c r="AH370" s="54"/>
      <c r="AI370" s="54"/>
    </row>
    <row r="371" spans="18:35" x14ac:dyDescent="0.35">
      <c r="R371" s="54"/>
      <c r="S371" s="54"/>
      <c r="T371" s="54"/>
      <c r="W371" s="54"/>
      <c r="X371" s="54"/>
      <c r="Y371" s="54"/>
      <c r="AB371" s="54"/>
      <c r="AC371" s="54"/>
      <c r="AD371" s="54"/>
      <c r="AG371" s="54"/>
      <c r="AH371" s="54"/>
      <c r="AI371" s="54"/>
    </row>
    <row r="372" spans="18:35" x14ac:dyDescent="0.35">
      <c r="R372" s="54"/>
      <c r="S372" s="54"/>
      <c r="T372" s="54"/>
      <c r="W372" s="54"/>
      <c r="X372" s="54"/>
      <c r="Y372" s="54"/>
      <c r="AB372" s="54"/>
      <c r="AC372" s="54"/>
      <c r="AD372" s="54"/>
      <c r="AG372" s="54"/>
      <c r="AH372" s="54"/>
      <c r="AI372" s="54"/>
    </row>
    <row r="373" spans="18:35" x14ac:dyDescent="0.35">
      <c r="R373" s="54"/>
      <c r="S373" s="54"/>
      <c r="T373" s="54"/>
      <c r="W373" s="54"/>
      <c r="X373" s="54"/>
      <c r="Y373" s="54"/>
      <c r="AB373" s="54"/>
      <c r="AC373" s="54"/>
      <c r="AD373" s="54"/>
      <c r="AG373" s="54"/>
      <c r="AH373" s="54"/>
      <c r="AI373" s="54"/>
    </row>
    <row r="374" spans="18:35" x14ac:dyDescent="0.35">
      <c r="R374" s="54"/>
      <c r="S374" s="54"/>
      <c r="T374" s="54"/>
      <c r="W374" s="54"/>
      <c r="X374" s="54"/>
      <c r="Y374" s="54"/>
      <c r="AB374" s="54"/>
      <c r="AC374" s="54"/>
      <c r="AD374" s="54"/>
      <c r="AG374" s="54"/>
      <c r="AH374" s="54"/>
      <c r="AI374" s="54"/>
    </row>
    <row r="375" spans="18:35" x14ac:dyDescent="0.35">
      <c r="R375" s="54"/>
      <c r="S375" s="54"/>
      <c r="T375" s="54"/>
      <c r="W375" s="54"/>
      <c r="X375" s="54"/>
      <c r="Y375" s="54"/>
      <c r="AB375" s="54"/>
      <c r="AC375" s="54"/>
      <c r="AD375" s="54"/>
      <c r="AG375" s="54"/>
      <c r="AH375" s="54"/>
      <c r="AI375" s="54"/>
    </row>
    <row r="376" spans="18:35" x14ac:dyDescent="0.35">
      <c r="R376" s="54"/>
      <c r="S376" s="54"/>
      <c r="T376" s="54"/>
      <c r="W376" s="54"/>
      <c r="X376" s="54"/>
      <c r="Y376" s="54"/>
      <c r="AB376" s="54"/>
      <c r="AC376" s="54"/>
      <c r="AD376" s="54"/>
      <c r="AG376" s="54"/>
      <c r="AH376" s="54"/>
      <c r="AI376" s="54"/>
    </row>
    <row r="377" spans="18:35" x14ac:dyDescent="0.35">
      <c r="R377" s="54"/>
      <c r="S377" s="54"/>
      <c r="T377" s="54"/>
      <c r="W377" s="54"/>
      <c r="X377" s="54"/>
      <c r="Y377" s="54"/>
      <c r="AB377" s="54"/>
      <c r="AC377" s="54"/>
      <c r="AD377" s="54"/>
      <c r="AG377" s="54"/>
      <c r="AH377" s="54"/>
      <c r="AI377" s="54"/>
    </row>
    <row r="378" spans="18:35" x14ac:dyDescent="0.35">
      <c r="R378" s="54"/>
      <c r="S378" s="54"/>
      <c r="T378" s="54"/>
      <c r="W378" s="54"/>
      <c r="X378" s="54"/>
      <c r="Y378" s="54"/>
      <c r="AB378" s="54"/>
      <c r="AC378" s="54"/>
      <c r="AD378" s="54"/>
      <c r="AG378" s="54"/>
      <c r="AH378" s="54"/>
      <c r="AI378" s="54"/>
    </row>
    <row r="379" spans="18:35" x14ac:dyDescent="0.35">
      <c r="R379" s="54"/>
      <c r="S379" s="54"/>
      <c r="T379" s="54"/>
      <c r="W379" s="54"/>
      <c r="X379" s="54"/>
      <c r="Y379" s="54"/>
      <c r="AB379" s="54"/>
      <c r="AC379" s="54"/>
      <c r="AD379" s="54"/>
      <c r="AG379" s="54"/>
      <c r="AH379" s="54"/>
      <c r="AI379" s="54"/>
    </row>
    <row r="380" spans="18:35" x14ac:dyDescent="0.35">
      <c r="R380" s="54"/>
      <c r="S380" s="54"/>
      <c r="T380" s="54"/>
      <c r="W380" s="54"/>
      <c r="X380" s="54"/>
      <c r="Y380" s="54"/>
      <c r="AB380" s="54"/>
      <c r="AC380" s="54"/>
      <c r="AD380" s="54"/>
      <c r="AG380" s="54"/>
      <c r="AH380" s="54"/>
      <c r="AI380" s="54"/>
    </row>
    <row r="381" spans="18:35" x14ac:dyDescent="0.35">
      <c r="R381" s="54"/>
      <c r="S381" s="54"/>
      <c r="T381" s="54"/>
      <c r="W381" s="54"/>
      <c r="X381" s="54"/>
      <c r="Y381" s="54"/>
      <c r="AB381" s="54"/>
      <c r="AC381" s="54"/>
      <c r="AD381" s="54"/>
      <c r="AG381" s="54"/>
      <c r="AH381" s="54"/>
      <c r="AI381" s="54"/>
    </row>
    <row r="382" spans="18:35" x14ac:dyDescent="0.35">
      <c r="R382" s="54"/>
      <c r="S382" s="54"/>
      <c r="T382" s="54"/>
      <c r="W382" s="54"/>
      <c r="X382" s="54"/>
      <c r="Y382" s="54"/>
      <c r="AB382" s="54"/>
      <c r="AC382" s="54"/>
      <c r="AD382" s="54"/>
      <c r="AG382" s="54"/>
      <c r="AH382" s="54"/>
      <c r="AI382" s="54"/>
    </row>
    <row r="383" spans="18:35" x14ac:dyDescent="0.35">
      <c r="R383" s="54"/>
      <c r="S383" s="54"/>
      <c r="T383" s="54"/>
      <c r="W383" s="54"/>
      <c r="X383" s="54"/>
      <c r="Y383" s="54"/>
      <c r="AB383" s="54"/>
      <c r="AC383" s="54"/>
      <c r="AD383" s="54"/>
      <c r="AG383" s="54"/>
      <c r="AH383" s="54"/>
      <c r="AI383" s="54"/>
    </row>
    <row r="384" spans="18:35" x14ac:dyDescent="0.35">
      <c r="R384" s="54"/>
      <c r="S384" s="54"/>
      <c r="T384" s="54"/>
      <c r="W384" s="54"/>
      <c r="X384" s="54"/>
      <c r="Y384" s="54"/>
      <c r="AB384" s="54"/>
      <c r="AC384" s="54"/>
      <c r="AD384" s="54"/>
      <c r="AG384" s="54"/>
      <c r="AH384" s="54"/>
      <c r="AI384" s="54"/>
    </row>
    <row r="385" spans="18:35" x14ac:dyDescent="0.35">
      <c r="R385" s="54"/>
      <c r="S385" s="54"/>
      <c r="T385" s="54"/>
      <c r="W385" s="54"/>
      <c r="X385" s="54"/>
      <c r="Y385" s="54"/>
      <c r="AB385" s="54"/>
      <c r="AC385" s="54"/>
      <c r="AD385" s="54"/>
      <c r="AG385" s="54"/>
      <c r="AH385" s="54"/>
      <c r="AI385" s="54"/>
    </row>
    <row r="386" spans="18:35" x14ac:dyDescent="0.35">
      <c r="R386" s="54"/>
      <c r="S386" s="54"/>
      <c r="T386" s="54"/>
      <c r="W386" s="54"/>
      <c r="X386" s="54"/>
      <c r="Y386" s="54"/>
      <c r="AB386" s="54"/>
      <c r="AC386" s="54"/>
      <c r="AD386" s="54"/>
      <c r="AG386" s="54"/>
      <c r="AH386" s="54"/>
      <c r="AI386" s="54"/>
    </row>
    <row r="387" spans="18:35" x14ac:dyDescent="0.35">
      <c r="R387" s="54"/>
      <c r="S387" s="54"/>
      <c r="T387" s="54"/>
      <c r="W387" s="54"/>
      <c r="X387" s="54"/>
      <c r="Y387" s="54"/>
      <c r="AB387" s="54"/>
      <c r="AC387" s="54"/>
      <c r="AD387" s="54"/>
      <c r="AG387" s="54"/>
      <c r="AH387" s="54"/>
      <c r="AI387" s="54"/>
    </row>
    <row r="388" spans="18:35" x14ac:dyDescent="0.35">
      <c r="R388" s="54"/>
      <c r="S388" s="54"/>
      <c r="T388" s="54"/>
      <c r="W388" s="54"/>
      <c r="X388" s="54"/>
      <c r="Y388" s="54"/>
      <c r="AB388" s="54"/>
      <c r="AC388" s="54"/>
      <c r="AD388" s="54"/>
      <c r="AG388" s="54"/>
      <c r="AH388" s="54"/>
      <c r="AI388" s="54"/>
    </row>
    <row r="389" spans="18:35" x14ac:dyDescent="0.35">
      <c r="R389" s="54"/>
      <c r="S389" s="54"/>
      <c r="T389" s="54"/>
      <c r="W389" s="54"/>
      <c r="X389" s="54"/>
      <c r="Y389" s="54"/>
      <c r="AB389" s="54"/>
      <c r="AC389" s="54"/>
      <c r="AD389" s="54"/>
      <c r="AG389" s="54"/>
      <c r="AH389" s="54"/>
      <c r="AI389" s="54"/>
    </row>
    <row r="390" spans="18:35" x14ac:dyDescent="0.35">
      <c r="R390" s="54"/>
      <c r="S390" s="54"/>
      <c r="T390" s="54"/>
      <c r="W390" s="54"/>
      <c r="X390" s="54"/>
      <c r="Y390" s="54"/>
      <c r="AB390" s="54"/>
      <c r="AC390" s="54"/>
      <c r="AD390" s="54"/>
      <c r="AG390" s="54"/>
      <c r="AH390" s="54"/>
      <c r="AI390" s="54"/>
    </row>
    <row r="391" spans="18:35" x14ac:dyDescent="0.35">
      <c r="R391" s="54"/>
      <c r="S391" s="54"/>
      <c r="T391" s="54"/>
      <c r="W391" s="54"/>
      <c r="X391" s="54"/>
      <c r="Y391" s="54"/>
      <c r="AB391" s="54"/>
      <c r="AC391" s="54"/>
      <c r="AD391" s="54"/>
      <c r="AG391" s="54"/>
      <c r="AH391" s="54"/>
      <c r="AI391" s="54"/>
    </row>
    <row r="392" spans="18:35" x14ac:dyDescent="0.35">
      <c r="R392" s="54"/>
      <c r="S392" s="54"/>
      <c r="T392" s="54"/>
      <c r="W392" s="54"/>
      <c r="X392" s="54"/>
      <c r="Y392" s="54"/>
      <c r="AB392" s="54"/>
      <c r="AC392" s="54"/>
      <c r="AD392" s="54"/>
      <c r="AG392" s="54"/>
      <c r="AH392" s="54"/>
      <c r="AI392" s="54"/>
    </row>
    <row r="393" spans="18:35" x14ac:dyDescent="0.35">
      <c r="R393" s="54"/>
      <c r="S393" s="54"/>
      <c r="T393" s="54"/>
      <c r="W393" s="54"/>
      <c r="X393" s="54"/>
      <c r="Y393" s="54"/>
      <c r="AB393" s="54"/>
      <c r="AC393" s="54"/>
      <c r="AD393" s="54"/>
      <c r="AG393" s="54"/>
      <c r="AH393" s="54"/>
      <c r="AI393" s="54"/>
    </row>
    <row r="394" spans="18:35" x14ac:dyDescent="0.35">
      <c r="R394" s="54"/>
      <c r="S394" s="54"/>
      <c r="T394" s="54"/>
      <c r="W394" s="54"/>
      <c r="X394" s="54"/>
      <c r="Y394" s="54"/>
      <c r="AB394" s="54"/>
      <c r="AC394" s="54"/>
      <c r="AD394" s="54"/>
      <c r="AG394" s="54"/>
      <c r="AH394" s="54"/>
      <c r="AI394" s="54"/>
    </row>
    <row r="395" spans="18:35" x14ac:dyDescent="0.35">
      <c r="R395" s="54"/>
      <c r="S395" s="54"/>
      <c r="T395" s="54"/>
      <c r="W395" s="54"/>
      <c r="X395" s="54"/>
      <c r="Y395" s="54"/>
      <c r="AB395" s="54"/>
      <c r="AC395" s="54"/>
      <c r="AD395" s="54"/>
      <c r="AG395" s="54"/>
      <c r="AH395" s="54"/>
      <c r="AI395" s="54"/>
    </row>
    <row r="396" spans="18:35" x14ac:dyDescent="0.35">
      <c r="R396" s="54"/>
      <c r="S396" s="54"/>
      <c r="T396" s="54"/>
      <c r="W396" s="54"/>
      <c r="X396" s="54"/>
      <c r="Y396" s="54"/>
      <c r="AB396" s="54"/>
      <c r="AC396" s="54"/>
      <c r="AD396" s="54"/>
      <c r="AG396" s="54"/>
      <c r="AH396" s="54"/>
      <c r="AI396" s="54"/>
    </row>
    <row r="397" spans="18:35" x14ac:dyDescent="0.35">
      <c r="R397" s="54"/>
      <c r="S397" s="54"/>
      <c r="T397" s="54"/>
      <c r="W397" s="54"/>
      <c r="X397" s="54"/>
      <c r="Y397" s="54"/>
      <c r="AB397" s="54"/>
      <c r="AC397" s="54"/>
      <c r="AD397" s="54"/>
      <c r="AG397" s="54"/>
      <c r="AH397" s="54"/>
      <c r="AI397" s="54"/>
    </row>
    <row r="398" spans="18:35" x14ac:dyDescent="0.35">
      <c r="R398" s="54"/>
      <c r="S398" s="54"/>
      <c r="T398" s="54"/>
      <c r="W398" s="54"/>
      <c r="X398" s="54"/>
      <c r="Y398" s="54"/>
      <c r="AB398" s="54"/>
      <c r="AC398" s="54"/>
      <c r="AD398" s="54"/>
      <c r="AG398" s="54"/>
      <c r="AH398" s="54"/>
      <c r="AI398" s="54"/>
    </row>
    <row r="399" spans="18:35" x14ac:dyDescent="0.35">
      <c r="R399" s="54"/>
      <c r="S399" s="54"/>
      <c r="T399" s="54"/>
      <c r="W399" s="54"/>
      <c r="X399" s="54"/>
      <c r="Y399" s="54"/>
      <c r="AB399" s="54"/>
      <c r="AC399" s="54"/>
      <c r="AD399" s="54"/>
      <c r="AG399" s="54"/>
      <c r="AH399" s="54"/>
      <c r="AI399" s="54"/>
    </row>
    <row r="400" spans="18:35" x14ac:dyDescent="0.35">
      <c r="R400" s="54"/>
      <c r="S400" s="54"/>
      <c r="T400" s="54"/>
      <c r="W400" s="54"/>
      <c r="X400" s="54"/>
      <c r="Y400" s="54"/>
      <c r="AB400" s="54"/>
      <c r="AC400" s="54"/>
      <c r="AD400" s="54"/>
      <c r="AG400" s="54"/>
      <c r="AH400" s="54"/>
      <c r="AI400" s="54"/>
    </row>
    <row r="401" spans="18:35" x14ac:dyDescent="0.35">
      <c r="R401" s="54"/>
      <c r="S401" s="54"/>
      <c r="T401" s="54"/>
      <c r="W401" s="54"/>
      <c r="X401" s="54"/>
      <c r="Y401" s="54"/>
      <c r="AB401" s="54"/>
      <c r="AC401" s="54"/>
      <c r="AD401" s="54"/>
      <c r="AG401" s="54"/>
      <c r="AH401" s="54"/>
      <c r="AI401" s="54"/>
    </row>
    <row r="402" spans="18:35" x14ac:dyDescent="0.35">
      <c r="R402" s="54"/>
      <c r="S402" s="54"/>
      <c r="T402" s="54"/>
      <c r="W402" s="54"/>
      <c r="X402" s="54"/>
      <c r="Y402" s="54"/>
      <c r="AB402" s="54"/>
      <c r="AC402" s="54"/>
      <c r="AD402" s="54"/>
      <c r="AG402" s="54"/>
      <c r="AH402" s="54"/>
      <c r="AI402" s="54"/>
    </row>
    <row r="403" spans="18:35" x14ac:dyDescent="0.35">
      <c r="R403" s="54"/>
      <c r="S403" s="54"/>
      <c r="T403" s="54"/>
      <c r="W403" s="54"/>
      <c r="X403" s="54"/>
      <c r="Y403" s="54"/>
      <c r="AB403" s="54"/>
      <c r="AC403" s="54"/>
      <c r="AD403" s="54"/>
      <c r="AG403" s="54"/>
      <c r="AH403" s="54"/>
      <c r="AI403" s="54"/>
    </row>
    <row r="404" spans="18:35" x14ac:dyDescent="0.35">
      <c r="R404" s="54"/>
      <c r="S404" s="54"/>
      <c r="T404" s="54"/>
      <c r="W404" s="54"/>
      <c r="X404" s="54"/>
      <c r="Y404" s="54"/>
      <c r="AB404" s="54"/>
      <c r="AC404" s="54"/>
      <c r="AD404" s="54"/>
      <c r="AG404" s="54"/>
      <c r="AH404" s="54"/>
      <c r="AI404" s="54"/>
    </row>
    <row r="405" spans="18:35" x14ac:dyDescent="0.35">
      <c r="R405" s="54"/>
      <c r="S405" s="54"/>
      <c r="T405" s="54"/>
      <c r="W405" s="54"/>
      <c r="X405" s="54"/>
      <c r="Y405" s="54"/>
      <c r="AB405" s="54"/>
      <c r="AC405" s="54"/>
      <c r="AD405" s="54"/>
      <c r="AG405" s="54"/>
      <c r="AH405" s="54"/>
      <c r="AI405" s="54"/>
    </row>
    <row r="406" spans="18:35" x14ac:dyDescent="0.35">
      <c r="R406" s="54"/>
      <c r="S406" s="54"/>
      <c r="T406" s="54"/>
      <c r="W406" s="54"/>
      <c r="X406" s="54"/>
      <c r="Y406" s="54"/>
      <c r="AB406" s="54"/>
      <c r="AC406" s="54"/>
      <c r="AD406" s="54"/>
      <c r="AG406" s="54"/>
      <c r="AH406" s="54"/>
      <c r="AI406" s="54"/>
    </row>
    <row r="407" spans="18:35" x14ac:dyDescent="0.35">
      <c r="R407" s="54"/>
      <c r="S407" s="54"/>
      <c r="T407" s="54"/>
      <c r="W407" s="54"/>
      <c r="X407" s="54"/>
      <c r="Y407" s="54"/>
      <c r="AB407" s="54"/>
      <c r="AC407" s="54"/>
      <c r="AD407" s="54"/>
      <c r="AG407" s="54"/>
      <c r="AH407" s="54"/>
      <c r="AI407" s="54"/>
    </row>
    <row r="408" spans="18:35" x14ac:dyDescent="0.35">
      <c r="R408" s="54"/>
      <c r="S408" s="54"/>
      <c r="T408" s="54"/>
      <c r="W408" s="54"/>
      <c r="X408" s="54"/>
      <c r="Y408" s="54"/>
      <c r="AB408" s="54"/>
      <c r="AC408" s="54"/>
      <c r="AD408" s="54"/>
      <c r="AG408" s="54"/>
      <c r="AH408" s="54"/>
      <c r="AI408" s="54"/>
    </row>
    <row r="409" spans="18:35" x14ac:dyDescent="0.35">
      <c r="R409" s="54"/>
      <c r="S409" s="54"/>
      <c r="T409" s="54"/>
      <c r="W409" s="54"/>
      <c r="X409" s="54"/>
      <c r="Y409" s="54"/>
      <c r="AB409" s="54"/>
      <c r="AC409" s="54"/>
      <c r="AD409" s="54"/>
      <c r="AG409" s="54"/>
      <c r="AH409" s="54"/>
      <c r="AI409" s="54"/>
    </row>
    <row r="410" spans="18:35" x14ac:dyDescent="0.35">
      <c r="R410" s="54"/>
      <c r="S410" s="54"/>
      <c r="T410" s="54"/>
      <c r="W410" s="54"/>
      <c r="X410" s="54"/>
      <c r="Y410" s="54"/>
      <c r="AB410" s="54"/>
      <c r="AC410" s="54"/>
      <c r="AD410" s="54"/>
      <c r="AG410" s="54"/>
      <c r="AH410" s="54"/>
      <c r="AI410" s="54"/>
    </row>
    <row r="411" spans="18:35" x14ac:dyDescent="0.35">
      <c r="R411" s="54"/>
      <c r="S411" s="54"/>
      <c r="T411" s="54"/>
      <c r="W411" s="54"/>
      <c r="X411" s="54"/>
      <c r="Y411" s="54"/>
      <c r="AB411" s="54"/>
      <c r="AC411" s="54"/>
      <c r="AD411" s="54"/>
      <c r="AG411" s="54"/>
      <c r="AH411" s="54"/>
      <c r="AI411" s="54"/>
    </row>
    <row r="412" spans="18:35" x14ac:dyDescent="0.35">
      <c r="R412" s="54"/>
      <c r="S412" s="54"/>
      <c r="T412" s="54"/>
      <c r="W412" s="54"/>
      <c r="X412" s="54"/>
      <c r="Y412" s="54"/>
      <c r="AB412" s="54"/>
      <c r="AC412" s="54"/>
      <c r="AD412" s="54"/>
      <c r="AG412" s="54"/>
      <c r="AH412" s="54"/>
      <c r="AI412" s="54"/>
    </row>
    <row r="413" spans="18:35" x14ac:dyDescent="0.35">
      <c r="R413" s="54"/>
      <c r="S413" s="54"/>
      <c r="T413" s="54"/>
      <c r="W413" s="54"/>
      <c r="X413" s="54"/>
      <c r="Y413" s="54"/>
      <c r="AB413" s="54"/>
      <c r="AC413" s="54"/>
      <c r="AD413" s="54"/>
      <c r="AG413" s="54"/>
      <c r="AH413" s="54"/>
      <c r="AI413" s="54"/>
    </row>
    <row r="414" spans="18:35" x14ac:dyDescent="0.35">
      <c r="R414" s="54"/>
      <c r="S414" s="54"/>
      <c r="T414" s="54"/>
      <c r="W414" s="54"/>
      <c r="X414" s="54"/>
      <c r="Y414" s="54"/>
      <c r="AB414" s="54"/>
      <c r="AC414" s="54"/>
      <c r="AD414" s="54"/>
      <c r="AG414" s="54"/>
      <c r="AH414" s="54"/>
      <c r="AI414" s="54"/>
    </row>
    <row r="415" spans="18:35" x14ac:dyDescent="0.35">
      <c r="R415" s="54"/>
      <c r="S415" s="54"/>
      <c r="T415" s="54"/>
      <c r="W415" s="54"/>
      <c r="X415" s="54"/>
      <c r="Y415" s="54"/>
      <c r="AB415" s="54"/>
      <c r="AC415" s="54"/>
      <c r="AD415" s="54"/>
      <c r="AG415" s="54"/>
      <c r="AH415" s="54"/>
      <c r="AI415" s="54"/>
    </row>
    <row r="416" spans="18:35" x14ac:dyDescent="0.35">
      <c r="R416" s="54"/>
      <c r="S416" s="54"/>
      <c r="T416" s="54"/>
      <c r="W416" s="54"/>
      <c r="X416" s="54"/>
      <c r="Y416" s="54"/>
      <c r="AB416" s="54"/>
      <c r="AC416" s="54"/>
      <c r="AD416" s="54"/>
      <c r="AG416" s="54"/>
      <c r="AH416" s="54"/>
      <c r="AI416" s="54"/>
    </row>
    <row r="417" spans="18:35" x14ac:dyDescent="0.35">
      <c r="R417" s="54"/>
      <c r="S417" s="54"/>
      <c r="T417" s="54"/>
      <c r="W417" s="54"/>
      <c r="X417" s="54"/>
      <c r="Y417" s="54"/>
      <c r="AB417" s="54"/>
      <c r="AC417" s="54"/>
      <c r="AD417" s="54"/>
      <c r="AG417" s="54"/>
      <c r="AH417" s="54"/>
      <c r="AI417" s="54"/>
    </row>
    <row r="418" spans="18:35" x14ac:dyDescent="0.35">
      <c r="R418" s="54"/>
      <c r="S418" s="54"/>
      <c r="T418" s="54"/>
      <c r="W418" s="54"/>
      <c r="X418" s="54"/>
      <c r="Y418" s="54"/>
      <c r="AB418" s="54"/>
      <c r="AC418" s="54"/>
      <c r="AD418" s="54"/>
      <c r="AG418" s="54"/>
      <c r="AH418" s="54"/>
      <c r="AI418" s="54"/>
    </row>
    <row r="419" spans="18:35" x14ac:dyDescent="0.35">
      <c r="R419" s="54"/>
      <c r="S419" s="54"/>
      <c r="T419" s="54"/>
      <c r="W419" s="54"/>
      <c r="X419" s="54"/>
      <c r="Y419" s="54"/>
      <c r="AB419" s="54"/>
      <c r="AC419" s="54"/>
      <c r="AD419" s="54"/>
      <c r="AG419" s="54"/>
      <c r="AH419" s="54"/>
      <c r="AI419" s="54"/>
    </row>
    <row r="420" spans="18:35" x14ac:dyDescent="0.35">
      <c r="R420" s="54"/>
      <c r="S420" s="54"/>
      <c r="T420" s="54"/>
      <c r="W420" s="54"/>
      <c r="X420" s="54"/>
      <c r="Y420" s="54"/>
      <c r="AB420" s="54"/>
      <c r="AC420" s="54"/>
      <c r="AD420" s="54"/>
      <c r="AG420" s="54"/>
      <c r="AH420" s="54"/>
      <c r="AI420" s="54"/>
    </row>
    <row r="421" spans="18:35" x14ac:dyDescent="0.35">
      <c r="R421" s="54"/>
      <c r="S421" s="54"/>
      <c r="T421" s="54"/>
      <c r="W421" s="54"/>
      <c r="X421" s="54"/>
      <c r="Y421" s="54"/>
      <c r="AB421" s="54"/>
      <c r="AC421" s="54"/>
      <c r="AD421" s="54"/>
      <c r="AG421" s="54"/>
      <c r="AH421" s="54"/>
      <c r="AI421" s="54"/>
    </row>
    <row r="422" spans="18:35" x14ac:dyDescent="0.35">
      <c r="R422" s="54"/>
      <c r="S422" s="54"/>
      <c r="T422" s="54"/>
      <c r="W422" s="54"/>
      <c r="X422" s="54"/>
      <c r="Y422" s="54"/>
      <c r="AB422" s="54"/>
      <c r="AC422" s="54"/>
      <c r="AD422" s="54"/>
      <c r="AG422" s="54"/>
      <c r="AH422" s="54"/>
      <c r="AI422" s="54"/>
    </row>
    <row r="423" spans="18:35" x14ac:dyDescent="0.35">
      <c r="R423" s="54"/>
      <c r="S423" s="54"/>
      <c r="T423" s="54"/>
      <c r="W423" s="54"/>
      <c r="X423" s="54"/>
      <c r="Y423" s="54"/>
      <c r="AB423" s="54"/>
      <c r="AC423" s="54"/>
      <c r="AD423" s="54"/>
      <c r="AG423" s="54"/>
      <c r="AH423" s="54"/>
      <c r="AI423" s="54"/>
    </row>
    <row r="424" spans="18:35" x14ac:dyDescent="0.35">
      <c r="R424" s="54"/>
      <c r="S424" s="54"/>
      <c r="T424" s="54"/>
      <c r="W424" s="54"/>
      <c r="X424" s="54"/>
      <c r="Y424" s="54"/>
      <c r="AB424" s="54"/>
      <c r="AC424" s="54"/>
      <c r="AD424" s="54"/>
      <c r="AG424" s="54"/>
      <c r="AH424" s="54"/>
      <c r="AI424" s="54"/>
    </row>
    <row r="425" spans="18:35" x14ac:dyDescent="0.35">
      <c r="R425" s="54"/>
      <c r="S425" s="54"/>
      <c r="T425" s="54"/>
      <c r="W425" s="54"/>
      <c r="X425" s="54"/>
      <c r="Y425" s="54"/>
      <c r="AB425" s="54"/>
      <c r="AC425" s="54"/>
      <c r="AD425" s="54"/>
      <c r="AG425" s="54"/>
      <c r="AH425" s="54"/>
      <c r="AI425" s="54"/>
    </row>
    <row r="426" spans="18:35" x14ac:dyDescent="0.35">
      <c r="R426" s="54"/>
      <c r="S426" s="54"/>
      <c r="T426" s="54"/>
      <c r="W426" s="54"/>
      <c r="X426" s="54"/>
      <c r="Y426" s="54"/>
      <c r="AB426" s="54"/>
      <c r="AC426" s="54"/>
      <c r="AD426" s="54"/>
      <c r="AG426" s="54"/>
      <c r="AH426" s="54"/>
      <c r="AI426" s="54"/>
    </row>
    <row r="427" spans="18:35" x14ac:dyDescent="0.35">
      <c r="R427" s="54"/>
      <c r="S427" s="54"/>
      <c r="T427" s="54"/>
      <c r="W427" s="54"/>
      <c r="X427" s="54"/>
      <c r="Y427" s="54"/>
      <c r="AB427" s="54"/>
      <c r="AC427" s="54"/>
      <c r="AD427" s="54"/>
      <c r="AG427" s="54"/>
      <c r="AH427" s="54"/>
      <c r="AI427" s="54"/>
    </row>
    <row r="428" spans="18:35" x14ac:dyDescent="0.35">
      <c r="R428" s="54"/>
      <c r="S428" s="54"/>
      <c r="T428" s="54"/>
      <c r="W428" s="54"/>
      <c r="X428" s="54"/>
      <c r="Y428" s="54"/>
      <c r="AB428" s="54"/>
      <c r="AC428" s="54"/>
      <c r="AD428" s="54"/>
      <c r="AG428" s="54"/>
      <c r="AH428" s="54"/>
      <c r="AI428" s="54"/>
    </row>
    <row r="429" spans="18:35" x14ac:dyDescent="0.35">
      <c r="R429" s="54"/>
      <c r="S429" s="54"/>
      <c r="T429" s="54"/>
      <c r="W429" s="54"/>
      <c r="X429" s="54"/>
      <c r="Y429" s="54"/>
      <c r="AB429" s="54"/>
      <c r="AC429" s="54"/>
      <c r="AD429" s="54"/>
      <c r="AG429" s="54"/>
      <c r="AH429" s="54"/>
      <c r="AI429" s="54"/>
    </row>
    <row r="430" spans="18:35" x14ac:dyDescent="0.35">
      <c r="R430" s="54"/>
      <c r="S430" s="54"/>
      <c r="T430" s="54"/>
      <c r="W430" s="54"/>
      <c r="X430" s="54"/>
      <c r="Y430" s="54"/>
      <c r="AB430" s="54"/>
      <c r="AC430" s="54"/>
      <c r="AD430" s="54"/>
      <c r="AG430" s="54"/>
      <c r="AH430" s="54"/>
      <c r="AI430" s="54"/>
    </row>
    <row r="431" spans="18:35" x14ac:dyDescent="0.35">
      <c r="R431" s="54"/>
      <c r="S431" s="54"/>
      <c r="T431" s="54"/>
      <c r="W431" s="54"/>
      <c r="X431" s="54"/>
      <c r="Y431" s="54"/>
      <c r="AB431" s="54"/>
      <c r="AC431" s="54"/>
      <c r="AD431" s="54"/>
      <c r="AG431" s="54"/>
      <c r="AH431" s="54"/>
      <c r="AI431" s="54"/>
    </row>
    <row r="432" spans="18:35" x14ac:dyDescent="0.35">
      <c r="R432" s="54"/>
      <c r="S432" s="54"/>
      <c r="T432" s="54"/>
      <c r="W432" s="54"/>
      <c r="X432" s="54"/>
      <c r="Y432" s="54"/>
      <c r="AB432" s="54"/>
      <c r="AC432" s="54"/>
      <c r="AD432" s="54"/>
      <c r="AG432" s="54"/>
      <c r="AH432" s="54"/>
      <c r="AI432" s="54"/>
    </row>
    <row r="433" spans="18:35" x14ac:dyDescent="0.35">
      <c r="R433" s="54"/>
      <c r="S433" s="54"/>
      <c r="T433" s="54"/>
      <c r="W433" s="54"/>
      <c r="X433" s="54"/>
      <c r="Y433" s="54"/>
      <c r="AB433" s="54"/>
      <c r="AC433" s="54"/>
      <c r="AD433" s="54"/>
      <c r="AG433" s="54"/>
      <c r="AH433" s="54"/>
      <c r="AI433" s="54"/>
    </row>
    <row r="434" spans="18:35" x14ac:dyDescent="0.35">
      <c r="R434" s="54"/>
      <c r="S434" s="54"/>
      <c r="T434" s="54"/>
      <c r="W434" s="54"/>
      <c r="X434" s="54"/>
      <c r="Y434" s="54"/>
      <c r="AB434" s="54"/>
      <c r="AC434" s="54"/>
      <c r="AD434" s="54"/>
      <c r="AG434" s="54"/>
      <c r="AH434" s="54"/>
      <c r="AI434" s="54"/>
    </row>
    <row r="435" spans="18:35" x14ac:dyDescent="0.35">
      <c r="R435" s="54"/>
      <c r="S435" s="54"/>
      <c r="T435" s="54"/>
      <c r="W435" s="54"/>
      <c r="X435" s="54"/>
      <c r="Y435" s="54"/>
      <c r="AB435" s="54"/>
      <c r="AC435" s="54"/>
      <c r="AD435" s="54"/>
      <c r="AG435" s="54"/>
      <c r="AH435" s="54"/>
      <c r="AI435" s="54"/>
    </row>
    <row r="436" spans="18:35" x14ac:dyDescent="0.35">
      <c r="R436" s="54"/>
      <c r="S436" s="54"/>
      <c r="T436" s="54"/>
      <c r="W436" s="54"/>
      <c r="X436" s="54"/>
      <c r="Y436" s="54"/>
      <c r="AB436" s="54"/>
      <c r="AC436" s="54"/>
      <c r="AD436" s="54"/>
      <c r="AG436" s="54"/>
      <c r="AH436" s="54"/>
      <c r="AI436" s="54"/>
    </row>
    <row r="437" spans="18:35" x14ac:dyDescent="0.35">
      <c r="R437" s="54"/>
      <c r="S437" s="54"/>
      <c r="T437" s="54"/>
      <c r="W437" s="54"/>
      <c r="X437" s="54"/>
      <c r="Y437" s="54"/>
      <c r="AB437" s="54"/>
      <c r="AC437" s="54"/>
      <c r="AD437" s="54"/>
      <c r="AG437" s="54"/>
      <c r="AH437" s="54"/>
      <c r="AI437" s="54"/>
    </row>
    <row r="438" spans="18:35" x14ac:dyDescent="0.35">
      <c r="R438" s="54"/>
      <c r="S438" s="54"/>
      <c r="T438" s="54"/>
      <c r="W438" s="54"/>
      <c r="X438" s="54"/>
      <c r="Y438" s="54"/>
      <c r="AB438" s="54"/>
      <c r="AC438" s="54"/>
      <c r="AD438" s="54"/>
      <c r="AG438" s="54"/>
      <c r="AH438" s="54"/>
      <c r="AI438" s="54"/>
    </row>
    <row r="439" spans="18:35" x14ac:dyDescent="0.35">
      <c r="R439" s="54"/>
      <c r="S439" s="54"/>
      <c r="T439" s="54"/>
      <c r="W439" s="54"/>
      <c r="X439" s="54"/>
      <c r="Y439" s="54"/>
      <c r="AB439" s="54"/>
      <c r="AC439" s="54"/>
      <c r="AD439" s="54"/>
      <c r="AG439" s="54"/>
      <c r="AH439" s="54"/>
      <c r="AI439" s="54"/>
    </row>
    <row r="440" spans="18:35" x14ac:dyDescent="0.35">
      <c r="R440" s="54"/>
      <c r="S440" s="54"/>
      <c r="T440" s="54"/>
      <c r="W440" s="54"/>
      <c r="X440" s="54"/>
      <c r="Y440" s="54"/>
      <c r="AB440" s="54"/>
      <c r="AC440" s="54"/>
      <c r="AD440" s="54"/>
      <c r="AG440" s="54"/>
      <c r="AH440" s="54"/>
      <c r="AI440" s="54"/>
    </row>
    <row r="441" spans="18:35" x14ac:dyDescent="0.35">
      <c r="R441" s="54"/>
      <c r="S441" s="54"/>
      <c r="T441" s="54"/>
      <c r="W441" s="54"/>
      <c r="X441" s="54"/>
      <c r="Y441" s="54"/>
      <c r="AB441" s="54"/>
      <c r="AC441" s="54"/>
      <c r="AD441" s="54"/>
      <c r="AG441" s="54"/>
      <c r="AH441" s="54"/>
      <c r="AI441" s="54"/>
    </row>
    <row r="442" spans="18:35" x14ac:dyDescent="0.35">
      <c r="R442" s="54"/>
      <c r="S442" s="54"/>
      <c r="T442" s="54"/>
      <c r="W442" s="54"/>
      <c r="X442" s="54"/>
      <c r="Y442" s="54"/>
      <c r="AB442" s="54"/>
      <c r="AC442" s="54"/>
      <c r="AD442" s="54"/>
      <c r="AG442" s="54"/>
      <c r="AH442" s="54"/>
      <c r="AI442" s="54"/>
    </row>
    <row r="443" spans="18:35" x14ac:dyDescent="0.35">
      <c r="R443" s="54"/>
      <c r="S443" s="54"/>
      <c r="T443" s="54"/>
      <c r="W443" s="54"/>
      <c r="X443" s="54"/>
      <c r="Y443" s="54"/>
      <c r="AB443" s="54"/>
      <c r="AC443" s="54"/>
      <c r="AD443" s="54"/>
      <c r="AG443" s="54"/>
      <c r="AH443" s="54"/>
      <c r="AI443" s="54"/>
    </row>
    <row r="444" spans="18:35" x14ac:dyDescent="0.35">
      <c r="R444" s="54"/>
      <c r="S444" s="54"/>
      <c r="T444" s="54"/>
      <c r="W444" s="54"/>
      <c r="X444" s="54"/>
      <c r="Y444" s="54"/>
      <c r="AB444" s="54"/>
      <c r="AC444" s="54"/>
      <c r="AD444" s="54"/>
      <c r="AG444" s="54"/>
      <c r="AH444" s="54"/>
      <c r="AI444" s="54"/>
    </row>
    <row r="445" spans="18:35" x14ac:dyDescent="0.35">
      <c r="R445" s="54"/>
      <c r="S445" s="54"/>
      <c r="T445" s="54"/>
      <c r="W445" s="54"/>
      <c r="X445" s="54"/>
      <c r="Y445" s="54"/>
      <c r="AB445" s="54"/>
      <c r="AC445" s="54"/>
      <c r="AD445" s="54"/>
      <c r="AG445" s="54"/>
      <c r="AH445" s="54"/>
      <c r="AI445" s="54"/>
    </row>
    <row r="446" spans="18:35" x14ac:dyDescent="0.35">
      <c r="R446" s="54"/>
      <c r="S446" s="54"/>
      <c r="T446" s="54"/>
      <c r="W446" s="54"/>
      <c r="X446" s="54"/>
      <c r="Y446" s="54"/>
      <c r="AB446" s="54"/>
      <c r="AC446" s="54"/>
      <c r="AD446" s="54"/>
      <c r="AG446" s="54"/>
      <c r="AH446" s="54"/>
      <c r="AI446" s="54"/>
    </row>
    <row r="447" spans="18:35" x14ac:dyDescent="0.35">
      <c r="R447" s="54"/>
      <c r="S447" s="54"/>
      <c r="T447" s="54"/>
      <c r="W447" s="54"/>
      <c r="X447" s="54"/>
      <c r="Y447" s="54"/>
      <c r="AB447" s="54"/>
      <c r="AC447" s="54"/>
      <c r="AD447" s="54"/>
      <c r="AG447" s="54"/>
      <c r="AH447" s="54"/>
      <c r="AI447" s="54"/>
    </row>
    <row r="448" spans="18:35" x14ac:dyDescent="0.35">
      <c r="R448" s="54"/>
      <c r="S448" s="54"/>
      <c r="T448" s="54"/>
      <c r="W448" s="54"/>
      <c r="X448" s="54"/>
      <c r="Y448" s="54"/>
      <c r="AB448" s="54"/>
      <c r="AC448" s="54"/>
      <c r="AD448" s="54"/>
      <c r="AG448" s="54"/>
      <c r="AH448" s="54"/>
      <c r="AI448" s="54"/>
    </row>
    <row r="449" spans="18:35" x14ac:dyDescent="0.35">
      <c r="R449" s="54"/>
      <c r="S449" s="54"/>
      <c r="T449" s="54"/>
      <c r="W449" s="54"/>
      <c r="X449" s="54"/>
      <c r="Y449" s="54"/>
      <c r="AB449" s="54"/>
      <c r="AC449" s="54"/>
      <c r="AD449" s="54"/>
      <c r="AG449" s="54"/>
      <c r="AH449" s="54"/>
      <c r="AI449" s="54"/>
    </row>
    <row r="450" spans="18:35" x14ac:dyDescent="0.35">
      <c r="R450" s="54"/>
      <c r="S450" s="54"/>
      <c r="T450" s="54"/>
      <c r="W450" s="54"/>
      <c r="X450" s="54"/>
      <c r="Y450" s="54"/>
      <c r="AB450" s="54"/>
      <c r="AC450" s="54"/>
      <c r="AD450" s="54"/>
      <c r="AG450" s="54"/>
      <c r="AH450" s="54"/>
      <c r="AI450" s="54"/>
    </row>
    <row r="451" spans="18:35" x14ac:dyDescent="0.35">
      <c r="R451" s="54"/>
      <c r="S451" s="54"/>
      <c r="T451" s="54"/>
      <c r="W451" s="54"/>
      <c r="X451" s="54"/>
      <c r="Y451" s="54"/>
      <c r="AB451" s="54"/>
      <c r="AC451" s="54"/>
      <c r="AD451" s="54"/>
      <c r="AG451" s="54"/>
      <c r="AH451" s="54"/>
      <c r="AI451" s="54"/>
    </row>
    <row r="452" spans="18:35" x14ac:dyDescent="0.35">
      <c r="R452" s="54"/>
      <c r="S452" s="54"/>
      <c r="T452" s="54"/>
      <c r="W452" s="54"/>
      <c r="X452" s="54"/>
      <c r="Y452" s="54"/>
      <c r="AB452" s="54"/>
      <c r="AC452" s="54"/>
      <c r="AD452" s="54"/>
      <c r="AG452" s="54"/>
      <c r="AH452" s="54"/>
      <c r="AI452" s="54"/>
    </row>
    <row r="453" spans="18:35" x14ac:dyDescent="0.35">
      <c r="R453" s="54"/>
      <c r="S453" s="54"/>
      <c r="T453" s="54"/>
      <c r="W453" s="54"/>
      <c r="X453" s="54"/>
      <c r="Y453" s="54"/>
      <c r="AB453" s="54"/>
      <c r="AC453" s="54"/>
      <c r="AD453" s="54"/>
      <c r="AG453" s="54"/>
      <c r="AH453" s="54"/>
      <c r="AI453" s="54"/>
    </row>
    <row r="454" spans="18:35" x14ac:dyDescent="0.35">
      <c r="R454" s="54"/>
      <c r="S454" s="54"/>
      <c r="T454" s="54"/>
      <c r="W454" s="54"/>
      <c r="X454" s="54"/>
      <c r="Y454" s="54"/>
      <c r="AB454" s="54"/>
      <c r="AC454" s="54"/>
      <c r="AD454" s="54"/>
      <c r="AG454" s="54"/>
      <c r="AH454" s="54"/>
      <c r="AI454" s="54"/>
    </row>
    <row r="455" spans="18:35" x14ac:dyDescent="0.35">
      <c r="R455" s="54"/>
      <c r="S455" s="54"/>
      <c r="T455" s="54"/>
      <c r="W455" s="54"/>
      <c r="X455" s="54"/>
      <c r="Y455" s="54"/>
      <c r="AB455" s="54"/>
      <c r="AC455" s="54"/>
      <c r="AD455" s="54"/>
      <c r="AG455" s="54"/>
      <c r="AH455" s="54"/>
      <c r="AI455" s="54"/>
    </row>
    <row r="456" spans="18:35" x14ac:dyDescent="0.35">
      <c r="R456" s="54"/>
      <c r="S456" s="54"/>
      <c r="T456" s="54"/>
      <c r="W456" s="54"/>
      <c r="X456" s="54"/>
      <c r="Y456" s="54"/>
      <c r="AB456" s="54"/>
      <c r="AC456" s="54"/>
      <c r="AD456" s="54"/>
      <c r="AG456" s="54"/>
      <c r="AH456" s="54"/>
      <c r="AI456" s="54"/>
    </row>
    <row r="457" spans="18:35" x14ac:dyDescent="0.35">
      <c r="R457" s="54"/>
      <c r="S457" s="54"/>
      <c r="T457" s="54"/>
      <c r="W457" s="54"/>
      <c r="X457" s="54"/>
      <c r="Y457" s="54"/>
      <c r="AB457" s="54"/>
      <c r="AC457" s="54"/>
      <c r="AD457" s="54"/>
      <c r="AG457" s="54"/>
      <c r="AH457" s="54"/>
      <c r="AI457" s="54"/>
    </row>
    <row r="458" spans="18:35" x14ac:dyDescent="0.35">
      <c r="R458" s="54"/>
      <c r="S458" s="54"/>
      <c r="T458" s="54"/>
      <c r="W458" s="54"/>
      <c r="X458" s="54"/>
      <c r="Y458" s="54"/>
      <c r="AB458" s="54"/>
      <c r="AC458" s="54"/>
      <c r="AD458" s="54"/>
      <c r="AG458" s="54"/>
      <c r="AH458" s="54"/>
      <c r="AI458" s="54"/>
    </row>
    <row r="459" spans="18:35" x14ac:dyDescent="0.35">
      <c r="R459" s="54"/>
      <c r="S459" s="54"/>
      <c r="T459" s="54"/>
      <c r="W459" s="54"/>
      <c r="X459" s="54"/>
      <c r="Y459" s="54"/>
      <c r="AB459" s="54"/>
      <c r="AC459" s="54"/>
      <c r="AD459" s="54"/>
      <c r="AG459" s="54"/>
      <c r="AH459" s="54"/>
      <c r="AI459" s="54"/>
    </row>
    <row r="460" spans="18:35" x14ac:dyDescent="0.35">
      <c r="R460" s="54"/>
      <c r="S460" s="54"/>
      <c r="T460" s="54"/>
      <c r="W460" s="54"/>
      <c r="X460" s="54"/>
      <c r="Y460" s="54"/>
      <c r="AB460" s="54"/>
      <c r="AC460" s="54"/>
      <c r="AD460" s="54"/>
      <c r="AG460" s="54"/>
      <c r="AH460" s="54"/>
      <c r="AI460" s="54"/>
    </row>
    <row r="461" spans="18:35" x14ac:dyDescent="0.35">
      <c r="R461" s="54"/>
      <c r="S461" s="54"/>
      <c r="T461" s="54"/>
      <c r="W461" s="54"/>
      <c r="X461" s="54"/>
      <c r="Y461" s="54"/>
      <c r="AB461" s="54"/>
      <c r="AC461" s="54"/>
      <c r="AD461" s="54"/>
      <c r="AG461" s="54"/>
      <c r="AH461" s="54"/>
      <c r="AI461" s="54"/>
    </row>
    <row r="462" spans="18:35" x14ac:dyDescent="0.35">
      <c r="AG462" s="54"/>
      <c r="AH462" s="54"/>
      <c r="AI462" s="54"/>
    </row>
  </sheetData>
  <sheetProtection algorithmName="SHA-512" hashValue="wRp6CNqzumu1hEPywg8R6jxPpnpu7Lt0KTQWaBxR3SKwuQYQTQSiNEXKgS82iUMIa4YN/5J1Kl71uNc1fN6hnA==" saltValue="mZAtxAK7JVipbZEFmBaPHA==" spinCount="100000" sheet="1" objects="1" selectLockedCells="1"/>
  <mergeCells count="4">
    <mergeCell ref="F77:H77"/>
    <mergeCell ref="O3:P3"/>
    <mergeCell ref="A1:Q1"/>
    <mergeCell ref="F86:G86"/>
  </mergeCells>
  <phoneticPr fontId="6" type="noConversion"/>
  <conditionalFormatting sqref="E6 E8">
    <cfRule type="cellIs" dxfId="15" priority="21" stopIfTrue="1" operator="notBetween">
      <formula>4</formula>
      <formula>55</formula>
    </cfRule>
  </conditionalFormatting>
  <conditionalFormatting sqref="E9">
    <cfRule type="cellIs" dxfId="14" priority="18" stopIfTrue="1" operator="notBetween">
      <formula>0.8</formula>
      <formula>55</formula>
    </cfRule>
  </conditionalFormatting>
  <conditionalFormatting sqref="E40">
    <cfRule type="cellIs" dxfId="13" priority="16" stopIfTrue="1" operator="lessThanOrEqual">
      <formula>0</formula>
    </cfRule>
  </conditionalFormatting>
  <conditionalFormatting sqref="E42">
    <cfRule type="cellIs" dxfId="12" priority="15" stopIfTrue="1" operator="lessThan">
      <formula>$E$41</formula>
    </cfRule>
  </conditionalFormatting>
  <conditionalFormatting sqref="E44">
    <cfRule type="cellIs" dxfId="11" priority="14" stopIfTrue="1" operator="greaterThan">
      <formula>$E$43</formula>
    </cfRule>
  </conditionalFormatting>
  <conditionalFormatting sqref="E49">
    <cfRule type="cellIs" dxfId="10" priority="12" stopIfTrue="1" operator="equal">
      <formula>0</formula>
    </cfRule>
  </conditionalFormatting>
  <conditionalFormatting sqref="E51">
    <cfRule type="cellIs" dxfId="9" priority="11" stopIfTrue="1" operator="lessThan">
      <formula>$E$50</formula>
    </cfRule>
  </conditionalFormatting>
  <conditionalFormatting sqref="E53">
    <cfRule type="cellIs" dxfId="8" priority="9" stopIfTrue="1" operator="greaterThan">
      <formula>$E$52</formula>
    </cfRule>
    <cfRule type="cellIs" dxfId="7" priority="10" stopIfTrue="1" operator="equal">
      <formula>0</formula>
    </cfRule>
  </conditionalFormatting>
  <conditionalFormatting sqref="E62">
    <cfRule type="cellIs" dxfId="6" priority="7" operator="notBetween">
      <formula>55</formula>
      <formula>4</formula>
    </cfRule>
  </conditionalFormatting>
  <conditionalFormatting sqref="E58">
    <cfRule type="cellIs" dxfId="5" priority="5" operator="lessThanOrEqual">
      <formula>1.28</formula>
    </cfRule>
  </conditionalFormatting>
  <conditionalFormatting sqref="E11">
    <cfRule type="cellIs" dxfId="4" priority="24" stopIfTrue="1" operator="notBetween">
      <formula>600</formula>
      <formula>100</formula>
    </cfRule>
  </conditionalFormatting>
  <conditionalFormatting sqref="E7">
    <cfRule type="cellIs" dxfId="3" priority="4" operator="notBetween">
      <formula>$E$6</formula>
      <formula>$E$8</formula>
    </cfRule>
  </conditionalFormatting>
  <conditionalFormatting sqref="E60">
    <cfRule type="expression" dxfId="2" priority="3">
      <formula>DITHER=2</formula>
    </cfRule>
  </conditionalFormatting>
  <conditionalFormatting sqref="D61">
    <cfRule type="expression" dxfId="1" priority="2">
      <formula>DITHER=2</formula>
    </cfRule>
  </conditionalFormatting>
  <conditionalFormatting sqref="D60">
    <cfRule type="expression" dxfId="0" priority="1">
      <formula>DITHER=2</formula>
    </cfRule>
  </conditionalFormatting>
  <hyperlinks>
    <hyperlink ref="C3" r:id="rId1"/>
    <hyperlink ref="O2" r:id="rId2"/>
    <hyperlink ref="O3:P3" location="Licenses!A1" display="TERMS OF USE"/>
  </hyperlinks>
  <printOptions horizontalCentered="1" verticalCentered="1"/>
  <pageMargins left="0.1" right="0.1" top="0.1" bottom="0.1" header="0.25" footer="0.25"/>
  <pageSetup scale="46" orientation="portrait" r:id="rId3"/>
  <headerFooter alignWithMargins="0"/>
  <rowBreaks count="1" manualBreakCount="1">
    <brk id="114" max="16383" man="1"/>
  </rowBreaks>
  <ignoredErrors>
    <ignoredError sqref="E76 E30" unlockedFormula="1"/>
  </ignoredError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3660" r:id="rId7" name="Drop Down 892">
              <controlPr defaultSize="0" autoLine="0" autoPict="0">
                <anchor moveWithCells="1">
                  <from>
                    <xdr:col>6</xdr:col>
                    <xdr:colOff>517071</xdr:colOff>
                    <xdr:row>11</xdr:row>
                    <xdr:rowOff>65314</xdr:rowOff>
                  </from>
                  <to>
                    <xdr:col>7</xdr:col>
                    <xdr:colOff>97971</xdr:colOff>
                    <xdr:row>13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88" r:id="rId8" name="Button 520">
              <controlPr locked="0" defaultSize="0" print="0" autoFill="0" autoPict="0" macro="[0]!FIXValues">
                <anchor moveWithCells="1" sizeWithCells="1">
                  <from>
                    <xdr:col>2</xdr:col>
                    <xdr:colOff>315686</xdr:colOff>
                    <xdr:row>77</xdr:row>
                    <xdr:rowOff>76200</xdr:rowOff>
                  </from>
                  <to>
                    <xdr:col>2</xdr:col>
                    <xdr:colOff>898071</xdr:colOff>
                    <xdr:row>79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60" r:id="rId9" name="Button 492">
              <controlPr locked="0" defaultSize="0" print="0" autoFill="0" autoPict="0" macro="[0]!RESETvalues">
                <anchor moveWithCells="1" sizeWithCells="1">
                  <from>
                    <xdr:col>2</xdr:col>
                    <xdr:colOff>315686</xdr:colOff>
                    <xdr:row>77</xdr:row>
                    <xdr:rowOff>76200</xdr:rowOff>
                  </from>
                  <to>
                    <xdr:col>2</xdr:col>
                    <xdr:colOff>898071</xdr:colOff>
                    <xdr:row>79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829" r:id="rId10" name="Spinner 61">
              <controlPr defaultSize="0" autoPict="0">
                <anchor moveWithCells="1" sizeWithCells="1">
                  <from>
                    <xdr:col>5</xdr:col>
                    <xdr:colOff>10886</xdr:colOff>
                    <xdr:row>70</xdr:row>
                    <xdr:rowOff>0</xdr:rowOff>
                  </from>
                  <to>
                    <xdr:col>5</xdr:col>
                    <xdr:colOff>179614</xdr:colOff>
                    <xdr:row>70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895" r:id="rId11" name="Spinner 127">
              <controlPr defaultSize="0" autoPict="0">
                <anchor moveWithCells="1" sizeWithCells="1">
                  <from>
                    <xdr:col>5</xdr:col>
                    <xdr:colOff>125186</xdr:colOff>
                    <xdr:row>6</xdr:row>
                    <xdr:rowOff>10886</xdr:rowOff>
                  </from>
                  <to>
                    <xdr:col>5</xdr:col>
                    <xdr:colOff>304800</xdr:colOff>
                    <xdr:row>7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2924" r:id="rId12" name="Drop Down 156">
              <controlPr defaultSize="0" autoLine="0" autoPict="0">
                <anchor>
                  <from>
                    <xdr:col>7</xdr:col>
                    <xdr:colOff>217714</xdr:colOff>
                    <xdr:row>83</xdr:row>
                    <xdr:rowOff>65314</xdr:rowOff>
                  </from>
                  <to>
                    <xdr:col>9</xdr:col>
                    <xdr:colOff>201386</xdr:colOff>
                    <xdr:row>84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029" r:id="rId13" name="Drop Down 261">
              <controlPr defaultSize="0" autoLine="0" autoPict="0">
                <anchor moveWithCells="1">
                  <from>
                    <xdr:col>0</xdr:col>
                    <xdr:colOff>10886</xdr:colOff>
                    <xdr:row>59</xdr:row>
                    <xdr:rowOff>0</xdr:rowOff>
                  </from>
                  <to>
                    <xdr:col>1</xdr:col>
                    <xdr:colOff>478971</xdr:colOff>
                    <xdr:row>60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295" r:id="rId14" name="Spinner 527">
              <controlPr defaultSize="0" autoPict="0">
                <anchor moveWithCells="1" sizeWithCells="1">
                  <from>
                    <xdr:col>13</xdr:col>
                    <xdr:colOff>429986</xdr:colOff>
                    <xdr:row>46</xdr:row>
                    <xdr:rowOff>0</xdr:rowOff>
                  </from>
                  <to>
                    <xdr:col>14</xdr:col>
                    <xdr:colOff>0</xdr:colOff>
                    <xdr:row>47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3669" r:id="rId15" name="Spinner 901">
              <controlPr defaultSize="0" autoPict="0">
                <anchor moveWithCells="1" sizeWithCells="1">
                  <from>
                    <xdr:col>13</xdr:col>
                    <xdr:colOff>429986</xdr:colOff>
                    <xdr:row>83</xdr:row>
                    <xdr:rowOff>0</xdr:rowOff>
                  </from>
                  <to>
                    <xdr:col>14</xdr:col>
                    <xdr:colOff>0</xdr:colOff>
                    <xdr:row>84</xdr:row>
                    <xdr:rowOff>10886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81"/>
  <sheetViews>
    <sheetView topLeftCell="A25" zoomScale="85" zoomScaleNormal="85" workbookViewId="0">
      <selection activeCell="K68" sqref="K68"/>
    </sheetView>
  </sheetViews>
  <sheetFormatPr defaultRowHeight="12.45" x14ac:dyDescent="0.3"/>
  <cols>
    <col min="1" max="1" width="9.53515625" style="226" customWidth="1"/>
    <col min="2" max="2" width="20.3046875" style="226" customWidth="1"/>
    <col min="3" max="3" width="16.15234375" style="226" customWidth="1"/>
    <col min="4" max="4" width="20.15234375" style="226" customWidth="1"/>
    <col min="5" max="5" width="17.3046875" style="226" customWidth="1"/>
    <col min="6" max="6" width="20.53515625" style="226" bestFit="1" customWidth="1"/>
    <col min="7" max="7" width="9.69140625" style="226" customWidth="1"/>
    <col min="8" max="8" width="16.15234375" style="226" customWidth="1"/>
    <col min="9" max="9" width="14.69140625" style="226" customWidth="1"/>
    <col min="10" max="10" width="18.3828125" style="226" customWidth="1"/>
    <col min="11" max="11" width="26.3828125" style="226" customWidth="1"/>
    <col min="12" max="12" width="9.15234375" style="226"/>
    <col min="13" max="13" width="9.15234375" style="227"/>
    <col min="14" max="256" width="9.15234375" style="226"/>
    <col min="257" max="257" width="8.69140625" style="226" bestFit="1" customWidth="1"/>
    <col min="258" max="258" width="13.3046875" style="226" customWidth="1"/>
    <col min="259" max="259" width="16.15234375" style="226" bestFit="1" customWidth="1"/>
    <col min="260" max="260" width="23.53515625" style="226" customWidth="1"/>
    <col min="261" max="261" width="17.3046875" style="226" customWidth="1"/>
    <col min="262" max="262" width="20.53515625" style="226" bestFit="1" customWidth="1"/>
    <col min="263" max="263" width="17.15234375" style="226" customWidth="1"/>
    <col min="264" max="264" width="21.84375" style="226" bestFit="1" customWidth="1"/>
    <col min="265" max="265" width="17.15234375" style="226" bestFit="1" customWidth="1"/>
    <col min="266" max="266" width="18.15234375" style="226" bestFit="1" customWidth="1"/>
    <col min="267" max="267" width="26.3828125" style="226" customWidth="1"/>
    <col min="268" max="512" width="9.15234375" style="226"/>
    <col min="513" max="513" width="8.69140625" style="226" bestFit="1" customWidth="1"/>
    <col min="514" max="514" width="13.3046875" style="226" customWidth="1"/>
    <col min="515" max="515" width="16.15234375" style="226" bestFit="1" customWidth="1"/>
    <col min="516" max="516" width="23.53515625" style="226" customWidth="1"/>
    <col min="517" max="517" width="17.3046875" style="226" customWidth="1"/>
    <col min="518" max="518" width="20.53515625" style="226" bestFit="1" customWidth="1"/>
    <col min="519" max="519" width="17.15234375" style="226" customWidth="1"/>
    <col min="520" max="520" width="21.84375" style="226" bestFit="1" customWidth="1"/>
    <col min="521" max="521" width="17.15234375" style="226" bestFit="1" customWidth="1"/>
    <col min="522" max="522" width="18.15234375" style="226" bestFit="1" customWidth="1"/>
    <col min="523" max="523" width="26.3828125" style="226" customWidth="1"/>
    <col min="524" max="768" width="9.15234375" style="226"/>
    <col min="769" max="769" width="8.69140625" style="226" bestFit="1" customWidth="1"/>
    <col min="770" max="770" width="13.3046875" style="226" customWidth="1"/>
    <col min="771" max="771" width="16.15234375" style="226" bestFit="1" customWidth="1"/>
    <col min="772" max="772" width="23.53515625" style="226" customWidth="1"/>
    <col min="773" max="773" width="17.3046875" style="226" customWidth="1"/>
    <col min="774" max="774" width="20.53515625" style="226" bestFit="1" customWidth="1"/>
    <col min="775" max="775" width="17.15234375" style="226" customWidth="1"/>
    <col min="776" max="776" width="21.84375" style="226" bestFit="1" customWidth="1"/>
    <col min="777" max="777" width="17.15234375" style="226" bestFit="1" customWidth="1"/>
    <col min="778" max="778" width="18.15234375" style="226" bestFit="1" customWidth="1"/>
    <col min="779" max="779" width="26.3828125" style="226" customWidth="1"/>
    <col min="780" max="1024" width="9.15234375" style="226"/>
    <col min="1025" max="1025" width="8.69140625" style="226" bestFit="1" customWidth="1"/>
    <col min="1026" max="1026" width="13.3046875" style="226" customWidth="1"/>
    <col min="1027" max="1027" width="16.15234375" style="226" bestFit="1" customWidth="1"/>
    <col min="1028" max="1028" width="23.53515625" style="226" customWidth="1"/>
    <col min="1029" max="1029" width="17.3046875" style="226" customWidth="1"/>
    <col min="1030" max="1030" width="20.53515625" style="226" bestFit="1" customWidth="1"/>
    <col min="1031" max="1031" width="17.15234375" style="226" customWidth="1"/>
    <col min="1032" max="1032" width="21.84375" style="226" bestFit="1" customWidth="1"/>
    <col min="1033" max="1033" width="17.15234375" style="226" bestFit="1" customWidth="1"/>
    <col min="1034" max="1034" width="18.15234375" style="226" bestFit="1" customWidth="1"/>
    <col min="1035" max="1035" width="26.3828125" style="226" customWidth="1"/>
    <col min="1036" max="1280" width="9.15234375" style="226"/>
    <col min="1281" max="1281" width="8.69140625" style="226" bestFit="1" customWidth="1"/>
    <col min="1282" max="1282" width="13.3046875" style="226" customWidth="1"/>
    <col min="1283" max="1283" width="16.15234375" style="226" bestFit="1" customWidth="1"/>
    <col min="1284" max="1284" width="23.53515625" style="226" customWidth="1"/>
    <col min="1285" max="1285" width="17.3046875" style="226" customWidth="1"/>
    <col min="1286" max="1286" width="20.53515625" style="226" bestFit="1" customWidth="1"/>
    <col min="1287" max="1287" width="17.15234375" style="226" customWidth="1"/>
    <col min="1288" max="1288" width="21.84375" style="226" bestFit="1" customWidth="1"/>
    <col min="1289" max="1289" width="17.15234375" style="226" bestFit="1" customWidth="1"/>
    <col min="1290" max="1290" width="18.15234375" style="226" bestFit="1" customWidth="1"/>
    <col min="1291" max="1291" width="26.3828125" style="226" customWidth="1"/>
    <col min="1292" max="1536" width="9.15234375" style="226"/>
    <col min="1537" max="1537" width="8.69140625" style="226" bestFit="1" customWidth="1"/>
    <col min="1538" max="1538" width="13.3046875" style="226" customWidth="1"/>
    <col min="1539" max="1539" width="16.15234375" style="226" bestFit="1" customWidth="1"/>
    <col min="1540" max="1540" width="23.53515625" style="226" customWidth="1"/>
    <col min="1541" max="1541" width="17.3046875" style="226" customWidth="1"/>
    <col min="1542" max="1542" width="20.53515625" style="226" bestFit="1" customWidth="1"/>
    <col min="1543" max="1543" width="17.15234375" style="226" customWidth="1"/>
    <col min="1544" max="1544" width="21.84375" style="226" bestFit="1" customWidth="1"/>
    <col min="1545" max="1545" width="17.15234375" style="226" bestFit="1" customWidth="1"/>
    <col min="1546" max="1546" width="18.15234375" style="226" bestFit="1" customWidth="1"/>
    <col min="1547" max="1547" width="26.3828125" style="226" customWidth="1"/>
    <col min="1548" max="1792" width="9.15234375" style="226"/>
    <col min="1793" max="1793" width="8.69140625" style="226" bestFit="1" customWidth="1"/>
    <col min="1794" max="1794" width="13.3046875" style="226" customWidth="1"/>
    <col min="1795" max="1795" width="16.15234375" style="226" bestFit="1" customWidth="1"/>
    <col min="1796" max="1796" width="23.53515625" style="226" customWidth="1"/>
    <col min="1797" max="1797" width="17.3046875" style="226" customWidth="1"/>
    <col min="1798" max="1798" width="20.53515625" style="226" bestFit="1" customWidth="1"/>
    <col min="1799" max="1799" width="17.15234375" style="226" customWidth="1"/>
    <col min="1800" max="1800" width="21.84375" style="226" bestFit="1" customWidth="1"/>
    <col min="1801" max="1801" width="17.15234375" style="226" bestFit="1" customWidth="1"/>
    <col min="1802" max="1802" width="18.15234375" style="226" bestFit="1" customWidth="1"/>
    <col min="1803" max="1803" width="26.3828125" style="226" customWidth="1"/>
    <col min="1804" max="2048" width="9.15234375" style="226"/>
    <col min="2049" max="2049" width="8.69140625" style="226" bestFit="1" customWidth="1"/>
    <col min="2050" max="2050" width="13.3046875" style="226" customWidth="1"/>
    <col min="2051" max="2051" width="16.15234375" style="226" bestFit="1" customWidth="1"/>
    <col min="2052" max="2052" width="23.53515625" style="226" customWidth="1"/>
    <col min="2053" max="2053" width="17.3046875" style="226" customWidth="1"/>
    <col min="2054" max="2054" width="20.53515625" style="226" bestFit="1" customWidth="1"/>
    <col min="2055" max="2055" width="17.15234375" style="226" customWidth="1"/>
    <col min="2056" max="2056" width="21.84375" style="226" bestFit="1" customWidth="1"/>
    <col min="2057" max="2057" width="17.15234375" style="226" bestFit="1" customWidth="1"/>
    <col min="2058" max="2058" width="18.15234375" style="226" bestFit="1" customWidth="1"/>
    <col min="2059" max="2059" width="26.3828125" style="226" customWidth="1"/>
    <col min="2060" max="2304" width="9.15234375" style="226"/>
    <col min="2305" max="2305" width="8.69140625" style="226" bestFit="1" customWidth="1"/>
    <col min="2306" max="2306" width="13.3046875" style="226" customWidth="1"/>
    <col min="2307" max="2307" width="16.15234375" style="226" bestFit="1" customWidth="1"/>
    <col min="2308" max="2308" width="23.53515625" style="226" customWidth="1"/>
    <col min="2309" max="2309" width="17.3046875" style="226" customWidth="1"/>
    <col min="2310" max="2310" width="20.53515625" style="226" bestFit="1" customWidth="1"/>
    <col min="2311" max="2311" width="17.15234375" style="226" customWidth="1"/>
    <col min="2312" max="2312" width="21.84375" style="226" bestFit="1" customWidth="1"/>
    <col min="2313" max="2313" width="17.15234375" style="226" bestFit="1" customWidth="1"/>
    <col min="2314" max="2314" width="18.15234375" style="226" bestFit="1" customWidth="1"/>
    <col min="2315" max="2315" width="26.3828125" style="226" customWidth="1"/>
    <col min="2316" max="2560" width="9.15234375" style="226"/>
    <col min="2561" max="2561" width="8.69140625" style="226" bestFit="1" customWidth="1"/>
    <col min="2562" max="2562" width="13.3046875" style="226" customWidth="1"/>
    <col min="2563" max="2563" width="16.15234375" style="226" bestFit="1" customWidth="1"/>
    <col min="2564" max="2564" width="23.53515625" style="226" customWidth="1"/>
    <col min="2565" max="2565" width="17.3046875" style="226" customWidth="1"/>
    <col min="2566" max="2566" width="20.53515625" style="226" bestFit="1" customWidth="1"/>
    <col min="2567" max="2567" width="17.15234375" style="226" customWidth="1"/>
    <col min="2568" max="2568" width="21.84375" style="226" bestFit="1" customWidth="1"/>
    <col min="2569" max="2569" width="17.15234375" style="226" bestFit="1" customWidth="1"/>
    <col min="2570" max="2570" width="18.15234375" style="226" bestFit="1" customWidth="1"/>
    <col min="2571" max="2571" width="26.3828125" style="226" customWidth="1"/>
    <col min="2572" max="2816" width="9.15234375" style="226"/>
    <col min="2817" max="2817" width="8.69140625" style="226" bestFit="1" customWidth="1"/>
    <col min="2818" max="2818" width="13.3046875" style="226" customWidth="1"/>
    <col min="2819" max="2819" width="16.15234375" style="226" bestFit="1" customWidth="1"/>
    <col min="2820" max="2820" width="23.53515625" style="226" customWidth="1"/>
    <col min="2821" max="2821" width="17.3046875" style="226" customWidth="1"/>
    <col min="2822" max="2822" width="20.53515625" style="226" bestFit="1" customWidth="1"/>
    <col min="2823" max="2823" width="17.15234375" style="226" customWidth="1"/>
    <col min="2824" max="2824" width="21.84375" style="226" bestFit="1" customWidth="1"/>
    <col min="2825" max="2825" width="17.15234375" style="226" bestFit="1" customWidth="1"/>
    <col min="2826" max="2826" width="18.15234375" style="226" bestFit="1" customWidth="1"/>
    <col min="2827" max="2827" width="26.3828125" style="226" customWidth="1"/>
    <col min="2828" max="3072" width="9.15234375" style="226"/>
    <col min="3073" max="3073" width="8.69140625" style="226" bestFit="1" customWidth="1"/>
    <col min="3074" max="3074" width="13.3046875" style="226" customWidth="1"/>
    <col min="3075" max="3075" width="16.15234375" style="226" bestFit="1" customWidth="1"/>
    <col min="3076" max="3076" width="23.53515625" style="226" customWidth="1"/>
    <col min="3077" max="3077" width="17.3046875" style="226" customWidth="1"/>
    <col min="3078" max="3078" width="20.53515625" style="226" bestFit="1" customWidth="1"/>
    <col min="3079" max="3079" width="17.15234375" style="226" customWidth="1"/>
    <col min="3080" max="3080" width="21.84375" style="226" bestFit="1" customWidth="1"/>
    <col min="3081" max="3081" width="17.15234375" style="226" bestFit="1" customWidth="1"/>
    <col min="3082" max="3082" width="18.15234375" style="226" bestFit="1" customWidth="1"/>
    <col min="3083" max="3083" width="26.3828125" style="226" customWidth="1"/>
    <col min="3084" max="3328" width="9.15234375" style="226"/>
    <col min="3329" max="3329" width="8.69140625" style="226" bestFit="1" customWidth="1"/>
    <col min="3330" max="3330" width="13.3046875" style="226" customWidth="1"/>
    <col min="3331" max="3331" width="16.15234375" style="226" bestFit="1" customWidth="1"/>
    <col min="3332" max="3332" width="23.53515625" style="226" customWidth="1"/>
    <col min="3333" max="3333" width="17.3046875" style="226" customWidth="1"/>
    <col min="3334" max="3334" width="20.53515625" style="226" bestFit="1" customWidth="1"/>
    <col min="3335" max="3335" width="17.15234375" style="226" customWidth="1"/>
    <col min="3336" max="3336" width="21.84375" style="226" bestFit="1" customWidth="1"/>
    <col min="3337" max="3337" width="17.15234375" style="226" bestFit="1" customWidth="1"/>
    <col min="3338" max="3338" width="18.15234375" style="226" bestFit="1" customWidth="1"/>
    <col min="3339" max="3339" width="26.3828125" style="226" customWidth="1"/>
    <col min="3340" max="3584" width="9.15234375" style="226"/>
    <col min="3585" max="3585" width="8.69140625" style="226" bestFit="1" customWidth="1"/>
    <col min="3586" max="3586" width="13.3046875" style="226" customWidth="1"/>
    <col min="3587" max="3587" width="16.15234375" style="226" bestFit="1" customWidth="1"/>
    <col min="3588" max="3588" width="23.53515625" style="226" customWidth="1"/>
    <col min="3589" max="3589" width="17.3046875" style="226" customWidth="1"/>
    <col min="3590" max="3590" width="20.53515625" style="226" bestFit="1" customWidth="1"/>
    <col min="3591" max="3591" width="17.15234375" style="226" customWidth="1"/>
    <col min="3592" max="3592" width="21.84375" style="226" bestFit="1" customWidth="1"/>
    <col min="3593" max="3593" width="17.15234375" style="226" bestFit="1" customWidth="1"/>
    <col min="3594" max="3594" width="18.15234375" style="226" bestFit="1" customWidth="1"/>
    <col min="3595" max="3595" width="26.3828125" style="226" customWidth="1"/>
    <col min="3596" max="3840" width="9.15234375" style="226"/>
    <col min="3841" max="3841" width="8.69140625" style="226" bestFit="1" customWidth="1"/>
    <col min="3842" max="3842" width="13.3046875" style="226" customWidth="1"/>
    <col min="3843" max="3843" width="16.15234375" style="226" bestFit="1" customWidth="1"/>
    <col min="3844" max="3844" width="23.53515625" style="226" customWidth="1"/>
    <col min="3845" max="3845" width="17.3046875" style="226" customWidth="1"/>
    <col min="3846" max="3846" width="20.53515625" style="226" bestFit="1" customWidth="1"/>
    <col min="3847" max="3847" width="17.15234375" style="226" customWidth="1"/>
    <col min="3848" max="3848" width="21.84375" style="226" bestFit="1" customWidth="1"/>
    <col min="3849" max="3849" width="17.15234375" style="226" bestFit="1" customWidth="1"/>
    <col min="3850" max="3850" width="18.15234375" style="226" bestFit="1" customWidth="1"/>
    <col min="3851" max="3851" width="26.3828125" style="226" customWidth="1"/>
    <col min="3852" max="4096" width="9.15234375" style="226"/>
    <col min="4097" max="4097" width="8.69140625" style="226" bestFit="1" customWidth="1"/>
    <col min="4098" max="4098" width="13.3046875" style="226" customWidth="1"/>
    <col min="4099" max="4099" width="16.15234375" style="226" bestFit="1" customWidth="1"/>
    <col min="4100" max="4100" width="23.53515625" style="226" customWidth="1"/>
    <col min="4101" max="4101" width="17.3046875" style="226" customWidth="1"/>
    <col min="4102" max="4102" width="20.53515625" style="226" bestFit="1" customWidth="1"/>
    <col min="4103" max="4103" width="17.15234375" style="226" customWidth="1"/>
    <col min="4104" max="4104" width="21.84375" style="226" bestFit="1" customWidth="1"/>
    <col min="4105" max="4105" width="17.15234375" style="226" bestFit="1" customWidth="1"/>
    <col min="4106" max="4106" width="18.15234375" style="226" bestFit="1" customWidth="1"/>
    <col min="4107" max="4107" width="26.3828125" style="226" customWidth="1"/>
    <col min="4108" max="4352" width="9.15234375" style="226"/>
    <col min="4353" max="4353" width="8.69140625" style="226" bestFit="1" customWidth="1"/>
    <col min="4354" max="4354" width="13.3046875" style="226" customWidth="1"/>
    <col min="4355" max="4355" width="16.15234375" style="226" bestFit="1" customWidth="1"/>
    <col min="4356" max="4356" width="23.53515625" style="226" customWidth="1"/>
    <col min="4357" max="4357" width="17.3046875" style="226" customWidth="1"/>
    <col min="4358" max="4358" width="20.53515625" style="226" bestFit="1" customWidth="1"/>
    <col min="4359" max="4359" width="17.15234375" style="226" customWidth="1"/>
    <col min="4360" max="4360" width="21.84375" style="226" bestFit="1" customWidth="1"/>
    <col min="4361" max="4361" width="17.15234375" style="226" bestFit="1" customWidth="1"/>
    <col min="4362" max="4362" width="18.15234375" style="226" bestFit="1" customWidth="1"/>
    <col min="4363" max="4363" width="26.3828125" style="226" customWidth="1"/>
    <col min="4364" max="4608" width="9.15234375" style="226"/>
    <col min="4609" max="4609" width="8.69140625" style="226" bestFit="1" customWidth="1"/>
    <col min="4610" max="4610" width="13.3046875" style="226" customWidth="1"/>
    <col min="4611" max="4611" width="16.15234375" style="226" bestFit="1" customWidth="1"/>
    <col min="4612" max="4612" width="23.53515625" style="226" customWidth="1"/>
    <col min="4613" max="4613" width="17.3046875" style="226" customWidth="1"/>
    <col min="4614" max="4614" width="20.53515625" style="226" bestFit="1" customWidth="1"/>
    <col min="4615" max="4615" width="17.15234375" style="226" customWidth="1"/>
    <col min="4616" max="4616" width="21.84375" style="226" bestFit="1" customWidth="1"/>
    <col min="4617" max="4617" width="17.15234375" style="226" bestFit="1" customWidth="1"/>
    <col min="4618" max="4618" width="18.15234375" style="226" bestFit="1" customWidth="1"/>
    <col min="4619" max="4619" width="26.3828125" style="226" customWidth="1"/>
    <col min="4620" max="4864" width="9.15234375" style="226"/>
    <col min="4865" max="4865" width="8.69140625" style="226" bestFit="1" customWidth="1"/>
    <col min="4866" max="4866" width="13.3046875" style="226" customWidth="1"/>
    <col min="4867" max="4867" width="16.15234375" style="226" bestFit="1" customWidth="1"/>
    <col min="4868" max="4868" width="23.53515625" style="226" customWidth="1"/>
    <col min="4869" max="4869" width="17.3046875" style="226" customWidth="1"/>
    <col min="4870" max="4870" width="20.53515625" style="226" bestFit="1" customWidth="1"/>
    <col min="4871" max="4871" width="17.15234375" style="226" customWidth="1"/>
    <col min="4872" max="4872" width="21.84375" style="226" bestFit="1" customWidth="1"/>
    <col min="4873" max="4873" width="17.15234375" style="226" bestFit="1" customWidth="1"/>
    <col min="4874" max="4874" width="18.15234375" style="226" bestFit="1" customWidth="1"/>
    <col min="4875" max="4875" width="26.3828125" style="226" customWidth="1"/>
    <col min="4876" max="5120" width="9.15234375" style="226"/>
    <col min="5121" max="5121" width="8.69140625" style="226" bestFit="1" customWidth="1"/>
    <col min="5122" max="5122" width="13.3046875" style="226" customWidth="1"/>
    <col min="5123" max="5123" width="16.15234375" style="226" bestFit="1" customWidth="1"/>
    <col min="5124" max="5124" width="23.53515625" style="226" customWidth="1"/>
    <col min="5125" max="5125" width="17.3046875" style="226" customWidth="1"/>
    <col min="5126" max="5126" width="20.53515625" style="226" bestFit="1" customWidth="1"/>
    <col min="5127" max="5127" width="17.15234375" style="226" customWidth="1"/>
    <col min="5128" max="5128" width="21.84375" style="226" bestFit="1" customWidth="1"/>
    <col min="5129" max="5129" width="17.15234375" style="226" bestFit="1" customWidth="1"/>
    <col min="5130" max="5130" width="18.15234375" style="226" bestFit="1" customWidth="1"/>
    <col min="5131" max="5131" width="26.3828125" style="226" customWidth="1"/>
    <col min="5132" max="5376" width="9.15234375" style="226"/>
    <col min="5377" max="5377" width="8.69140625" style="226" bestFit="1" customWidth="1"/>
    <col min="5378" max="5378" width="13.3046875" style="226" customWidth="1"/>
    <col min="5379" max="5379" width="16.15234375" style="226" bestFit="1" customWidth="1"/>
    <col min="5380" max="5380" width="23.53515625" style="226" customWidth="1"/>
    <col min="5381" max="5381" width="17.3046875" style="226" customWidth="1"/>
    <col min="5382" max="5382" width="20.53515625" style="226" bestFit="1" customWidth="1"/>
    <col min="5383" max="5383" width="17.15234375" style="226" customWidth="1"/>
    <col min="5384" max="5384" width="21.84375" style="226" bestFit="1" customWidth="1"/>
    <col min="5385" max="5385" width="17.15234375" style="226" bestFit="1" customWidth="1"/>
    <col min="5386" max="5386" width="18.15234375" style="226" bestFit="1" customWidth="1"/>
    <col min="5387" max="5387" width="26.3828125" style="226" customWidth="1"/>
    <col min="5388" max="5632" width="9.15234375" style="226"/>
    <col min="5633" max="5633" width="8.69140625" style="226" bestFit="1" customWidth="1"/>
    <col min="5634" max="5634" width="13.3046875" style="226" customWidth="1"/>
    <col min="5635" max="5635" width="16.15234375" style="226" bestFit="1" customWidth="1"/>
    <col min="5636" max="5636" width="23.53515625" style="226" customWidth="1"/>
    <col min="5637" max="5637" width="17.3046875" style="226" customWidth="1"/>
    <col min="5638" max="5638" width="20.53515625" style="226" bestFit="1" customWidth="1"/>
    <col min="5639" max="5639" width="17.15234375" style="226" customWidth="1"/>
    <col min="5640" max="5640" width="21.84375" style="226" bestFit="1" customWidth="1"/>
    <col min="5641" max="5641" width="17.15234375" style="226" bestFit="1" customWidth="1"/>
    <col min="5642" max="5642" width="18.15234375" style="226" bestFit="1" customWidth="1"/>
    <col min="5643" max="5643" width="26.3828125" style="226" customWidth="1"/>
    <col min="5644" max="5888" width="9.15234375" style="226"/>
    <col min="5889" max="5889" width="8.69140625" style="226" bestFit="1" customWidth="1"/>
    <col min="5890" max="5890" width="13.3046875" style="226" customWidth="1"/>
    <col min="5891" max="5891" width="16.15234375" style="226" bestFit="1" customWidth="1"/>
    <col min="5892" max="5892" width="23.53515625" style="226" customWidth="1"/>
    <col min="5893" max="5893" width="17.3046875" style="226" customWidth="1"/>
    <col min="5894" max="5894" width="20.53515625" style="226" bestFit="1" customWidth="1"/>
    <col min="5895" max="5895" width="17.15234375" style="226" customWidth="1"/>
    <col min="5896" max="5896" width="21.84375" style="226" bestFit="1" customWidth="1"/>
    <col min="5897" max="5897" width="17.15234375" style="226" bestFit="1" customWidth="1"/>
    <col min="5898" max="5898" width="18.15234375" style="226" bestFit="1" customWidth="1"/>
    <col min="5899" max="5899" width="26.3828125" style="226" customWidth="1"/>
    <col min="5900" max="6144" width="9.15234375" style="226"/>
    <col min="6145" max="6145" width="8.69140625" style="226" bestFit="1" customWidth="1"/>
    <col min="6146" max="6146" width="13.3046875" style="226" customWidth="1"/>
    <col min="6147" max="6147" width="16.15234375" style="226" bestFit="1" customWidth="1"/>
    <col min="6148" max="6148" width="23.53515625" style="226" customWidth="1"/>
    <col min="6149" max="6149" width="17.3046875" style="226" customWidth="1"/>
    <col min="6150" max="6150" width="20.53515625" style="226" bestFit="1" customWidth="1"/>
    <col min="6151" max="6151" width="17.15234375" style="226" customWidth="1"/>
    <col min="6152" max="6152" width="21.84375" style="226" bestFit="1" customWidth="1"/>
    <col min="6153" max="6153" width="17.15234375" style="226" bestFit="1" customWidth="1"/>
    <col min="6154" max="6154" width="18.15234375" style="226" bestFit="1" customWidth="1"/>
    <col min="6155" max="6155" width="26.3828125" style="226" customWidth="1"/>
    <col min="6156" max="6400" width="9.15234375" style="226"/>
    <col min="6401" max="6401" width="8.69140625" style="226" bestFit="1" customWidth="1"/>
    <col min="6402" max="6402" width="13.3046875" style="226" customWidth="1"/>
    <col min="6403" max="6403" width="16.15234375" style="226" bestFit="1" customWidth="1"/>
    <col min="6404" max="6404" width="23.53515625" style="226" customWidth="1"/>
    <col min="6405" max="6405" width="17.3046875" style="226" customWidth="1"/>
    <col min="6406" max="6406" width="20.53515625" style="226" bestFit="1" customWidth="1"/>
    <col min="6407" max="6407" width="17.15234375" style="226" customWidth="1"/>
    <col min="6408" max="6408" width="21.84375" style="226" bestFit="1" customWidth="1"/>
    <col min="6409" max="6409" width="17.15234375" style="226" bestFit="1" customWidth="1"/>
    <col min="6410" max="6410" width="18.15234375" style="226" bestFit="1" customWidth="1"/>
    <col min="6411" max="6411" width="26.3828125" style="226" customWidth="1"/>
    <col min="6412" max="6656" width="9.15234375" style="226"/>
    <col min="6657" max="6657" width="8.69140625" style="226" bestFit="1" customWidth="1"/>
    <col min="6658" max="6658" width="13.3046875" style="226" customWidth="1"/>
    <col min="6659" max="6659" width="16.15234375" style="226" bestFit="1" customWidth="1"/>
    <col min="6660" max="6660" width="23.53515625" style="226" customWidth="1"/>
    <col min="6661" max="6661" width="17.3046875" style="226" customWidth="1"/>
    <col min="6662" max="6662" width="20.53515625" style="226" bestFit="1" customWidth="1"/>
    <col min="6663" max="6663" width="17.15234375" style="226" customWidth="1"/>
    <col min="6664" max="6664" width="21.84375" style="226" bestFit="1" customWidth="1"/>
    <col min="6665" max="6665" width="17.15234375" style="226" bestFit="1" customWidth="1"/>
    <col min="6666" max="6666" width="18.15234375" style="226" bestFit="1" customWidth="1"/>
    <col min="6667" max="6667" width="26.3828125" style="226" customWidth="1"/>
    <col min="6668" max="6912" width="9.15234375" style="226"/>
    <col min="6913" max="6913" width="8.69140625" style="226" bestFit="1" customWidth="1"/>
    <col min="6914" max="6914" width="13.3046875" style="226" customWidth="1"/>
    <col min="6915" max="6915" width="16.15234375" style="226" bestFit="1" customWidth="1"/>
    <col min="6916" max="6916" width="23.53515625" style="226" customWidth="1"/>
    <col min="6917" max="6917" width="17.3046875" style="226" customWidth="1"/>
    <col min="6918" max="6918" width="20.53515625" style="226" bestFit="1" customWidth="1"/>
    <col min="6919" max="6919" width="17.15234375" style="226" customWidth="1"/>
    <col min="6920" max="6920" width="21.84375" style="226" bestFit="1" customWidth="1"/>
    <col min="6921" max="6921" width="17.15234375" style="226" bestFit="1" customWidth="1"/>
    <col min="6922" max="6922" width="18.15234375" style="226" bestFit="1" customWidth="1"/>
    <col min="6923" max="6923" width="26.3828125" style="226" customWidth="1"/>
    <col min="6924" max="7168" width="9.15234375" style="226"/>
    <col min="7169" max="7169" width="8.69140625" style="226" bestFit="1" customWidth="1"/>
    <col min="7170" max="7170" width="13.3046875" style="226" customWidth="1"/>
    <col min="7171" max="7171" width="16.15234375" style="226" bestFit="1" customWidth="1"/>
    <col min="7172" max="7172" width="23.53515625" style="226" customWidth="1"/>
    <col min="7173" max="7173" width="17.3046875" style="226" customWidth="1"/>
    <col min="7174" max="7174" width="20.53515625" style="226" bestFit="1" customWidth="1"/>
    <col min="7175" max="7175" width="17.15234375" style="226" customWidth="1"/>
    <col min="7176" max="7176" width="21.84375" style="226" bestFit="1" customWidth="1"/>
    <col min="7177" max="7177" width="17.15234375" style="226" bestFit="1" customWidth="1"/>
    <col min="7178" max="7178" width="18.15234375" style="226" bestFit="1" customWidth="1"/>
    <col min="7179" max="7179" width="26.3828125" style="226" customWidth="1"/>
    <col min="7180" max="7424" width="9.15234375" style="226"/>
    <col min="7425" max="7425" width="8.69140625" style="226" bestFit="1" customWidth="1"/>
    <col min="7426" max="7426" width="13.3046875" style="226" customWidth="1"/>
    <col min="7427" max="7427" width="16.15234375" style="226" bestFit="1" customWidth="1"/>
    <col min="7428" max="7428" width="23.53515625" style="226" customWidth="1"/>
    <col min="7429" max="7429" width="17.3046875" style="226" customWidth="1"/>
    <col min="7430" max="7430" width="20.53515625" style="226" bestFit="1" customWidth="1"/>
    <col min="7431" max="7431" width="17.15234375" style="226" customWidth="1"/>
    <col min="7432" max="7432" width="21.84375" style="226" bestFit="1" customWidth="1"/>
    <col min="7433" max="7433" width="17.15234375" style="226" bestFit="1" customWidth="1"/>
    <col min="7434" max="7434" width="18.15234375" style="226" bestFit="1" customWidth="1"/>
    <col min="7435" max="7435" width="26.3828125" style="226" customWidth="1"/>
    <col min="7436" max="7680" width="9.15234375" style="226"/>
    <col min="7681" max="7681" width="8.69140625" style="226" bestFit="1" customWidth="1"/>
    <col min="7682" max="7682" width="13.3046875" style="226" customWidth="1"/>
    <col min="7683" max="7683" width="16.15234375" style="226" bestFit="1" customWidth="1"/>
    <col min="7684" max="7684" width="23.53515625" style="226" customWidth="1"/>
    <col min="7685" max="7685" width="17.3046875" style="226" customWidth="1"/>
    <col min="7686" max="7686" width="20.53515625" style="226" bestFit="1" customWidth="1"/>
    <col min="7687" max="7687" width="17.15234375" style="226" customWidth="1"/>
    <col min="7688" max="7688" width="21.84375" style="226" bestFit="1" customWidth="1"/>
    <col min="7689" max="7689" width="17.15234375" style="226" bestFit="1" customWidth="1"/>
    <col min="7690" max="7690" width="18.15234375" style="226" bestFit="1" customWidth="1"/>
    <col min="7691" max="7691" width="26.3828125" style="226" customWidth="1"/>
    <col min="7692" max="7936" width="9.15234375" style="226"/>
    <col min="7937" max="7937" width="8.69140625" style="226" bestFit="1" customWidth="1"/>
    <col min="7938" max="7938" width="13.3046875" style="226" customWidth="1"/>
    <col min="7939" max="7939" width="16.15234375" style="226" bestFit="1" customWidth="1"/>
    <col min="7940" max="7940" width="23.53515625" style="226" customWidth="1"/>
    <col min="7941" max="7941" width="17.3046875" style="226" customWidth="1"/>
    <col min="7942" max="7942" width="20.53515625" style="226" bestFit="1" customWidth="1"/>
    <col min="7943" max="7943" width="17.15234375" style="226" customWidth="1"/>
    <col min="7944" max="7944" width="21.84375" style="226" bestFit="1" customWidth="1"/>
    <col min="7945" max="7945" width="17.15234375" style="226" bestFit="1" customWidth="1"/>
    <col min="7946" max="7946" width="18.15234375" style="226" bestFit="1" customWidth="1"/>
    <col min="7947" max="7947" width="26.3828125" style="226" customWidth="1"/>
    <col min="7948" max="8192" width="9.15234375" style="226"/>
    <col min="8193" max="8193" width="8.69140625" style="226" bestFit="1" customWidth="1"/>
    <col min="8194" max="8194" width="13.3046875" style="226" customWidth="1"/>
    <col min="8195" max="8195" width="16.15234375" style="226" bestFit="1" customWidth="1"/>
    <col min="8196" max="8196" width="23.53515625" style="226" customWidth="1"/>
    <col min="8197" max="8197" width="17.3046875" style="226" customWidth="1"/>
    <col min="8198" max="8198" width="20.53515625" style="226" bestFit="1" customWidth="1"/>
    <col min="8199" max="8199" width="17.15234375" style="226" customWidth="1"/>
    <col min="8200" max="8200" width="21.84375" style="226" bestFit="1" customWidth="1"/>
    <col min="8201" max="8201" width="17.15234375" style="226" bestFit="1" customWidth="1"/>
    <col min="8202" max="8202" width="18.15234375" style="226" bestFit="1" customWidth="1"/>
    <col min="8203" max="8203" width="26.3828125" style="226" customWidth="1"/>
    <col min="8204" max="8448" width="9.15234375" style="226"/>
    <col min="8449" max="8449" width="8.69140625" style="226" bestFit="1" customWidth="1"/>
    <col min="8450" max="8450" width="13.3046875" style="226" customWidth="1"/>
    <col min="8451" max="8451" width="16.15234375" style="226" bestFit="1" customWidth="1"/>
    <col min="8452" max="8452" width="23.53515625" style="226" customWidth="1"/>
    <col min="8453" max="8453" width="17.3046875" style="226" customWidth="1"/>
    <col min="8454" max="8454" width="20.53515625" style="226" bestFit="1" customWidth="1"/>
    <col min="8455" max="8455" width="17.15234375" style="226" customWidth="1"/>
    <col min="8456" max="8456" width="21.84375" style="226" bestFit="1" customWidth="1"/>
    <col min="8457" max="8457" width="17.15234375" style="226" bestFit="1" customWidth="1"/>
    <col min="8458" max="8458" width="18.15234375" style="226" bestFit="1" customWidth="1"/>
    <col min="8459" max="8459" width="26.3828125" style="226" customWidth="1"/>
    <col min="8460" max="8704" width="9.15234375" style="226"/>
    <col min="8705" max="8705" width="8.69140625" style="226" bestFit="1" customWidth="1"/>
    <col min="8706" max="8706" width="13.3046875" style="226" customWidth="1"/>
    <col min="8707" max="8707" width="16.15234375" style="226" bestFit="1" customWidth="1"/>
    <col min="8708" max="8708" width="23.53515625" style="226" customWidth="1"/>
    <col min="8709" max="8709" width="17.3046875" style="226" customWidth="1"/>
    <col min="8710" max="8710" width="20.53515625" style="226" bestFit="1" customWidth="1"/>
    <col min="8711" max="8711" width="17.15234375" style="226" customWidth="1"/>
    <col min="8712" max="8712" width="21.84375" style="226" bestFit="1" customWidth="1"/>
    <col min="8713" max="8713" width="17.15234375" style="226" bestFit="1" customWidth="1"/>
    <col min="8714" max="8714" width="18.15234375" style="226" bestFit="1" customWidth="1"/>
    <col min="8715" max="8715" width="26.3828125" style="226" customWidth="1"/>
    <col min="8716" max="8960" width="9.15234375" style="226"/>
    <col min="8961" max="8961" width="8.69140625" style="226" bestFit="1" customWidth="1"/>
    <col min="8962" max="8962" width="13.3046875" style="226" customWidth="1"/>
    <col min="8963" max="8963" width="16.15234375" style="226" bestFit="1" customWidth="1"/>
    <col min="8964" max="8964" width="23.53515625" style="226" customWidth="1"/>
    <col min="8965" max="8965" width="17.3046875" style="226" customWidth="1"/>
    <col min="8966" max="8966" width="20.53515625" style="226" bestFit="1" customWidth="1"/>
    <col min="8967" max="8967" width="17.15234375" style="226" customWidth="1"/>
    <col min="8968" max="8968" width="21.84375" style="226" bestFit="1" customWidth="1"/>
    <col min="8969" max="8969" width="17.15234375" style="226" bestFit="1" customWidth="1"/>
    <col min="8970" max="8970" width="18.15234375" style="226" bestFit="1" customWidth="1"/>
    <col min="8971" max="8971" width="26.3828125" style="226" customWidth="1"/>
    <col min="8972" max="9216" width="9.15234375" style="226"/>
    <col min="9217" max="9217" width="8.69140625" style="226" bestFit="1" customWidth="1"/>
    <col min="9218" max="9218" width="13.3046875" style="226" customWidth="1"/>
    <col min="9219" max="9219" width="16.15234375" style="226" bestFit="1" customWidth="1"/>
    <col min="9220" max="9220" width="23.53515625" style="226" customWidth="1"/>
    <col min="9221" max="9221" width="17.3046875" style="226" customWidth="1"/>
    <col min="9222" max="9222" width="20.53515625" style="226" bestFit="1" customWidth="1"/>
    <col min="9223" max="9223" width="17.15234375" style="226" customWidth="1"/>
    <col min="9224" max="9224" width="21.84375" style="226" bestFit="1" customWidth="1"/>
    <col min="9225" max="9225" width="17.15234375" style="226" bestFit="1" customWidth="1"/>
    <col min="9226" max="9226" width="18.15234375" style="226" bestFit="1" customWidth="1"/>
    <col min="9227" max="9227" width="26.3828125" style="226" customWidth="1"/>
    <col min="9228" max="9472" width="9.15234375" style="226"/>
    <col min="9473" max="9473" width="8.69140625" style="226" bestFit="1" customWidth="1"/>
    <col min="9474" max="9474" width="13.3046875" style="226" customWidth="1"/>
    <col min="9475" max="9475" width="16.15234375" style="226" bestFit="1" customWidth="1"/>
    <col min="9476" max="9476" width="23.53515625" style="226" customWidth="1"/>
    <col min="9477" max="9477" width="17.3046875" style="226" customWidth="1"/>
    <col min="9478" max="9478" width="20.53515625" style="226" bestFit="1" customWidth="1"/>
    <col min="9479" max="9479" width="17.15234375" style="226" customWidth="1"/>
    <col min="9480" max="9480" width="21.84375" style="226" bestFit="1" customWidth="1"/>
    <col min="9481" max="9481" width="17.15234375" style="226" bestFit="1" customWidth="1"/>
    <col min="9482" max="9482" width="18.15234375" style="226" bestFit="1" customWidth="1"/>
    <col min="9483" max="9483" width="26.3828125" style="226" customWidth="1"/>
    <col min="9484" max="9728" width="9.15234375" style="226"/>
    <col min="9729" max="9729" width="8.69140625" style="226" bestFit="1" customWidth="1"/>
    <col min="9730" max="9730" width="13.3046875" style="226" customWidth="1"/>
    <col min="9731" max="9731" width="16.15234375" style="226" bestFit="1" customWidth="1"/>
    <col min="9732" max="9732" width="23.53515625" style="226" customWidth="1"/>
    <col min="9733" max="9733" width="17.3046875" style="226" customWidth="1"/>
    <col min="9734" max="9734" width="20.53515625" style="226" bestFit="1" customWidth="1"/>
    <col min="9735" max="9735" width="17.15234375" style="226" customWidth="1"/>
    <col min="9736" max="9736" width="21.84375" style="226" bestFit="1" customWidth="1"/>
    <col min="9737" max="9737" width="17.15234375" style="226" bestFit="1" customWidth="1"/>
    <col min="9738" max="9738" width="18.15234375" style="226" bestFit="1" customWidth="1"/>
    <col min="9739" max="9739" width="26.3828125" style="226" customWidth="1"/>
    <col min="9740" max="9984" width="9.15234375" style="226"/>
    <col min="9985" max="9985" width="8.69140625" style="226" bestFit="1" customWidth="1"/>
    <col min="9986" max="9986" width="13.3046875" style="226" customWidth="1"/>
    <col min="9987" max="9987" width="16.15234375" style="226" bestFit="1" customWidth="1"/>
    <col min="9988" max="9988" width="23.53515625" style="226" customWidth="1"/>
    <col min="9989" max="9989" width="17.3046875" style="226" customWidth="1"/>
    <col min="9990" max="9990" width="20.53515625" style="226" bestFit="1" customWidth="1"/>
    <col min="9991" max="9991" width="17.15234375" style="226" customWidth="1"/>
    <col min="9992" max="9992" width="21.84375" style="226" bestFit="1" customWidth="1"/>
    <col min="9993" max="9993" width="17.15234375" style="226" bestFit="1" customWidth="1"/>
    <col min="9994" max="9994" width="18.15234375" style="226" bestFit="1" customWidth="1"/>
    <col min="9995" max="9995" width="26.3828125" style="226" customWidth="1"/>
    <col min="9996" max="10240" width="9.15234375" style="226"/>
    <col min="10241" max="10241" width="8.69140625" style="226" bestFit="1" customWidth="1"/>
    <col min="10242" max="10242" width="13.3046875" style="226" customWidth="1"/>
    <col min="10243" max="10243" width="16.15234375" style="226" bestFit="1" customWidth="1"/>
    <col min="10244" max="10244" width="23.53515625" style="226" customWidth="1"/>
    <col min="10245" max="10245" width="17.3046875" style="226" customWidth="1"/>
    <col min="10246" max="10246" width="20.53515625" style="226" bestFit="1" customWidth="1"/>
    <col min="10247" max="10247" width="17.15234375" style="226" customWidth="1"/>
    <col min="10248" max="10248" width="21.84375" style="226" bestFit="1" customWidth="1"/>
    <col min="10249" max="10249" width="17.15234375" style="226" bestFit="1" customWidth="1"/>
    <col min="10250" max="10250" width="18.15234375" style="226" bestFit="1" customWidth="1"/>
    <col min="10251" max="10251" width="26.3828125" style="226" customWidth="1"/>
    <col min="10252" max="10496" width="9.15234375" style="226"/>
    <col min="10497" max="10497" width="8.69140625" style="226" bestFit="1" customWidth="1"/>
    <col min="10498" max="10498" width="13.3046875" style="226" customWidth="1"/>
    <col min="10499" max="10499" width="16.15234375" style="226" bestFit="1" customWidth="1"/>
    <col min="10500" max="10500" width="23.53515625" style="226" customWidth="1"/>
    <col min="10501" max="10501" width="17.3046875" style="226" customWidth="1"/>
    <col min="10502" max="10502" width="20.53515625" style="226" bestFit="1" customWidth="1"/>
    <col min="10503" max="10503" width="17.15234375" style="226" customWidth="1"/>
    <col min="10504" max="10504" width="21.84375" style="226" bestFit="1" customWidth="1"/>
    <col min="10505" max="10505" width="17.15234375" style="226" bestFit="1" customWidth="1"/>
    <col min="10506" max="10506" width="18.15234375" style="226" bestFit="1" customWidth="1"/>
    <col min="10507" max="10507" width="26.3828125" style="226" customWidth="1"/>
    <col min="10508" max="10752" width="9.15234375" style="226"/>
    <col min="10753" max="10753" width="8.69140625" style="226" bestFit="1" customWidth="1"/>
    <col min="10754" max="10754" width="13.3046875" style="226" customWidth="1"/>
    <col min="10755" max="10755" width="16.15234375" style="226" bestFit="1" customWidth="1"/>
    <col min="10756" max="10756" width="23.53515625" style="226" customWidth="1"/>
    <col min="10757" max="10757" width="17.3046875" style="226" customWidth="1"/>
    <col min="10758" max="10758" width="20.53515625" style="226" bestFit="1" customWidth="1"/>
    <col min="10759" max="10759" width="17.15234375" style="226" customWidth="1"/>
    <col min="10760" max="10760" width="21.84375" style="226" bestFit="1" customWidth="1"/>
    <col min="10761" max="10761" width="17.15234375" style="226" bestFit="1" customWidth="1"/>
    <col min="10762" max="10762" width="18.15234375" style="226" bestFit="1" customWidth="1"/>
    <col min="10763" max="10763" width="26.3828125" style="226" customWidth="1"/>
    <col min="10764" max="11008" width="9.15234375" style="226"/>
    <col min="11009" max="11009" width="8.69140625" style="226" bestFit="1" customWidth="1"/>
    <col min="11010" max="11010" width="13.3046875" style="226" customWidth="1"/>
    <col min="11011" max="11011" width="16.15234375" style="226" bestFit="1" customWidth="1"/>
    <col min="11012" max="11012" width="23.53515625" style="226" customWidth="1"/>
    <col min="11013" max="11013" width="17.3046875" style="226" customWidth="1"/>
    <col min="11014" max="11014" width="20.53515625" style="226" bestFit="1" customWidth="1"/>
    <col min="11015" max="11015" width="17.15234375" style="226" customWidth="1"/>
    <col min="11016" max="11016" width="21.84375" style="226" bestFit="1" customWidth="1"/>
    <col min="11017" max="11017" width="17.15234375" style="226" bestFit="1" customWidth="1"/>
    <col min="11018" max="11018" width="18.15234375" style="226" bestFit="1" customWidth="1"/>
    <col min="11019" max="11019" width="26.3828125" style="226" customWidth="1"/>
    <col min="11020" max="11264" width="9.15234375" style="226"/>
    <col min="11265" max="11265" width="8.69140625" style="226" bestFit="1" customWidth="1"/>
    <col min="11266" max="11266" width="13.3046875" style="226" customWidth="1"/>
    <col min="11267" max="11267" width="16.15234375" style="226" bestFit="1" customWidth="1"/>
    <col min="11268" max="11268" width="23.53515625" style="226" customWidth="1"/>
    <col min="11269" max="11269" width="17.3046875" style="226" customWidth="1"/>
    <col min="11270" max="11270" width="20.53515625" style="226" bestFit="1" customWidth="1"/>
    <col min="11271" max="11271" width="17.15234375" style="226" customWidth="1"/>
    <col min="11272" max="11272" width="21.84375" style="226" bestFit="1" customWidth="1"/>
    <col min="11273" max="11273" width="17.15234375" style="226" bestFit="1" customWidth="1"/>
    <col min="11274" max="11274" width="18.15234375" style="226" bestFit="1" customWidth="1"/>
    <col min="11275" max="11275" width="26.3828125" style="226" customWidth="1"/>
    <col min="11276" max="11520" width="9.15234375" style="226"/>
    <col min="11521" max="11521" width="8.69140625" style="226" bestFit="1" customWidth="1"/>
    <col min="11522" max="11522" width="13.3046875" style="226" customWidth="1"/>
    <col min="11523" max="11523" width="16.15234375" style="226" bestFit="1" customWidth="1"/>
    <col min="11524" max="11524" width="23.53515625" style="226" customWidth="1"/>
    <col min="11525" max="11525" width="17.3046875" style="226" customWidth="1"/>
    <col min="11526" max="11526" width="20.53515625" style="226" bestFit="1" customWidth="1"/>
    <col min="11527" max="11527" width="17.15234375" style="226" customWidth="1"/>
    <col min="11528" max="11528" width="21.84375" style="226" bestFit="1" customWidth="1"/>
    <col min="11529" max="11529" width="17.15234375" style="226" bestFit="1" customWidth="1"/>
    <col min="11530" max="11530" width="18.15234375" style="226" bestFit="1" customWidth="1"/>
    <col min="11531" max="11531" width="26.3828125" style="226" customWidth="1"/>
    <col min="11532" max="11776" width="9.15234375" style="226"/>
    <col min="11777" max="11777" width="8.69140625" style="226" bestFit="1" customWidth="1"/>
    <col min="11778" max="11778" width="13.3046875" style="226" customWidth="1"/>
    <col min="11779" max="11779" width="16.15234375" style="226" bestFit="1" customWidth="1"/>
    <col min="11780" max="11780" width="23.53515625" style="226" customWidth="1"/>
    <col min="11781" max="11781" width="17.3046875" style="226" customWidth="1"/>
    <col min="11782" max="11782" width="20.53515625" style="226" bestFit="1" customWidth="1"/>
    <col min="11783" max="11783" width="17.15234375" style="226" customWidth="1"/>
    <col min="11784" max="11784" width="21.84375" style="226" bestFit="1" customWidth="1"/>
    <col min="11785" max="11785" width="17.15234375" style="226" bestFit="1" customWidth="1"/>
    <col min="11786" max="11786" width="18.15234375" style="226" bestFit="1" customWidth="1"/>
    <col min="11787" max="11787" width="26.3828125" style="226" customWidth="1"/>
    <col min="11788" max="12032" width="9.15234375" style="226"/>
    <col min="12033" max="12033" width="8.69140625" style="226" bestFit="1" customWidth="1"/>
    <col min="12034" max="12034" width="13.3046875" style="226" customWidth="1"/>
    <col min="12035" max="12035" width="16.15234375" style="226" bestFit="1" customWidth="1"/>
    <col min="12036" max="12036" width="23.53515625" style="226" customWidth="1"/>
    <col min="12037" max="12037" width="17.3046875" style="226" customWidth="1"/>
    <col min="12038" max="12038" width="20.53515625" style="226" bestFit="1" customWidth="1"/>
    <col min="12039" max="12039" width="17.15234375" style="226" customWidth="1"/>
    <col min="12040" max="12040" width="21.84375" style="226" bestFit="1" customWidth="1"/>
    <col min="12041" max="12041" width="17.15234375" style="226" bestFit="1" customWidth="1"/>
    <col min="12042" max="12042" width="18.15234375" style="226" bestFit="1" customWidth="1"/>
    <col min="12043" max="12043" width="26.3828125" style="226" customWidth="1"/>
    <col min="12044" max="12288" width="9.15234375" style="226"/>
    <col min="12289" max="12289" width="8.69140625" style="226" bestFit="1" customWidth="1"/>
    <col min="12290" max="12290" width="13.3046875" style="226" customWidth="1"/>
    <col min="12291" max="12291" width="16.15234375" style="226" bestFit="1" customWidth="1"/>
    <col min="12292" max="12292" width="23.53515625" style="226" customWidth="1"/>
    <col min="12293" max="12293" width="17.3046875" style="226" customWidth="1"/>
    <col min="12294" max="12294" width="20.53515625" style="226" bestFit="1" customWidth="1"/>
    <col min="12295" max="12295" width="17.15234375" style="226" customWidth="1"/>
    <col min="12296" max="12296" width="21.84375" style="226" bestFit="1" customWidth="1"/>
    <col min="12297" max="12297" width="17.15234375" style="226" bestFit="1" customWidth="1"/>
    <col min="12298" max="12298" width="18.15234375" style="226" bestFit="1" customWidth="1"/>
    <col min="12299" max="12299" width="26.3828125" style="226" customWidth="1"/>
    <col min="12300" max="12544" width="9.15234375" style="226"/>
    <col min="12545" max="12545" width="8.69140625" style="226" bestFit="1" customWidth="1"/>
    <col min="12546" max="12546" width="13.3046875" style="226" customWidth="1"/>
    <col min="12547" max="12547" width="16.15234375" style="226" bestFit="1" customWidth="1"/>
    <col min="12548" max="12548" width="23.53515625" style="226" customWidth="1"/>
    <col min="12549" max="12549" width="17.3046875" style="226" customWidth="1"/>
    <col min="12550" max="12550" width="20.53515625" style="226" bestFit="1" customWidth="1"/>
    <col min="12551" max="12551" width="17.15234375" style="226" customWidth="1"/>
    <col min="12552" max="12552" width="21.84375" style="226" bestFit="1" customWidth="1"/>
    <col min="12553" max="12553" width="17.15234375" style="226" bestFit="1" customWidth="1"/>
    <col min="12554" max="12554" width="18.15234375" style="226" bestFit="1" customWidth="1"/>
    <col min="12555" max="12555" width="26.3828125" style="226" customWidth="1"/>
    <col min="12556" max="12800" width="9.15234375" style="226"/>
    <col min="12801" max="12801" width="8.69140625" style="226" bestFit="1" customWidth="1"/>
    <col min="12802" max="12802" width="13.3046875" style="226" customWidth="1"/>
    <col min="12803" max="12803" width="16.15234375" style="226" bestFit="1" customWidth="1"/>
    <col min="12804" max="12804" width="23.53515625" style="226" customWidth="1"/>
    <col min="12805" max="12805" width="17.3046875" style="226" customWidth="1"/>
    <col min="12806" max="12806" width="20.53515625" style="226" bestFit="1" customWidth="1"/>
    <col min="12807" max="12807" width="17.15234375" style="226" customWidth="1"/>
    <col min="12808" max="12808" width="21.84375" style="226" bestFit="1" customWidth="1"/>
    <col min="12809" max="12809" width="17.15234375" style="226" bestFit="1" customWidth="1"/>
    <col min="12810" max="12810" width="18.15234375" style="226" bestFit="1" customWidth="1"/>
    <col min="12811" max="12811" width="26.3828125" style="226" customWidth="1"/>
    <col min="12812" max="13056" width="9.15234375" style="226"/>
    <col min="13057" max="13057" width="8.69140625" style="226" bestFit="1" customWidth="1"/>
    <col min="13058" max="13058" width="13.3046875" style="226" customWidth="1"/>
    <col min="13059" max="13059" width="16.15234375" style="226" bestFit="1" customWidth="1"/>
    <col min="13060" max="13060" width="23.53515625" style="226" customWidth="1"/>
    <col min="13061" max="13061" width="17.3046875" style="226" customWidth="1"/>
    <col min="13062" max="13062" width="20.53515625" style="226" bestFit="1" customWidth="1"/>
    <col min="13063" max="13063" width="17.15234375" style="226" customWidth="1"/>
    <col min="13064" max="13064" width="21.84375" style="226" bestFit="1" customWidth="1"/>
    <col min="13065" max="13065" width="17.15234375" style="226" bestFit="1" customWidth="1"/>
    <col min="13066" max="13066" width="18.15234375" style="226" bestFit="1" customWidth="1"/>
    <col min="13067" max="13067" width="26.3828125" style="226" customWidth="1"/>
    <col min="13068" max="13312" width="9.15234375" style="226"/>
    <col min="13313" max="13313" width="8.69140625" style="226" bestFit="1" customWidth="1"/>
    <col min="13314" max="13314" width="13.3046875" style="226" customWidth="1"/>
    <col min="13315" max="13315" width="16.15234375" style="226" bestFit="1" customWidth="1"/>
    <col min="13316" max="13316" width="23.53515625" style="226" customWidth="1"/>
    <col min="13317" max="13317" width="17.3046875" style="226" customWidth="1"/>
    <col min="13318" max="13318" width="20.53515625" style="226" bestFit="1" customWidth="1"/>
    <col min="13319" max="13319" width="17.15234375" style="226" customWidth="1"/>
    <col min="13320" max="13320" width="21.84375" style="226" bestFit="1" customWidth="1"/>
    <col min="13321" max="13321" width="17.15234375" style="226" bestFit="1" customWidth="1"/>
    <col min="13322" max="13322" width="18.15234375" style="226" bestFit="1" customWidth="1"/>
    <col min="13323" max="13323" width="26.3828125" style="226" customWidth="1"/>
    <col min="13324" max="13568" width="9.15234375" style="226"/>
    <col min="13569" max="13569" width="8.69140625" style="226" bestFit="1" customWidth="1"/>
    <col min="13570" max="13570" width="13.3046875" style="226" customWidth="1"/>
    <col min="13571" max="13571" width="16.15234375" style="226" bestFit="1" customWidth="1"/>
    <col min="13572" max="13572" width="23.53515625" style="226" customWidth="1"/>
    <col min="13573" max="13573" width="17.3046875" style="226" customWidth="1"/>
    <col min="13574" max="13574" width="20.53515625" style="226" bestFit="1" customWidth="1"/>
    <col min="13575" max="13575" width="17.15234375" style="226" customWidth="1"/>
    <col min="13576" max="13576" width="21.84375" style="226" bestFit="1" customWidth="1"/>
    <col min="13577" max="13577" width="17.15234375" style="226" bestFit="1" customWidth="1"/>
    <col min="13578" max="13578" width="18.15234375" style="226" bestFit="1" customWidth="1"/>
    <col min="13579" max="13579" width="26.3828125" style="226" customWidth="1"/>
    <col min="13580" max="13824" width="9.15234375" style="226"/>
    <col min="13825" max="13825" width="8.69140625" style="226" bestFit="1" customWidth="1"/>
    <col min="13826" max="13826" width="13.3046875" style="226" customWidth="1"/>
    <col min="13827" max="13827" width="16.15234375" style="226" bestFit="1" customWidth="1"/>
    <col min="13828" max="13828" width="23.53515625" style="226" customWidth="1"/>
    <col min="13829" max="13829" width="17.3046875" style="226" customWidth="1"/>
    <col min="13830" max="13830" width="20.53515625" style="226" bestFit="1" customWidth="1"/>
    <col min="13831" max="13831" width="17.15234375" style="226" customWidth="1"/>
    <col min="13832" max="13832" width="21.84375" style="226" bestFit="1" customWidth="1"/>
    <col min="13833" max="13833" width="17.15234375" style="226" bestFit="1" customWidth="1"/>
    <col min="13834" max="13834" width="18.15234375" style="226" bestFit="1" customWidth="1"/>
    <col min="13835" max="13835" width="26.3828125" style="226" customWidth="1"/>
    <col min="13836" max="14080" width="9.15234375" style="226"/>
    <col min="14081" max="14081" width="8.69140625" style="226" bestFit="1" customWidth="1"/>
    <col min="14082" max="14082" width="13.3046875" style="226" customWidth="1"/>
    <col min="14083" max="14083" width="16.15234375" style="226" bestFit="1" customWidth="1"/>
    <col min="14084" max="14084" width="23.53515625" style="226" customWidth="1"/>
    <col min="14085" max="14085" width="17.3046875" style="226" customWidth="1"/>
    <col min="14086" max="14086" width="20.53515625" style="226" bestFit="1" customWidth="1"/>
    <col min="14087" max="14087" width="17.15234375" style="226" customWidth="1"/>
    <col min="14088" max="14088" width="21.84375" style="226" bestFit="1" customWidth="1"/>
    <col min="14089" max="14089" width="17.15234375" style="226" bestFit="1" customWidth="1"/>
    <col min="14090" max="14090" width="18.15234375" style="226" bestFit="1" customWidth="1"/>
    <col min="14091" max="14091" width="26.3828125" style="226" customWidth="1"/>
    <col min="14092" max="14336" width="9.15234375" style="226"/>
    <col min="14337" max="14337" width="8.69140625" style="226" bestFit="1" customWidth="1"/>
    <col min="14338" max="14338" width="13.3046875" style="226" customWidth="1"/>
    <col min="14339" max="14339" width="16.15234375" style="226" bestFit="1" customWidth="1"/>
    <col min="14340" max="14340" width="23.53515625" style="226" customWidth="1"/>
    <col min="14341" max="14341" width="17.3046875" style="226" customWidth="1"/>
    <col min="14342" max="14342" width="20.53515625" style="226" bestFit="1" customWidth="1"/>
    <col min="14343" max="14343" width="17.15234375" style="226" customWidth="1"/>
    <col min="14344" max="14344" width="21.84375" style="226" bestFit="1" customWidth="1"/>
    <col min="14345" max="14345" width="17.15234375" style="226" bestFit="1" customWidth="1"/>
    <col min="14346" max="14346" width="18.15234375" style="226" bestFit="1" customWidth="1"/>
    <col min="14347" max="14347" width="26.3828125" style="226" customWidth="1"/>
    <col min="14348" max="14592" width="9.15234375" style="226"/>
    <col min="14593" max="14593" width="8.69140625" style="226" bestFit="1" customWidth="1"/>
    <col min="14594" max="14594" width="13.3046875" style="226" customWidth="1"/>
    <col min="14595" max="14595" width="16.15234375" style="226" bestFit="1" customWidth="1"/>
    <col min="14596" max="14596" width="23.53515625" style="226" customWidth="1"/>
    <col min="14597" max="14597" width="17.3046875" style="226" customWidth="1"/>
    <col min="14598" max="14598" width="20.53515625" style="226" bestFit="1" customWidth="1"/>
    <col min="14599" max="14599" width="17.15234375" style="226" customWidth="1"/>
    <col min="14600" max="14600" width="21.84375" style="226" bestFit="1" customWidth="1"/>
    <col min="14601" max="14601" width="17.15234375" style="226" bestFit="1" customWidth="1"/>
    <col min="14602" max="14602" width="18.15234375" style="226" bestFit="1" customWidth="1"/>
    <col min="14603" max="14603" width="26.3828125" style="226" customWidth="1"/>
    <col min="14604" max="14848" width="9.15234375" style="226"/>
    <col min="14849" max="14849" width="8.69140625" style="226" bestFit="1" customWidth="1"/>
    <col min="14850" max="14850" width="13.3046875" style="226" customWidth="1"/>
    <col min="14851" max="14851" width="16.15234375" style="226" bestFit="1" customWidth="1"/>
    <col min="14852" max="14852" width="23.53515625" style="226" customWidth="1"/>
    <col min="14853" max="14853" width="17.3046875" style="226" customWidth="1"/>
    <col min="14854" max="14854" width="20.53515625" style="226" bestFit="1" customWidth="1"/>
    <col min="14855" max="14855" width="17.15234375" style="226" customWidth="1"/>
    <col min="14856" max="14856" width="21.84375" style="226" bestFit="1" customWidth="1"/>
    <col min="14857" max="14857" width="17.15234375" style="226" bestFit="1" customWidth="1"/>
    <col min="14858" max="14858" width="18.15234375" style="226" bestFit="1" customWidth="1"/>
    <col min="14859" max="14859" width="26.3828125" style="226" customWidth="1"/>
    <col min="14860" max="15104" width="9.15234375" style="226"/>
    <col min="15105" max="15105" width="8.69140625" style="226" bestFit="1" customWidth="1"/>
    <col min="15106" max="15106" width="13.3046875" style="226" customWidth="1"/>
    <col min="15107" max="15107" width="16.15234375" style="226" bestFit="1" customWidth="1"/>
    <col min="15108" max="15108" width="23.53515625" style="226" customWidth="1"/>
    <col min="15109" max="15109" width="17.3046875" style="226" customWidth="1"/>
    <col min="15110" max="15110" width="20.53515625" style="226" bestFit="1" customWidth="1"/>
    <col min="15111" max="15111" width="17.15234375" style="226" customWidth="1"/>
    <col min="15112" max="15112" width="21.84375" style="226" bestFit="1" customWidth="1"/>
    <col min="15113" max="15113" width="17.15234375" style="226" bestFit="1" customWidth="1"/>
    <col min="15114" max="15114" width="18.15234375" style="226" bestFit="1" customWidth="1"/>
    <col min="15115" max="15115" width="26.3828125" style="226" customWidth="1"/>
    <col min="15116" max="15360" width="9.15234375" style="226"/>
    <col min="15361" max="15361" width="8.69140625" style="226" bestFit="1" customWidth="1"/>
    <col min="15362" max="15362" width="13.3046875" style="226" customWidth="1"/>
    <col min="15363" max="15363" width="16.15234375" style="226" bestFit="1" customWidth="1"/>
    <col min="15364" max="15364" width="23.53515625" style="226" customWidth="1"/>
    <col min="15365" max="15365" width="17.3046875" style="226" customWidth="1"/>
    <col min="15366" max="15366" width="20.53515625" style="226" bestFit="1" customWidth="1"/>
    <col min="15367" max="15367" width="17.15234375" style="226" customWidth="1"/>
    <col min="15368" max="15368" width="21.84375" style="226" bestFit="1" customWidth="1"/>
    <col min="15369" max="15369" width="17.15234375" style="226" bestFit="1" customWidth="1"/>
    <col min="15370" max="15370" width="18.15234375" style="226" bestFit="1" customWidth="1"/>
    <col min="15371" max="15371" width="26.3828125" style="226" customWidth="1"/>
    <col min="15372" max="15616" width="9.15234375" style="226"/>
    <col min="15617" max="15617" width="8.69140625" style="226" bestFit="1" customWidth="1"/>
    <col min="15618" max="15618" width="13.3046875" style="226" customWidth="1"/>
    <col min="15619" max="15619" width="16.15234375" style="226" bestFit="1" customWidth="1"/>
    <col min="15620" max="15620" width="23.53515625" style="226" customWidth="1"/>
    <col min="15621" max="15621" width="17.3046875" style="226" customWidth="1"/>
    <col min="15622" max="15622" width="20.53515625" style="226" bestFit="1" customWidth="1"/>
    <col min="15623" max="15623" width="17.15234375" style="226" customWidth="1"/>
    <col min="15624" max="15624" width="21.84375" style="226" bestFit="1" customWidth="1"/>
    <col min="15625" max="15625" width="17.15234375" style="226" bestFit="1" customWidth="1"/>
    <col min="15626" max="15626" width="18.15234375" style="226" bestFit="1" customWidth="1"/>
    <col min="15627" max="15627" width="26.3828125" style="226" customWidth="1"/>
    <col min="15628" max="15872" width="9.15234375" style="226"/>
    <col min="15873" max="15873" width="8.69140625" style="226" bestFit="1" customWidth="1"/>
    <col min="15874" max="15874" width="13.3046875" style="226" customWidth="1"/>
    <col min="15875" max="15875" width="16.15234375" style="226" bestFit="1" customWidth="1"/>
    <col min="15876" max="15876" width="23.53515625" style="226" customWidth="1"/>
    <col min="15877" max="15877" width="17.3046875" style="226" customWidth="1"/>
    <col min="15878" max="15878" width="20.53515625" style="226" bestFit="1" customWidth="1"/>
    <col min="15879" max="15879" width="17.15234375" style="226" customWidth="1"/>
    <col min="15880" max="15880" width="21.84375" style="226" bestFit="1" customWidth="1"/>
    <col min="15881" max="15881" width="17.15234375" style="226" bestFit="1" customWidth="1"/>
    <col min="15882" max="15882" width="18.15234375" style="226" bestFit="1" customWidth="1"/>
    <col min="15883" max="15883" width="26.3828125" style="226" customWidth="1"/>
    <col min="15884" max="16128" width="9.15234375" style="226"/>
    <col min="16129" max="16129" width="8.69140625" style="226" bestFit="1" customWidth="1"/>
    <col min="16130" max="16130" width="13.3046875" style="226" customWidth="1"/>
    <col min="16131" max="16131" width="16.15234375" style="226" bestFit="1" customWidth="1"/>
    <col min="16132" max="16132" width="23.53515625" style="226" customWidth="1"/>
    <col min="16133" max="16133" width="17.3046875" style="226" customWidth="1"/>
    <col min="16134" max="16134" width="20.53515625" style="226" bestFit="1" customWidth="1"/>
    <col min="16135" max="16135" width="17.15234375" style="226" customWidth="1"/>
    <col min="16136" max="16136" width="21.84375" style="226" bestFit="1" customWidth="1"/>
    <col min="16137" max="16137" width="17.15234375" style="226" bestFit="1" customWidth="1"/>
    <col min="16138" max="16138" width="18.15234375" style="226" bestFit="1" customWidth="1"/>
    <col min="16139" max="16139" width="26.3828125" style="226" customWidth="1"/>
    <col min="16140" max="16384" width="9.15234375" style="226"/>
  </cols>
  <sheetData>
    <row r="1" spans="13:13" s="261" customFormat="1" x14ac:dyDescent="0.3">
      <c r="M1" s="262"/>
    </row>
    <row r="2" spans="13:13" s="261" customFormat="1" x14ac:dyDescent="0.3">
      <c r="M2" s="262"/>
    </row>
    <row r="3" spans="13:13" s="261" customFormat="1" x14ac:dyDescent="0.3">
      <c r="M3" s="262"/>
    </row>
    <row r="4" spans="13:13" s="261" customFormat="1" x14ac:dyDescent="0.3">
      <c r="M4" s="262"/>
    </row>
    <row r="5" spans="13:13" s="261" customFormat="1" x14ac:dyDescent="0.3">
      <c r="M5" s="262"/>
    </row>
    <row r="6" spans="13:13" s="261" customFormat="1" x14ac:dyDescent="0.3">
      <c r="M6" s="262"/>
    </row>
    <row r="7" spans="13:13" s="261" customFormat="1" x14ac:dyDescent="0.3">
      <c r="M7" s="262"/>
    </row>
    <row r="8" spans="13:13" s="261" customFormat="1" x14ac:dyDescent="0.3">
      <c r="M8" s="262"/>
    </row>
    <row r="9" spans="13:13" s="261" customFormat="1" x14ac:dyDescent="0.3">
      <c r="M9" s="262"/>
    </row>
    <row r="10" spans="13:13" s="261" customFormat="1" x14ac:dyDescent="0.3">
      <c r="M10" s="262"/>
    </row>
    <row r="11" spans="13:13" s="261" customFormat="1" x14ac:dyDescent="0.3">
      <c r="M11" s="262"/>
    </row>
    <row r="12" spans="13:13" s="261" customFormat="1" x14ac:dyDescent="0.3">
      <c r="M12" s="262"/>
    </row>
    <row r="13" spans="13:13" s="261" customFormat="1" x14ac:dyDescent="0.3">
      <c r="M13" s="262"/>
    </row>
    <row r="14" spans="13:13" s="261" customFormat="1" x14ac:dyDescent="0.3">
      <c r="M14" s="262"/>
    </row>
    <row r="15" spans="13:13" s="261" customFormat="1" x14ac:dyDescent="0.3">
      <c r="M15" s="262"/>
    </row>
    <row r="16" spans="13:13" s="261" customFormat="1" x14ac:dyDescent="0.3">
      <c r="M16" s="262"/>
    </row>
    <row r="17" spans="13:13" s="261" customFormat="1" x14ac:dyDescent="0.3">
      <c r="M17" s="262"/>
    </row>
    <row r="18" spans="13:13" s="261" customFormat="1" x14ac:dyDescent="0.3">
      <c r="M18" s="262"/>
    </row>
    <row r="19" spans="13:13" s="261" customFormat="1" x14ac:dyDescent="0.3">
      <c r="M19" s="262"/>
    </row>
    <row r="20" spans="13:13" s="261" customFormat="1" x14ac:dyDescent="0.3">
      <c r="M20" s="262"/>
    </row>
    <row r="21" spans="13:13" s="261" customFormat="1" x14ac:dyDescent="0.3">
      <c r="M21" s="262"/>
    </row>
    <row r="22" spans="13:13" s="261" customFormat="1" x14ac:dyDescent="0.3">
      <c r="M22" s="262"/>
    </row>
    <row r="23" spans="13:13" s="261" customFormat="1" x14ac:dyDescent="0.3">
      <c r="M23" s="262"/>
    </row>
    <row r="24" spans="13:13" s="261" customFormat="1" x14ac:dyDescent="0.3">
      <c r="M24" s="262"/>
    </row>
    <row r="25" spans="13:13" s="261" customFormat="1" x14ac:dyDescent="0.3">
      <c r="M25" s="262"/>
    </row>
    <row r="26" spans="13:13" s="261" customFormat="1" x14ac:dyDescent="0.3">
      <c r="M26" s="262"/>
    </row>
    <row r="27" spans="13:13" s="261" customFormat="1" x14ac:dyDescent="0.3">
      <c r="M27" s="262"/>
    </row>
    <row r="28" spans="13:13" s="261" customFormat="1" x14ac:dyDescent="0.3">
      <c r="M28" s="262"/>
    </row>
    <row r="29" spans="13:13" s="261" customFormat="1" x14ac:dyDescent="0.3">
      <c r="M29" s="262"/>
    </row>
    <row r="30" spans="13:13" s="261" customFormat="1" x14ac:dyDescent="0.3">
      <c r="M30" s="262"/>
    </row>
    <row r="31" spans="13:13" s="261" customFormat="1" x14ac:dyDescent="0.3">
      <c r="M31" s="262"/>
    </row>
    <row r="32" spans="13:13" s="261" customFormat="1" x14ac:dyDescent="0.3">
      <c r="M32" s="262"/>
    </row>
    <row r="33" spans="1:13" s="261" customFormat="1" x14ac:dyDescent="0.3">
      <c r="M33" s="262"/>
    </row>
    <row r="34" spans="1:13" s="261" customFormat="1" x14ac:dyDescent="0.3">
      <c r="M34" s="262"/>
    </row>
    <row r="35" spans="1:13" s="261" customFormat="1" x14ac:dyDescent="0.3">
      <c r="M35" s="262"/>
    </row>
    <row r="36" spans="1:13" s="261" customFormat="1" x14ac:dyDescent="0.3">
      <c r="M36" s="262"/>
    </row>
    <row r="37" spans="1:13" s="261" customFormat="1" x14ac:dyDescent="0.3">
      <c r="M37" s="262"/>
    </row>
    <row r="38" spans="1:13" s="261" customFormat="1" x14ac:dyDescent="0.3">
      <c r="M38" s="262"/>
    </row>
    <row r="39" spans="1:13" s="261" customFormat="1" x14ac:dyDescent="0.3">
      <c r="M39" s="262"/>
    </row>
    <row r="40" spans="1:13" s="261" customFormat="1" x14ac:dyDescent="0.3">
      <c r="M40" s="262"/>
    </row>
    <row r="41" spans="1:13" s="261" customFormat="1" x14ac:dyDescent="0.3">
      <c r="M41" s="262"/>
    </row>
    <row r="42" spans="1:13" s="261" customFormat="1" x14ac:dyDescent="0.3">
      <c r="M42" s="262"/>
    </row>
    <row r="43" spans="1:13" s="261" customFormat="1" x14ac:dyDescent="0.3">
      <c r="M43" s="262"/>
    </row>
    <row r="44" spans="1:13" s="261" customFormat="1" ht="15.75" customHeight="1" x14ac:dyDescent="0.3"/>
    <row r="45" spans="1:13" s="261" customFormat="1" ht="23.25" customHeight="1" x14ac:dyDescent="0.3">
      <c r="B45" s="261" t="s">
        <v>960</v>
      </c>
    </row>
    <row r="46" spans="1:13" s="261" customFormat="1" ht="24.75" customHeight="1" x14ac:dyDescent="0.4">
      <c r="A46" s="266" t="str">
        <f>"VIN = "&amp;VIN_min&amp;" V to "&amp;VIN_max&amp;" V, VOUT = "&amp; Vout &amp;" V, IOUT = " &amp;Iout &amp; " A,  Fsw = " &amp; Fsw/1000 &amp;" kHz, Current Limit = "&amp;ROUNDUP(Ilimit_DC,0)&amp;" A"</f>
        <v>VIN = 5 V to 20 V, VOUT = 48 V, IOUT = 10 A,  Fsw = 600 kHz, Current Limit = 10 A</v>
      </c>
    </row>
    <row r="47" spans="1:13" ht="24.75" customHeight="1" thickBot="1" x14ac:dyDescent="0.35">
      <c r="A47" s="228" t="s">
        <v>657</v>
      </c>
    </row>
    <row r="48" spans="1:13" ht="18" customHeight="1" x14ac:dyDescent="0.3">
      <c r="A48" s="532" t="s">
        <v>326</v>
      </c>
      <c r="B48" s="533" t="s">
        <v>325</v>
      </c>
      <c r="C48" s="533" t="s">
        <v>8</v>
      </c>
      <c r="D48" s="661" t="s">
        <v>111</v>
      </c>
      <c r="E48" s="662"/>
      <c r="F48" s="662"/>
      <c r="G48" s="663"/>
      <c r="H48" s="534" t="s">
        <v>312</v>
      </c>
      <c r="I48" s="534" t="s">
        <v>190</v>
      </c>
      <c r="J48" s="534" t="s">
        <v>313</v>
      </c>
      <c r="L48" s="227"/>
      <c r="M48" s="226"/>
    </row>
    <row r="49" spans="1:12" s="233" customFormat="1" ht="15.75" customHeight="1" x14ac:dyDescent="0.3">
      <c r="A49" s="230">
        <v>2</v>
      </c>
      <c r="B49" s="231" t="s">
        <v>669</v>
      </c>
      <c r="C49" s="245">
        <v>0.1</v>
      </c>
      <c r="D49" s="684">
        <f t="shared" ref="D49:D59" si="0">C49</f>
        <v>0.1</v>
      </c>
      <c r="E49" s="685"/>
      <c r="F49" s="685"/>
      <c r="G49" s="246"/>
      <c r="H49" s="247" t="s">
        <v>317</v>
      </c>
      <c r="I49" s="232" t="s">
        <v>314</v>
      </c>
      <c r="J49" s="232" t="s">
        <v>314</v>
      </c>
      <c r="L49" s="234"/>
    </row>
    <row r="50" spans="1:12" s="233" customFormat="1" ht="14.15" x14ac:dyDescent="0.3">
      <c r="A50" s="229">
        <v>1</v>
      </c>
      <c r="B50" s="248" t="s">
        <v>318</v>
      </c>
      <c r="C50" s="257">
        <f>'Design Converter'!D79</f>
        <v>12</v>
      </c>
      <c r="D50" s="686">
        <f t="shared" si="0"/>
        <v>12</v>
      </c>
      <c r="E50" s="687"/>
      <c r="F50" s="687"/>
      <c r="G50" s="250"/>
      <c r="H50" s="251" t="s">
        <v>317</v>
      </c>
      <c r="I50" s="252" t="s">
        <v>314</v>
      </c>
      <c r="J50" s="252" t="s">
        <v>314</v>
      </c>
      <c r="L50" s="234"/>
    </row>
    <row r="51" spans="1:12" s="233" customFormat="1" ht="14.15" x14ac:dyDescent="0.3">
      <c r="A51" s="229">
        <v>1</v>
      </c>
      <c r="B51" s="248" t="s">
        <v>319</v>
      </c>
      <c r="C51" s="249">
        <f>'Design Converter'!D80</f>
        <v>12</v>
      </c>
      <c r="D51" s="692">
        <f t="shared" si="0"/>
        <v>12</v>
      </c>
      <c r="E51" s="693"/>
      <c r="F51" s="693"/>
      <c r="G51" s="250"/>
      <c r="H51" s="251" t="s">
        <v>317</v>
      </c>
      <c r="I51" s="252" t="s">
        <v>314</v>
      </c>
      <c r="J51" s="252" t="s">
        <v>314</v>
      </c>
      <c r="L51" s="234"/>
    </row>
    <row r="52" spans="1:12" s="233" customFormat="1" ht="14.15" x14ac:dyDescent="0.3">
      <c r="A52" s="229">
        <v>1</v>
      </c>
      <c r="B52" s="248" t="s">
        <v>661</v>
      </c>
      <c r="C52" s="249">
        <f>Cslope</f>
        <v>470</v>
      </c>
      <c r="D52" s="692">
        <f t="shared" si="0"/>
        <v>470</v>
      </c>
      <c r="E52" s="693"/>
      <c r="F52" s="693"/>
      <c r="G52" s="250"/>
      <c r="H52" s="251" t="s">
        <v>317</v>
      </c>
      <c r="I52" s="252" t="s">
        <v>314</v>
      </c>
      <c r="J52" s="252" t="s">
        <v>314</v>
      </c>
      <c r="L52" s="234"/>
    </row>
    <row r="53" spans="1:12" s="233" customFormat="1" ht="14.15" x14ac:dyDescent="0.3">
      <c r="A53" s="240">
        <v>1</v>
      </c>
      <c r="B53" s="241" t="s">
        <v>320</v>
      </c>
      <c r="C53" s="253">
        <v>100</v>
      </c>
      <c r="D53" s="694">
        <f>C53</f>
        <v>100</v>
      </c>
      <c r="E53" s="695"/>
      <c r="F53" s="695"/>
      <c r="G53" s="254"/>
      <c r="H53" s="243" t="s">
        <v>317</v>
      </c>
      <c r="I53" s="244" t="s">
        <v>314</v>
      </c>
      <c r="J53" s="244" t="s">
        <v>314</v>
      </c>
      <c r="L53" s="234"/>
    </row>
    <row r="54" spans="1:12" s="233" customFormat="1" ht="14.15" x14ac:dyDescent="0.3">
      <c r="A54" s="235">
        <v>1</v>
      </c>
      <c r="B54" s="236" t="s">
        <v>668</v>
      </c>
      <c r="C54" s="480">
        <f>Cdither*1000000000</f>
        <v>10</v>
      </c>
      <c r="D54" s="664">
        <f>C54</f>
        <v>10</v>
      </c>
      <c r="E54" s="665"/>
      <c r="F54" s="665"/>
      <c r="G54" s="481"/>
      <c r="H54" s="238" t="s">
        <v>317</v>
      </c>
      <c r="I54" s="239" t="s">
        <v>314</v>
      </c>
      <c r="J54" s="239" t="s">
        <v>314</v>
      </c>
      <c r="L54" s="234"/>
    </row>
    <row r="55" spans="1:12" s="233" customFormat="1" ht="14.15" x14ac:dyDescent="0.3">
      <c r="A55" s="229">
        <f>ROUNDUP('Design Converter'!E51/10,0)</f>
        <v>10</v>
      </c>
      <c r="B55" s="248" t="s">
        <v>321</v>
      </c>
      <c r="C55" s="256">
        <v>10</v>
      </c>
      <c r="D55" s="698">
        <f>C55</f>
        <v>10</v>
      </c>
      <c r="E55" s="699"/>
      <c r="F55" s="699"/>
      <c r="G55" s="250"/>
      <c r="H55" s="251">
        <v>1210</v>
      </c>
      <c r="I55" s="252" t="s">
        <v>314</v>
      </c>
      <c r="J55" s="252" t="s">
        <v>314</v>
      </c>
      <c r="L55" s="234"/>
    </row>
    <row r="56" spans="1:12" s="233" customFormat="1" ht="14.15" x14ac:dyDescent="0.3">
      <c r="A56" s="229">
        <f>ROUNDUP('Design Converter'!E42/22,0)</f>
        <v>28</v>
      </c>
      <c r="B56" s="248" t="s">
        <v>322</v>
      </c>
      <c r="C56" s="256">
        <v>22</v>
      </c>
      <c r="D56" s="688">
        <f>C56</f>
        <v>22</v>
      </c>
      <c r="E56" s="689"/>
      <c r="F56" s="689"/>
      <c r="G56" s="250"/>
      <c r="H56" s="251">
        <v>1210</v>
      </c>
      <c r="I56" s="252" t="s">
        <v>314</v>
      </c>
      <c r="J56" s="252" t="s">
        <v>314</v>
      </c>
      <c r="L56" s="234"/>
    </row>
    <row r="57" spans="1:12" s="233" customFormat="1" ht="14.15" x14ac:dyDescent="0.3">
      <c r="A57" s="229">
        <v>1</v>
      </c>
      <c r="B57" s="248" t="s">
        <v>323</v>
      </c>
      <c r="C57" s="257">
        <f>'Design Converter'!E59</f>
        <v>330</v>
      </c>
      <c r="D57" s="686">
        <f>C57</f>
        <v>330</v>
      </c>
      <c r="E57" s="687"/>
      <c r="F57" s="687"/>
      <c r="G57" s="250"/>
      <c r="H57" s="251" t="s">
        <v>317</v>
      </c>
      <c r="I57" s="252" t="s">
        <v>314</v>
      </c>
      <c r="J57" s="252" t="s">
        <v>314</v>
      </c>
      <c r="L57" s="234"/>
    </row>
    <row r="58" spans="1:12" s="233" customFormat="1" ht="14.15" x14ac:dyDescent="0.3">
      <c r="A58" s="240">
        <v>1</v>
      </c>
      <c r="B58" s="241" t="s">
        <v>670</v>
      </c>
      <c r="C58" s="255">
        <v>1</v>
      </c>
      <c r="D58" s="696">
        <f t="shared" si="0"/>
        <v>1</v>
      </c>
      <c r="E58" s="697"/>
      <c r="F58" s="697"/>
      <c r="G58" s="254"/>
      <c r="H58" s="243" t="s">
        <v>317</v>
      </c>
      <c r="I58" s="244" t="s">
        <v>314</v>
      </c>
      <c r="J58" s="244" t="s">
        <v>314</v>
      </c>
      <c r="L58" s="234"/>
    </row>
    <row r="59" spans="1:12" s="233" customFormat="1" ht="14.15" x14ac:dyDescent="0.3">
      <c r="A59" s="240">
        <v>1</v>
      </c>
      <c r="B59" s="241" t="s">
        <v>324</v>
      </c>
      <c r="C59" s="255">
        <v>0.1</v>
      </c>
      <c r="D59" s="690">
        <f t="shared" si="0"/>
        <v>0.1</v>
      </c>
      <c r="E59" s="691"/>
      <c r="F59" s="691"/>
      <c r="G59" s="254"/>
      <c r="H59" s="243" t="s">
        <v>317</v>
      </c>
      <c r="I59" s="244" t="s">
        <v>314</v>
      </c>
      <c r="J59" s="244" t="s">
        <v>314</v>
      </c>
      <c r="L59" s="234"/>
    </row>
    <row r="60" spans="1:12" s="233" customFormat="1" ht="15.75" customHeight="1" x14ac:dyDescent="0.3">
      <c r="A60" s="240">
        <v>3</v>
      </c>
      <c r="B60" s="241" t="s">
        <v>667</v>
      </c>
      <c r="C60" s="258" t="s">
        <v>315</v>
      </c>
      <c r="D60" s="700" t="s">
        <v>666</v>
      </c>
      <c r="E60" s="701"/>
      <c r="F60" s="701"/>
      <c r="G60" s="254"/>
      <c r="H60" s="259" t="s">
        <v>328</v>
      </c>
      <c r="I60" s="244" t="s">
        <v>328</v>
      </c>
      <c r="J60" s="244" t="s">
        <v>327</v>
      </c>
      <c r="L60" s="234"/>
    </row>
    <row r="61" spans="1:12" s="233" customFormat="1" ht="14.15" x14ac:dyDescent="0.3">
      <c r="A61" s="229">
        <v>1</v>
      </c>
      <c r="B61" s="248" t="s">
        <v>662</v>
      </c>
      <c r="C61" s="260">
        <f>'Design Converter'!E16</f>
        <v>3.3</v>
      </c>
      <c r="D61" s="678" t="str">
        <f>"Inductor, "&amp;Lf*1000000&amp;"µH, "&amp;Rdcr*1000&amp;"mΩ, &gt;"&amp;ROUNDUP(IL_peak_OCP*1.1,0)&amp;"A"</f>
        <v>Inductor, 3.3µH, 7mΩ, &gt;44A</v>
      </c>
      <c r="E61" s="679"/>
      <c r="F61" s="679"/>
      <c r="G61" s="680"/>
      <c r="H61" s="252" t="s">
        <v>328</v>
      </c>
      <c r="I61" s="252" t="s">
        <v>328</v>
      </c>
      <c r="J61" s="252" t="s">
        <v>327</v>
      </c>
      <c r="L61" s="234"/>
    </row>
    <row r="62" spans="1:12" s="233" customFormat="1" ht="14.15" x14ac:dyDescent="0.3">
      <c r="A62" s="240">
        <v>2</v>
      </c>
      <c r="B62" s="241" t="s">
        <v>763</v>
      </c>
      <c r="C62" s="258" t="s">
        <v>315</v>
      </c>
      <c r="D62" s="672">
        <f>'Design Converter'!E87</f>
        <v>5.7</v>
      </c>
      <c r="E62" s="673"/>
      <c r="F62" s="673"/>
      <c r="G62" s="674"/>
      <c r="H62" s="244" t="s">
        <v>314</v>
      </c>
      <c r="I62" s="244" t="str">
        <f>'Design Converter'!E85</f>
        <v>CSD18563Q5A</v>
      </c>
      <c r="J62" s="244" t="s">
        <v>328</v>
      </c>
      <c r="L62" s="234"/>
    </row>
    <row r="63" spans="1:12" s="233" customFormat="1" ht="14.15" x14ac:dyDescent="0.3">
      <c r="A63" s="240">
        <v>2</v>
      </c>
      <c r="B63" s="241" t="s">
        <v>764</v>
      </c>
      <c r="C63" s="258" t="s">
        <v>315</v>
      </c>
      <c r="D63" s="672">
        <f>'Design Converter'!E100</f>
        <v>1.9</v>
      </c>
      <c r="E63" s="673"/>
      <c r="F63" s="673"/>
      <c r="G63" s="674"/>
      <c r="H63" s="244" t="s">
        <v>314</v>
      </c>
      <c r="I63" s="244" t="str">
        <f>'Design Converter'!E98</f>
        <v>CSD16321Q5</v>
      </c>
      <c r="J63" s="244" t="s">
        <v>328</v>
      </c>
      <c r="L63" s="234"/>
    </row>
    <row r="64" spans="1:12" s="233" customFormat="1" ht="14.15" x14ac:dyDescent="0.3">
      <c r="A64" s="235">
        <v>1</v>
      </c>
      <c r="B64" s="236" t="s">
        <v>329</v>
      </c>
      <c r="C64" s="237">
        <f>'Design Converter'!D78</f>
        <v>68.099999999999994</v>
      </c>
      <c r="D64" s="669">
        <f t="shared" ref="D64:D74" si="1">C64</f>
        <v>68.099999999999994</v>
      </c>
      <c r="E64" s="670"/>
      <c r="F64" s="670"/>
      <c r="G64" s="671"/>
      <c r="H64" s="238" t="s">
        <v>317</v>
      </c>
      <c r="I64" s="239" t="s">
        <v>314</v>
      </c>
      <c r="J64" s="239" t="s">
        <v>314</v>
      </c>
      <c r="L64" s="234"/>
    </row>
    <row r="65" spans="1:12" s="233" customFormat="1" ht="14.15" x14ac:dyDescent="0.3">
      <c r="A65" s="235">
        <v>1</v>
      </c>
      <c r="B65" s="236" t="s">
        <v>333</v>
      </c>
      <c r="C65" s="479">
        <f>Rs*1000</f>
        <v>3</v>
      </c>
      <c r="D65" s="675">
        <f t="shared" si="1"/>
        <v>3</v>
      </c>
      <c r="E65" s="676"/>
      <c r="F65" s="676"/>
      <c r="G65" s="677"/>
      <c r="H65" s="238">
        <v>2512</v>
      </c>
      <c r="I65" s="239" t="s">
        <v>314</v>
      </c>
      <c r="J65" s="239" t="s">
        <v>314</v>
      </c>
      <c r="L65" s="234"/>
    </row>
    <row r="66" spans="1:12" s="233" customFormat="1" ht="14.15" x14ac:dyDescent="0.3">
      <c r="A66" s="235">
        <v>1</v>
      </c>
      <c r="B66" s="236" t="s">
        <v>791</v>
      </c>
      <c r="C66" s="479">
        <f>'Standard Value Calculator'!O21</f>
        <v>2.4900000000000002</v>
      </c>
      <c r="D66" s="675">
        <f>C66</f>
        <v>2.4900000000000002</v>
      </c>
      <c r="E66" s="676"/>
      <c r="F66" s="676"/>
      <c r="G66" s="677"/>
      <c r="H66" s="238">
        <v>2512</v>
      </c>
      <c r="I66" s="239" t="s">
        <v>314</v>
      </c>
      <c r="J66" s="239" t="s">
        <v>314</v>
      </c>
      <c r="L66" s="234"/>
    </row>
    <row r="67" spans="1:12" s="233" customFormat="1" ht="14.15" x14ac:dyDescent="0.3">
      <c r="A67" s="235">
        <v>1</v>
      </c>
      <c r="B67" s="236" t="s">
        <v>664</v>
      </c>
      <c r="C67" s="237">
        <f>'Design Converter'!E12</f>
        <v>12.7</v>
      </c>
      <c r="D67" s="669">
        <f t="shared" si="1"/>
        <v>12.7</v>
      </c>
      <c r="E67" s="670"/>
      <c r="F67" s="670"/>
      <c r="G67" s="671"/>
      <c r="H67" s="238" t="s">
        <v>317</v>
      </c>
      <c r="I67" s="239" t="s">
        <v>314</v>
      </c>
      <c r="J67" s="239" t="s">
        <v>314</v>
      </c>
      <c r="L67" s="234"/>
    </row>
    <row r="68" spans="1:12" s="233" customFormat="1" ht="14.15" x14ac:dyDescent="0.3">
      <c r="A68" s="235">
        <v>1</v>
      </c>
      <c r="B68" s="236" t="s">
        <v>335</v>
      </c>
      <c r="C68" s="237">
        <f>'Design Converter'!E73</f>
        <v>100</v>
      </c>
      <c r="D68" s="669">
        <f t="shared" si="1"/>
        <v>100</v>
      </c>
      <c r="E68" s="670"/>
      <c r="F68" s="670"/>
      <c r="G68" s="671"/>
      <c r="H68" s="238" t="s">
        <v>317</v>
      </c>
      <c r="I68" s="239" t="s">
        <v>314</v>
      </c>
      <c r="J68" s="239" t="s">
        <v>314</v>
      </c>
      <c r="L68" s="234"/>
    </row>
    <row r="69" spans="1:12" s="233" customFormat="1" ht="14.15" x14ac:dyDescent="0.3">
      <c r="A69" s="235">
        <v>1</v>
      </c>
      <c r="B69" s="236" t="s">
        <v>336</v>
      </c>
      <c r="C69" s="237">
        <f>'Design Converter'!E74</f>
        <v>1.69</v>
      </c>
      <c r="D69" s="669">
        <f t="shared" si="1"/>
        <v>1.69</v>
      </c>
      <c r="E69" s="670"/>
      <c r="F69" s="670"/>
      <c r="G69" s="671"/>
      <c r="H69" s="238" t="s">
        <v>317</v>
      </c>
      <c r="I69" s="239" t="s">
        <v>314</v>
      </c>
      <c r="J69" s="239" t="s">
        <v>314</v>
      </c>
      <c r="L69" s="234"/>
    </row>
    <row r="70" spans="1:12" s="233" customFormat="1" ht="14.15" x14ac:dyDescent="0.3">
      <c r="A70" s="240">
        <v>1</v>
      </c>
      <c r="B70" s="241" t="s">
        <v>334</v>
      </c>
      <c r="C70" s="242">
        <v>20</v>
      </c>
      <c r="D70" s="666">
        <f t="shared" si="1"/>
        <v>20</v>
      </c>
      <c r="E70" s="667"/>
      <c r="F70" s="667"/>
      <c r="G70" s="668"/>
      <c r="H70" s="243" t="s">
        <v>317</v>
      </c>
      <c r="I70" s="244" t="s">
        <v>314</v>
      </c>
      <c r="J70" s="244" t="s">
        <v>314</v>
      </c>
      <c r="L70" s="234"/>
    </row>
    <row r="71" spans="1:12" s="477" customFormat="1" ht="14.15" x14ac:dyDescent="0.3">
      <c r="A71" s="240">
        <v>2</v>
      </c>
      <c r="B71" s="241" t="s">
        <v>663</v>
      </c>
      <c r="C71" s="258">
        <v>100</v>
      </c>
      <c r="D71" s="681">
        <f t="shared" si="1"/>
        <v>100</v>
      </c>
      <c r="E71" s="682"/>
      <c r="F71" s="682"/>
      <c r="G71" s="683"/>
      <c r="H71" s="243" t="s">
        <v>317</v>
      </c>
      <c r="I71" s="244" t="s">
        <v>314</v>
      </c>
      <c r="J71" s="244" t="s">
        <v>314</v>
      </c>
      <c r="L71" s="478"/>
    </row>
    <row r="72" spans="1:12" s="233" customFormat="1" ht="14.15" x14ac:dyDescent="0.3">
      <c r="A72" s="235">
        <v>1</v>
      </c>
      <c r="B72" s="236" t="s">
        <v>330</v>
      </c>
      <c r="C72" s="237">
        <f>'Design Converter'!E64</f>
        <v>249</v>
      </c>
      <c r="D72" s="669">
        <f t="shared" si="1"/>
        <v>249</v>
      </c>
      <c r="E72" s="670"/>
      <c r="F72" s="670"/>
      <c r="G72" s="671"/>
      <c r="H72" s="238" t="s">
        <v>317</v>
      </c>
      <c r="I72" s="239" t="s">
        <v>314</v>
      </c>
      <c r="J72" s="239" t="s">
        <v>314</v>
      </c>
      <c r="L72" s="234"/>
    </row>
    <row r="73" spans="1:12" s="233" customFormat="1" ht="14.15" x14ac:dyDescent="0.3">
      <c r="A73" s="235">
        <v>1</v>
      </c>
      <c r="B73" s="236" t="s">
        <v>331</v>
      </c>
      <c r="C73" s="237">
        <f>'Design Converter'!E65</f>
        <v>76.800000000000011</v>
      </c>
      <c r="D73" s="669">
        <f t="shared" si="1"/>
        <v>76.800000000000011</v>
      </c>
      <c r="E73" s="670"/>
      <c r="F73" s="670"/>
      <c r="G73" s="671"/>
      <c r="H73" s="238" t="s">
        <v>317</v>
      </c>
      <c r="I73" s="239" t="s">
        <v>314</v>
      </c>
      <c r="J73" s="239" t="s">
        <v>314</v>
      </c>
      <c r="L73" s="234"/>
    </row>
    <row r="74" spans="1:12" s="233" customFormat="1" ht="14.15" x14ac:dyDescent="0.3">
      <c r="A74" s="240">
        <v>1</v>
      </c>
      <c r="B74" s="241" t="s">
        <v>332</v>
      </c>
      <c r="C74" s="258">
        <v>2.2000000000000002</v>
      </c>
      <c r="D74" s="681">
        <f t="shared" si="1"/>
        <v>2.2000000000000002</v>
      </c>
      <c r="E74" s="682"/>
      <c r="F74" s="682"/>
      <c r="G74" s="683"/>
      <c r="H74" s="243" t="s">
        <v>317</v>
      </c>
      <c r="I74" s="244" t="s">
        <v>314</v>
      </c>
      <c r="J74" s="244" t="s">
        <v>314</v>
      </c>
      <c r="L74" s="234"/>
    </row>
    <row r="75" spans="1:12" s="233" customFormat="1" ht="14.25" customHeight="1" x14ac:dyDescent="0.3">
      <c r="A75" s="647">
        <v>1</v>
      </c>
      <c r="B75" s="659" t="s">
        <v>337</v>
      </c>
      <c r="C75" s="657" t="s">
        <v>962</v>
      </c>
      <c r="D75" s="651" t="s">
        <v>963</v>
      </c>
      <c r="E75" s="652"/>
      <c r="F75" s="652"/>
      <c r="G75" s="653"/>
      <c r="H75" s="649" t="s">
        <v>930</v>
      </c>
      <c r="I75" s="649" t="s">
        <v>964</v>
      </c>
      <c r="J75" s="649" t="s">
        <v>316</v>
      </c>
      <c r="L75" s="234"/>
    </row>
    <row r="76" spans="1:12" x14ac:dyDescent="0.3">
      <c r="A76" s="648"/>
      <c r="B76" s="660"/>
      <c r="C76" s="658"/>
      <c r="D76" s="654"/>
      <c r="E76" s="655"/>
      <c r="F76" s="655"/>
      <c r="G76" s="656"/>
      <c r="H76" s="650"/>
      <c r="I76" s="650"/>
      <c r="J76" s="650"/>
    </row>
    <row r="78" spans="1:12" x14ac:dyDescent="0.3">
      <c r="A78" s="268" t="s">
        <v>348</v>
      </c>
    </row>
    <row r="79" spans="1:12" ht="14.15" x14ac:dyDescent="0.3">
      <c r="A79" s="132" t="s">
        <v>931</v>
      </c>
      <c r="D79" s="616" t="s">
        <v>929</v>
      </c>
      <c r="E79" s="226" t="s">
        <v>932</v>
      </c>
    </row>
    <row r="80" spans="1:12" x14ac:dyDescent="0.3">
      <c r="A80" s="226" t="s">
        <v>672</v>
      </c>
    </row>
    <row r="81" spans="1:1" x14ac:dyDescent="0.3">
      <c r="A81" s="226" t="s">
        <v>665</v>
      </c>
    </row>
  </sheetData>
  <sheetProtection algorithmName="SHA-512" hashValue="zj1ZOnG5ZLGSkkI2DY+gLCmMrw8P71rfXz4EjDqFTQDrzLYAT9t914azVd1TpbpUEWgsBhQAsjkRT2W6kuKRPg==" saltValue="T/kYANAVyhg7qATEXom6mA==" spinCount="100000" sheet="1" objects="1" selectLockedCells="1" selectUnlockedCells="1"/>
  <mergeCells count="34">
    <mergeCell ref="D72:G72"/>
    <mergeCell ref="D73:G73"/>
    <mergeCell ref="D74:G74"/>
    <mergeCell ref="D71:G71"/>
    <mergeCell ref="D49:F49"/>
    <mergeCell ref="D50:F50"/>
    <mergeCell ref="D56:F56"/>
    <mergeCell ref="D57:F57"/>
    <mergeCell ref="D59:F59"/>
    <mergeCell ref="D51:F51"/>
    <mergeCell ref="D52:F52"/>
    <mergeCell ref="D53:F53"/>
    <mergeCell ref="D58:F58"/>
    <mergeCell ref="D55:F55"/>
    <mergeCell ref="D60:F60"/>
    <mergeCell ref="D64:G64"/>
    <mergeCell ref="D48:G48"/>
    <mergeCell ref="D54:F54"/>
    <mergeCell ref="D70:G70"/>
    <mergeCell ref="D68:G68"/>
    <mergeCell ref="D69:G69"/>
    <mergeCell ref="D62:G62"/>
    <mergeCell ref="D63:G63"/>
    <mergeCell ref="D67:G67"/>
    <mergeCell ref="D65:G65"/>
    <mergeCell ref="D66:G66"/>
    <mergeCell ref="D61:G61"/>
    <mergeCell ref="A75:A76"/>
    <mergeCell ref="J75:J76"/>
    <mergeCell ref="D75:G76"/>
    <mergeCell ref="C75:C76"/>
    <mergeCell ref="B75:B76"/>
    <mergeCell ref="H75:H76"/>
    <mergeCell ref="I75:I76"/>
  </mergeCells>
  <phoneticPr fontId="98" type="noConversion"/>
  <hyperlinks>
    <hyperlink ref="D79" r:id="rId1"/>
  </hyperlinks>
  <printOptions horizontalCentered="1"/>
  <pageMargins left="0.23" right="0.23" top="0.7" bottom="0.61" header="0.3" footer="0.5"/>
  <pageSetup scale="46" fitToHeight="2" orientation="landscape" r:id="rId2"/>
  <headerFooter alignWithMargins="0"/>
  <ignoredErrors>
    <ignoredError sqref="H49:H54 H72:H74 H68:H70 H64 H58:H59 H57 H61 H67 H71" numberStoredAsText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47"/>
  <sheetViews>
    <sheetView showGridLines="0" showRowColHeaders="0" zoomScaleNormal="100" workbookViewId="0">
      <selection activeCell="B39" sqref="B39:K39"/>
    </sheetView>
  </sheetViews>
  <sheetFormatPr defaultColWidth="9.15234375" defaultRowHeight="14.15" x14ac:dyDescent="0.35"/>
  <cols>
    <col min="1" max="1" width="25.69140625" style="629" bestFit="1" customWidth="1"/>
    <col min="2" max="2" width="56.53515625" style="630" customWidth="1"/>
    <col min="3" max="11" width="9.15234375" style="623"/>
    <col min="12" max="12" width="20.3828125" style="623" customWidth="1"/>
    <col min="13" max="16384" width="9.15234375" style="623"/>
  </cols>
  <sheetData>
    <row r="1" spans="1:12" x14ac:dyDescent="0.35">
      <c r="A1" s="703"/>
      <c r="B1" s="703"/>
      <c r="C1" s="703"/>
      <c r="D1" s="703"/>
      <c r="E1" s="703"/>
      <c r="F1" s="703"/>
      <c r="G1" s="703"/>
      <c r="H1" s="703"/>
      <c r="I1" s="703"/>
      <c r="J1" s="703"/>
      <c r="K1" s="703"/>
      <c r="L1" s="703"/>
    </row>
    <row r="2" spans="1:12" x14ac:dyDescent="0.35">
      <c r="A2" s="703"/>
      <c r="B2" s="703"/>
      <c r="C2" s="703"/>
      <c r="D2" s="703"/>
      <c r="E2" s="703"/>
      <c r="F2" s="703"/>
      <c r="G2" s="703"/>
      <c r="H2" s="703"/>
      <c r="I2" s="703"/>
      <c r="J2" s="703"/>
      <c r="K2" s="703"/>
      <c r="L2" s="703"/>
    </row>
    <row r="3" spans="1:12" x14ac:dyDescent="0.35">
      <c r="A3" s="703"/>
      <c r="B3" s="703"/>
      <c r="C3" s="703"/>
      <c r="D3" s="703"/>
      <c r="E3" s="703"/>
      <c r="F3" s="703"/>
      <c r="G3" s="703"/>
      <c r="H3" s="703"/>
      <c r="I3" s="703"/>
      <c r="J3" s="703"/>
      <c r="K3" s="703"/>
      <c r="L3" s="703"/>
    </row>
    <row r="4" spans="1:12" ht="12.75" customHeight="1" x14ac:dyDescent="0.35">
      <c r="A4" s="704"/>
      <c r="B4" s="704"/>
      <c r="C4" s="704"/>
      <c r="D4" s="704"/>
      <c r="E4" s="704"/>
      <c r="F4" s="704"/>
      <c r="G4" s="704"/>
      <c r="H4" s="704"/>
      <c r="I4" s="704"/>
      <c r="J4" s="704"/>
      <c r="K4" s="704"/>
      <c r="L4" s="704"/>
    </row>
    <row r="5" spans="1:12" x14ac:dyDescent="0.35">
      <c r="A5" s="624" t="s">
        <v>970</v>
      </c>
      <c r="B5" s="625" t="s">
        <v>980</v>
      </c>
      <c r="C5" s="626"/>
      <c r="D5" s="626"/>
      <c r="E5" s="626"/>
      <c r="F5" s="626"/>
      <c r="G5" s="626"/>
      <c r="H5" s="626"/>
      <c r="I5" s="626"/>
      <c r="J5" s="626"/>
      <c r="K5" s="627"/>
      <c r="L5" s="628"/>
    </row>
    <row r="6" spans="1:12" x14ac:dyDescent="0.35">
      <c r="A6" s="624"/>
      <c r="B6" s="625"/>
      <c r="C6" s="626"/>
      <c r="D6" s="626"/>
      <c r="E6" s="626"/>
      <c r="F6" s="626"/>
      <c r="G6" s="626"/>
      <c r="H6" s="626"/>
      <c r="I6" s="626"/>
      <c r="J6" s="628"/>
      <c r="K6" s="628"/>
      <c r="L6" s="628"/>
    </row>
    <row r="35" spans="1:39" x14ac:dyDescent="0.35">
      <c r="A35" s="631" t="s">
        <v>972</v>
      </c>
      <c r="B35" s="632"/>
      <c r="C35" s="626"/>
      <c r="D35" s="626"/>
      <c r="E35" s="626"/>
      <c r="F35" s="626"/>
      <c r="G35" s="626"/>
      <c r="H35" s="626"/>
      <c r="I35" s="626"/>
      <c r="J35" s="626"/>
      <c r="K35" s="626"/>
    </row>
    <row r="36" spans="1:39" x14ac:dyDescent="0.35">
      <c r="A36" s="633" t="s">
        <v>973</v>
      </c>
      <c r="B36" s="705" t="s">
        <v>974</v>
      </c>
      <c r="C36" s="705"/>
      <c r="D36" s="705"/>
      <c r="E36" s="705"/>
      <c r="F36" s="705"/>
      <c r="G36" s="705"/>
      <c r="H36" s="705"/>
      <c r="I36" s="705"/>
      <c r="J36" s="705"/>
      <c r="K36" s="705"/>
    </row>
    <row r="37" spans="1:39" x14ac:dyDescent="0.35">
      <c r="A37" s="631" t="s">
        <v>971</v>
      </c>
      <c r="B37" s="706" t="s">
        <v>975</v>
      </c>
      <c r="C37" s="706"/>
      <c r="D37" s="706"/>
      <c r="E37" s="706"/>
      <c r="F37" s="706"/>
      <c r="G37" s="706"/>
      <c r="H37" s="706"/>
      <c r="I37" s="706"/>
      <c r="J37" s="706"/>
      <c r="K37" s="706"/>
    </row>
    <row r="38" spans="1:39" ht="14.25" customHeight="1" x14ac:dyDescent="0.35">
      <c r="A38" s="631" t="s">
        <v>976</v>
      </c>
      <c r="B38" s="702" t="s">
        <v>979</v>
      </c>
      <c r="C38" s="702"/>
      <c r="D38" s="702"/>
      <c r="E38" s="702"/>
      <c r="F38" s="702"/>
      <c r="G38" s="702"/>
      <c r="H38" s="702"/>
      <c r="I38" s="702"/>
      <c r="J38" s="702"/>
      <c r="K38" s="702"/>
    </row>
    <row r="39" spans="1:39" ht="14.25" customHeight="1" x14ac:dyDescent="0.35">
      <c r="A39" s="631" t="s">
        <v>980</v>
      </c>
      <c r="B39" s="702" t="s">
        <v>981</v>
      </c>
      <c r="C39" s="702"/>
      <c r="D39" s="702"/>
      <c r="E39" s="702"/>
      <c r="F39" s="702"/>
      <c r="G39" s="702"/>
      <c r="H39" s="702"/>
      <c r="I39" s="702"/>
      <c r="J39" s="702"/>
      <c r="K39" s="702"/>
    </row>
    <row r="40" spans="1:39" ht="14.25" customHeight="1" x14ac:dyDescent="0.35">
      <c r="A40" s="631"/>
      <c r="B40" s="702"/>
      <c r="C40" s="702"/>
      <c r="D40" s="702"/>
      <c r="E40" s="702"/>
      <c r="F40" s="702"/>
      <c r="G40" s="702"/>
      <c r="H40" s="702"/>
      <c r="I40" s="702"/>
      <c r="J40" s="702"/>
      <c r="K40" s="702"/>
    </row>
    <row r="41" spans="1:39" ht="14.25" customHeight="1" x14ac:dyDescent="0.35">
      <c r="A41" s="631"/>
      <c r="B41" s="702"/>
      <c r="C41" s="702"/>
      <c r="D41" s="702"/>
      <c r="E41" s="702"/>
      <c r="F41" s="702"/>
      <c r="G41" s="702"/>
      <c r="H41" s="702"/>
      <c r="I41" s="702"/>
      <c r="J41" s="702"/>
      <c r="K41" s="702"/>
    </row>
    <row r="42" spans="1:39" x14ac:dyDescent="0.35">
      <c r="A42" s="631"/>
      <c r="B42" s="702"/>
      <c r="C42" s="702"/>
      <c r="D42" s="702"/>
      <c r="E42" s="702"/>
      <c r="F42" s="702"/>
      <c r="G42" s="702"/>
      <c r="H42" s="702"/>
      <c r="I42" s="702"/>
      <c r="J42" s="702"/>
      <c r="K42" s="702"/>
    </row>
    <row r="43" spans="1:39" x14ac:dyDescent="0.35">
      <c r="A43" s="631"/>
      <c r="B43" s="702"/>
      <c r="C43" s="702"/>
      <c r="D43" s="702"/>
      <c r="E43" s="702"/>
      <c r="F43" s="702"/>
      <c r="G43" s="702"/>
      <c r="H43" s="702"/>
      <c r="I43" s="702"/>
      <c r="J43" s="702"/>
      <c r="K43" s="702"/>
    </row>
    <row r="44" spans="1:39" x14ac:dyDescent="0.35">
      <c r="A44" s="631"/>
      <c r="B44" s="702"/>
      <c r="C44" s="702"/>
      <c r="D44" s="702"/>
      <c r="E44" s="702"/>
      <c r="F44" s="702"/>
      <c r="G44" s="702"/>
      <c r="H44" s="702"/>
      <c r="I44" s="702"/>
      <c r="J44" s="702"/>
      <c r="K44" s="702"/>
      <c r="L44" s="634"/>
      <c r="M44" s="634"/>
      <c r="N44" s="634"/>
      <c r="O44" s="634"/>
      <c r="P44" s="634"/>
      <c r="Q44" s="634"/>
      <c r="R44" s="634"/>
      <c r="S44" s="634"/>
      <c r="T44" s="634"/>
      <c r="U44" s="634"/>
      <c r="V44" s="634"/>
      <c r="W44" s="634"/>
      <c r="X44" s="634"/>
      <c r="Y44" s="634"/>
      <c r="Z44" s="634"/>
      <c r="AA44" s="634"/>
      <c r="AB44" s="634"/>
      <c r="AC44" s="634"/>
      <c r="AD44" s="634"/>
      <c r="AE44" s="634"/>
      <c r="AF44" s="634"/>
      <c r="AG44" s="634"/>
      <c r="AH44" s="634"/>
      <c r="AI44" s="634"/>
      <c r="AJ44" s="634"/>
      <c r="AK44" s="634"/>
      <c r="AL44" s="634"/>
      <c r="AM44" s="634"/>
    </row>
    <row r="45" spans="1:39" x14ac:dyDescent="0.35">
      <c r="A45" s="631"/>
      <c r="B45" s="702"/>
      <c r="C45" s="702"/>
      <c r="D45" s="702"/>
      <c r="E45" s="702"/>
      <c r="F45" s="702"/>
      <c r="G45" s="702"/>
      <c r="H45" s="702"/>
      <c r="I45" s="702"/>
      <c r="J45" s="702"/>
      <c r="K45" s="702"/>
    </row>
    <row r="46" spans="1:39" x14ac:dyDescent="0.35">
      <c r="A46" s="631"/>
      <c r="B46" s="702"/>
      <c r="C46" s="702"/>
      <c r="D46" s="702"/>
      <c r="E46" s="702"/>
      <c r="F46" s="702"/>
      <c r="G46" s="702"/>
      <c r="H46" s="702"/>
      <c r="I46" s="702"/>
      <c r="J46" s="702"/>
      <c r="K46" s="702"/>
    </row>
    <row r="47" spans="1:39" x14ac:dyDescent="0.35">
      <c r="A47" s="631"/>
      <c r="B47" s="702"/>
      <c r="C47" s="702"/>
      <c r="D47" s="702"/>
      <c r="E47" s="702"/>
      <c r="F47" s="702"/>
      <c r="G47" s="702"/>
      <c r="H47" s="702"/>
      <c r="I47" s="702"/>
      <c r="J47" s="702"/>
      <c r="K47" s="702"/>
    </row>
  </sheetData>
  <sheetProtection algorithmName="SHA-512" hashValue="CDlNh/V/9tBqATaEgwaDxBDdOYvfy0r+eieZ+vcY7NE/dMz5ku67DFs4fkmZfcMn1g1KjtcJAfTKpEgr29SJZg==" saltValue="oyzUjT29WwcsbP5hIL9zVw==" spinCount="100000" sheet="1" objects="1" selectLockedCells="1" selectUnlockedCells="1"/>
  <mergeCells count="14">
    <mergeCell ref="B46:K46"/>
    <mergeCell ref="B47:K47"/>
    <mergeCell ref="B40:K40"/>
    <mergeCell ref="B41:K41"/>
    <mergeCell ref="B42:K42"/>
    <mergeCell ref="B43:K43"/>
    <mergeCell ref="B44:K44"/>
    <mergeCell ref="B45:K45"/>
    <mergeCell ref="B39:K39"/>
    <mergeCell ref="A1:L3"/>
    <mergeCell ref="A4:L4"/>
    <mergeCell ref="B36:K36"/>
    <mergeCell ref="B37:K37"/>
    <mergeCell ref="B38:K38"/>
  </mergeCells>
  <phoneticPr fontId="98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00FF"/>
    <pageSetUpPr fitToPage="1"/>
  </sheetPr>
  <dimension ref="A1:W6"/>
  <sheetViews>
    <sheetView zoomScale="85" zoomScaleNormal="85" zoomScaleSheetLayoutView="80" workbookViewId="0">
      <selection activeCell="L63" sqref="L63"/>
    </sheetView>
  </sheetViews>
  <sheetFormatPr defaultColWidth="9.15234375" defaultRowHeight="12.45" x14ac:dyDescent="0.3"/>
  <cols>
    <col min="1" max="13" width="9.15234375" style="125"/>
    <col min="14" max="14" width="11.84375" style="125" customWidth="1"/>
    <col min="15" max="16" width="9.15234375" style="125"/>
    <col min="17" max="17" width="15.69140625" style="125" customWidth="1"/>
    <col min="18" max="16384" width="9.15234375" style="125"/>
  </cols>
  <sheetData>
    <row r="1" spans="1:23" s="117" customFormat="1" ht="47.25" customHeight="1" x14ac:dyDescent="0.35">
      <c r="A1" s="707" t="s">
        <v>928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</row>
    <row r="6" spans="1:23" ht="19.75" x14ac:dyDescent="0.45">
      <c r="B6" s="126" t="s">
        <v>812</v>
      </c>
      <c r="M6" s="126" t="s">
        <v>813</v>
      </c>
      <c r="W6" s="126" t="s">
        <v>814</v>
      </c>
    </row>
  </sheetData>
  <mergeCells count="1">
    <mergeCell ref="A1:Q1"/>
  </mergeCells>
  <phoneticPr fontId="98" type="noConversion"/>
  <pageMargins left="0.19" right="0.2" top="0.75" bottom="0.75" header="0.3" footer="0.3"/>
  <pageSetup scale="3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95"/>
  <sheetViews>
    <sheetView workbookViewId="0">
      <pane ySplit="5" topLeftCell="A107" activePane="bottomLeft" state="frozenSplit"/>
      <selection pane="bottomLeft" activeCell="B136" sqref="B136"/>
    </sheetView>
  </sheetViews>
  <sheetFormatPr defaultRowHeight="12.45" x14ac:dyDescent="0.3"/>
  <cols>
    <col min="1" max="1" width="38.84375" customWidth="1"/>
    <col min="2" max="2" width="12" customWidth="1"/>
    <col min="3" max="3" width="10" style="2" customWidth="1"/>
    <col min="4" max="4" width="13.3828125" customWidth="1"/>
    <col min="5" max="5" width="11.53515625" customWidth="1"/>
    <col min="7" max="7" width="12.3828125" bestFit="1" customWidth="1"/>
    <col min="8" max="8" width="34.69140625" customWidth="1"/>
    <col min="10" max="10" width="12.3828125" bestFit="1" customWidth="1"/>
    <col min="11" max="11" width="15.15234375" customWidth="1"/>
    <col min="12" max="12" width="13.3046875" customWidth="1"/>
    <col min="14" max="14" width="7.84375" customWidth="1"/>
    <col min="16" max="16" width="8.3046875" customWidth="1"/>
  </cols>
  <sheetData>
    <row r="1" spans="1:16" ht="30.75" customHeight="1" x14ac:dyDescent="0.65">
      <c r="A1" s="710" t="s">
        <v>545</v>
      </c>
      <c r="B1" s="710"/>
      <c r="C1" s="710"/>
      <c r="D1" s="710"/>
      <c r="E1" s="710"/>
      <c r="F1" s="710"/>
      <c r="G1" s="710"/>
      <c r="H1" s="710"/>
      <c r="I1" s="710"/>
    </row>
    <row r="2" spans="1:16" ht="12" customHeight="1" x14ac:dyDescent="0.3">
      <c r="A2" s="49"/>
      <c r="B2" s="49" t="s">
        <v>227</v>
      </c>
      <c r="C2" s="50"/>
      <c r="E2" s="49"/>
      <c r="F2" s="49"/>
      <c r="G2" s="49"/>
      <c r="H2" s="49"/>
      <c r="I2" s="49"/>
    </row>
    <row r="3" spans="1:16" ht="11.25" customHeight="1" x14ac:dyDescent="0.3">
      <c r="A3" s="49"/>
      <c r="B3" s="49" t="s">
        <v>276</v>
      </c>
      <c r="C3" s="51"/>
      <c r="E3" s="49"/>
      <c r="F3" s="49"/>
      <c r="G3" s="49"/>
      <c r="H3" s="49"/>
      <c r="I3" s="49"/>
    </row>
    <row r="4" spans="1:16" ht="11.25" customHeight="1" x14ac:dyDescent="0.3">
      <c r="A4" s="49"/>
      <c r="B4" s="49" t="s">
        <v>228</v>
      </c>
      <c r="C4" s="52"/>
      <c r="E4" s="49"/>
      <c r="F4" s="49"/>
      <c r="G4" s="49"/>
      <c r="H4" s="49"/>
      <c r="I4" s="49"/>
    </row>
    <row r="5" spans="1:16" x14ac:dyDescent="0.3">
      <c r="A5" s="2" t="s">
        <v>51</v>
      </c>
      <c r="B5" s="2" t="s">
        <v>8</v>
      </c>
      <c r="C5" s="2" t="s">
        <v>9</v>
      </c>
      <c r="E5" s="709" t="s">
        <v>13</v>
      </c>
      <c r="F5" s="709"/>
      <c r="G5" s="709"/>
      <c r="H5" s="709"/>
      <c r="I5" s="2" t="s">
        <v>573</v>
      </c>
    </row>
    <row r="6" spans="1:16" ht="15.9" thickBot="1" x14ac:dyDescent="0.45">
      <c r="A6" s="580" t="s">
        <v>179</v>
      </c>
      <c r="B6" s="2"/>
      <c r="D6" s="2"/>
      <c r="E6" s="49"/>
      <c r="F6" s="49"/>
      <c r="G6" s="49"/>
      <c r="H6" s="49"/>
      <c r="I6" s="2"/>
    </row>
    <row r="7" spans="1:16" x14ac:dyDescent="0.3">
      <c r="A7" s="222" t="s">
        <v>373</v>
      </c>
      <c r="B7" s="12">
        <f>'Design Converter'!E6</f>
        <v>5</v>
      </c>
      <c r="C7" s="63" t="s">
        <v>0</v>
      </c>
      <c r="D7" s="121" t="s">
        <v>374</v>
      </c>
      <c r="E7" s="63"/>
      <c r="F7" s="63"/>
      <c r="G7" s="63"/>
      <c r="H7" s="63"/>
      <c r="I7" s="64">
        <v>1</v>
      </c>
    </row>
    <row r="8" spans="1:16" x14ac:dyDescent="0.3">
      <c r="A8" s="223"/>
      <c r="B8" s="29">
        <f>'Design Converter'!E7</f>
        <v>12</v>
      </c>
      <c r="C8" t="s">
        <v>0</v>
      </c>
      <c r="D8" t="s">
        <v>14</v>
      </c>
      <c r="I8" s="57"/>
      <c r="K8" s="313" t="s">
        <v>926</v>
      </c>
      <c r="L8" s="120">
        <v>1</v>
      </c>
      <c r="M8" s="118" t="s">
        <v>937</v>
      </c>
      <c r="O8" s="120">
        <v>1</v>
      </c>
    </row>
    <row r="9" spans="1:16" x14ac:dyDescent="0.3">
      <c r="A9" s="223" t="s">
        <v>372</v>
      </c>
      <c r="B9" s="29">
        <f>'Design Converter'!E8</f>
        <v>20</v>
      </c>
      <c r="C9" t="s">
        <v>0</v>
      </c>
      <c r="D9" s="118" t="s">
        <v>375</v>
      </c>
      <c r="I9" s="57"/>
      <c r="K9" s="313" t="s">
        <v>927</v>
      </c>
      <c r="L9" s="120">
        <v>2</v>
      </c>
      <c r="M9" s="118" t="s">
        <v>936</v>
      </c>
      <c r="O9" s="120">
        <v>2</v>
      </c>
    </row>
    <row r="10" spans="1:16" x14ac:dyDescent="0.3">
      <c r="A10" s="223" t="s">
        <v>809</v>
      </c>
      <c r="B10" s="585">
        <f>B40</f>
        <v>33.758241758241759</v>
      </c>
      <c r="C10" t="s">
        <v>0</v>
      </c>
      <c r="D10" s="118"/>
      <c r="I10" s="57"/>
      <c r="K10" s="597" t="s">
        <v>886</v>
      </c>
      <c r="L10" s="598">
        <v>1</v>
      </c>
      <c r="M10" s="388" t="s">
        <v>934</v>
      </c>
      <c r="O10" s="598">
        <v>1</v>
      </c>
      <c r="P10" s="118" t="s">
        <v>935</v>
      </c>
    </row>
    <row r="11" spans="1:16" x14ac:dyDescent="0.3">
      <c r="A11" s="223"/>
      <c r="B11" s="546"/>
      <c r="C11"/>
      <c r="D11" s="118"/>
      <c r="I11" s="57"/>
    </row>
    <row r="12" spans="1:16" x14ac:dyDescent="0.3">
      <c r="A12" s="56" t="s">
        <v>5</v>
      </c>
      <c r="B12" s="29">
        <f>'Design Converter'!E9</f>
        <v>48</v>
      </c>
      <c r="C12" t="s">
        <v>0</v>
      </c>
      <c r="D12" t="s">
        <v>1</v>
      </c>
      <c r="I12" s="57">
        <v>1</v>
      </c>
    </row>
    <row r="13" spans="1:16" x14ac:dyDescent="0.3">
      <c r="A13" s="56" t="s">
        <v>6</v>
      </c>
      <c r="B13" s="29">
        <f>'Design Converter'!E10</f>
        <v>10</v>
      </c>
      <c r="C13" t="s">
        <v>2</v>
      </c>
      <c r="D13" s="118" t="s">
        <v>376</v>
      </c>
      <c r="I13" s="57">
        <v>1</v>
      </c>
    </row>
    <row r="14" spans="1:16" x14ac:dyDescent="0.3">
      <c r="A14" s="223" t="s">
        <v>470</v>
      </c>
      <c r="B14" s="312">
        <f>Vout/Iout</f>
        <v>4.8</v>
      </c>
      <c r="C14" s="225" t="s">
        <v>120</v>
      </c>
      <c r="D14" s="118" t="s">
        <v>471</v>
      </c>
      <c r="I14" s="57"/>
    </row>
    <row r="15" spans="1:16" x14ac:dyDescent="0.3">
      <c r="A15" s="223" t="s">
        <v>394</v>
      </c>
      <c r="B15" s="312">
        <f>Vout*Iout</f>
        <v>480</v>
      </c>
      <c r="C15" t="s">
        <v>120</v>
      </c>
      <c r="D15" s="118" t="s">
        <v>426</v>
      </c>
      <c r="I15" s="57"/>
    </row>
    <row r="16" spans="1:16" x14ac:dyDescent="0.3">
      <c r="A16" s="223" t="s">
        <v>152</v>
      </c>
      <c r="B16" s="336">
        <v>0.9</v>
      </c>
      <c r="C16"/>
      <c r="D16" s="621" t="s">
        <v>952</v>
      </c>
      <c r="I16" s="57"/>
    </row>
    <row r="17" spans="1:9" x14ac:dyDescent="0.3">
      <c r="A17" s="223" t="s">
        <v>398</v>
      </c>
      <c r="B17" s="337">
        <f>Pout/Efficiency</f>
        <v>533.33333333333337</v>
      </c>
      <c r="C17" t="s">
        <v>120</v>
      </c>
      <c r="D17" s="118" t="s">
        <v>425</v>
      </c>
      <c r="I17" s="57"/>
    </row>
    <row r="18" spans="1:9" x14ac:dyDescent="0.3">
      <c r="A18" s="223" t="s">
        <v>395</v>
      </c>
      <c r="B18" s="327">
        <f>Pin/VIN_min</f>
        <v>106.66666666666667</v>
      </c>
      <c r="C18" t="s">
        <v>2</v>
      </c>
      <c r="D18" s="118"/>
      <c r="I18" s="57"/>
    </row>
    <row r="19" spans="1:9" x14ac:dyDescent="0.3">
      <c r="A19" s="223" t="s">
        <v>396</v>
      </c>
      <c r="B19" s="327">
        <f>Pin/VIN_nom</f>
        <v>44.44444444444445</v>
      </c>
      <c r="C19" t="s">
        <v>2</v>
      </c>
      <c r="D19" s="118" t="s">
        <v>427</v>
      </c>
      <c r="I19" s="57"/>
    </row>
    <row r="20" spans="1:9" x14ac:dyDescent="0.3">
      <c r="A20" s="223" t="s">
        <v>397</v>
      </c>
      <c r="B20" s="327">
        <f>Pin/VIN_max</f>
        <v>26.666666666666668</v>
      </c>
      <c r="C20" t="s">
        <v>2</v>
      </c>
      <c r="D20" s="118"/>
      <c r="I20" s="57"/>
    </row>
    <row r="21" spans="1:9" x14ac:dyDescent="0.3">
      <c r="A21" s="223"/>
      <c r="C21"/>
      <c r="D21" s="118"/>
      <c r="I21" s="57"/>
    </row>
    <row r="22" spans="1:9" x14ac:dyDescent="0.3">
      <c r="A22" s="58" t="s">
        <v>7</v>
      </c>
      <c r="B22" s="270">
        <f>'Design Converter'!E11*1000</f>
        <v>600000</v>
      </c>
      <c r="C22" s="118" t="s">
        <v>10</v>
      </c>
      <c r="D22" s="118" t="s">
        <v>377</v>
      </c>
      <c r="I22" s="57">
        <v>1</v>
      </c>
    </row>
    <row r="23" spans="1:9" x14ac:dyDescent="0.3">
      <c r="A23" s="223" t="s">
        <v>851</v>
      </c>
      <c r="B23" s="583">
        <f>1/Fsw</f>
        <v>1.6666666666666667E-6</v>
      </c>
      <c r="C23" s="118" t="s">
        <v>800</v>
      </c>
      <c r="D23" s="118" t="s">
        <v>850</v>
      </c>
      <c r="I23" s="57"/>
    </row>
    <row r="24" spans="1:9" x14ac:dyDescent="0.3">
      <c r="A24" s="58" t="s">
        <v>44</v>
      </c>
      <c r="B24" s="59">
        <v>0.8</v>
      </c>
      <c r="C24" t="s">
        <v>0</v>
      </c>
      <c r="D24" t="s">
        <v>45</v>
      </c>
      <c r="I24" s="57"/>
    </row>
    <row r="25" spans="1:9" x14ac:dyDescent="0.3">
      <c r="A25" s="223" t="s">
        <v>359</v>
      </c>
      <c r="B25" s="328">
        <f>((1/Fsw)-190*10^-9)/(116*10^-12)</f>
        <v>12729.885057471263</v>
      </c>
      <c r="C25" s="225" t="s">
        <v>120</v>
      </c>
      <c r="D25" t="s">
        <v>428</v>
      </c>
      <c r="F25" s="620" t="s">
        <v>948</v>
      </c>
      <c r="I25" s="57"/>
    </row>
    <row r="26" spans="1:9" x14ac:dyDescent="0.3">
      <c r="A26" s="223"/>
      <c r="B26" s="333"/>
      <c r="C26" s="225"/>
      <c r="I26" s="57"/>
    </row>
    <row r="27" spans="1:9" x14ac:dyDescent="0.3">
      <c r="A27" s="223"/>
      <c r="B27" s="333"/>
      <c r="C27" s="225"/>
      <c r="I27" s="57"/>
    </row>
    <row r="28" spans="1:9" x14ac:dyDescent="0.3">
      <c r="A28" s="118" t="s">
        <v>854</v>
      </c>
      <c r="B28" s="30">
        <v>2.9999999999999999E-7</v>
      </c>
      <c r="C28" s="118" t="s">
        <v>800</v>
      </c>
      <c r="D28" s="118" t="s">
        <v>855</v>
      </c>
      <c r="E28" s="2" t="s">
        <v>860</v>
      </c>
      <c r="I28" s="57"/>
    </row>
    <row r="29" spans="1:9" x14ac:dyDescent="0.3">
      <c r="A29" s="118" t="s">
        <v>849</v>
      </c>
      <c r="B29" s="397">
        <f>0.0000003</f>
        <v>2.9999999999999999E-7</v>
      </c>
      <c r="C29" s="118" t="s">
        <v>800</v>
      </c>
      <c r="D29" s="118" t="s">
        <v>856</v>
      </c>
      <c r="E29" s="2" t="s">
        <v>861</v>
      </c>
      <c r="I29" s="57"/>
    </row>
    <row r="30" spans="1:9" x14ac:dyDescent="0.3">
      <c r="A30" s="118" t="s">
        <v>863</v>
      </c>
      <c r="B30" s="584">
        <v>1.1999999999999999E-6</v>
      </c>
      <c r="C30" s="118" t="s">
        <v>800</v>
      </c>
      <c r="E30" s="2" t="s">
        <v>864</v>
      </c>
      <c r="I30" s="57"/>
    </row>
    <row r="31" spans="1:9" x14ac:dyDescent="0.3">
      <c r="A31" s="118"/>
      <c r="B31" s="584"/>
      <c r="C31" s="118"/>
      <c r="E31" s="118"/>
      <c r="I31" s="57"/>
    </row>
    <row r="32" spans="1:9" x14ac:dyDescent="0.3">
      <c r="A32" s="118" t="s">
        <v>859</v>
      </c>
      <c r="B32" s="590">
        <f>Ton_min_boost/Ts</f>
        <v>0.18</v>
      </c>
      <c r="C32"/>
      <c r="E32" s="118"/>
      <c r="I32" s="57"/>
    </row>
    <row r="33" spans="1:9" x14ac:dyDescent="0.3">
      <c r="A33" s="118" t="s">
        <v>905</v>
      </c>
      <c r="B33" s="590">
        <f>B30/(2*Ts)</f>
        <v>0.36</v>
      </c>
      <c r="C33"/>
      <c r="E33" s="118"/>
      <c r="I33" s="57"/>
    </row>
    <row r="34" spans="1:9" x14ac:dyDescent="0.3">
      <c r="A34" s="118" t="s">
        <v>862</v>
      </c>
      <c r="B34" s="589">
        <f>1-B28/(2*Ts)</f>
        <v>0.91</v>
      </c>
      <c r="C34"/>
      <c r="E34" s="118"/>
      <c r="I34" s="57"/>
    </row>
    <row r="35" spans="1:9" x14ac:dyDescent="0.3">
      <c r="A35" s="223"/>
      <c r="B35" s="586"/>
      <c r="C35" s="225"/>
      <c r="I35" s="57"/>
    </row>
    <row r="36" spans="1:9" x14ac:dyDescent="0.3">
      <c r="A36" s="118" t="s">
        <v>911</v>
      </c>
      <c r="B36" s="589">
        <f>Ton_min_boost/(2*Ts)</f>
        <v>0.09</v>
      </c>
      <c r="C36"/>
      <c r="I36" s="57"/>
    </row>
    <row r="37" spans="1:9" x14ac:dyDescent="0.3">
      <c r="A37" s="118" t="s">
        <v>906</v>
      </c>
      <c r="B37" s="589">
        <f>1-B30/(2*Ts)</f>
        <v>0.64</v>
      </c>
      <c r="C37"/>
      <c r="I37" s="57"/>
    </row>
    <row r="38" spans="1:9" x14ac:dyDescent="0.3">
      <c r="A38" s="118" t="s">
        <v>865</v>
      </c>
      <c r="B38" s="589">
        <f>1-Toff_min_buck/Ts</f>
        <v>0.82000000000000006</v>
      </c>
      <c r="C38"/>
      <c r="I38" s="57"/>
    </row>
    <row r="39" spans="1:9" x14ac:dyDescent="0.3">
      <c r="I39" s="57"/>
    </row>
    <row r="40" spans="1:9" x14ac:dyDescent="0.3">
      <c r="A40" s="118" t="s">
        <v>853</v>
      </c>
      <c r="B40" s="587">
        <f>Vout*(1-B33)/B34</f>
        <v>33.758241758241759</v>
      </c>
      <c r="C40" s="118" t="s">
        <v>0</v>
      </c>
      <c r="I40" s="57"/>
    </row>
    <row r="41" spans="1:9" x14ac:dyDescent="0.3">
      <c r="A41" s="118" t="s">
        <v>852</v>
      </c>
      <c r="B41" s="319">
        <f>Vout*(1-B32)</f>
        <v>39.36</v>
      </c>
      <c r="C41" s="118" t="s">
        <v>0</v>
      </c>
      <c r="I41" s="57"/>
    </row>
    <row r="42" spans="1:9" x14ac:dyDescent="0.3">
      <c r="A42" s="118" t="s">
        <v>858</v>
      </c>
      <c r="B42" s="587">
        <f>Vout/B38</f>
        <v>58.536585365853654</v>
      </c>
      <c r="C42" s="118" t="s">
        <v>0</v>
      </c>
      <c r="I42" s="57"/>
    </row>
    <row r="43" spans="1:9" x14ac:dyDescent="0.3">
      <c r="A43" s="118" t="s">
        <v>857</v>
      </c>
      <c r="B43" s="587">
        <f>Vout/B37*(1-B36)</f>
        <v>68.25</v>
      </c>
      <c r="C43" s="118" t="s">
        <v>0</v>
      </c>
      <c r="I43" s="57"/>
    </row>
    <row r="44" spans="1:9" ht="12.9" thickBot="1" x14ac:dyDescent="0.35">
      <c r="A44" s="60"/>
      <c r="B44" s="588"/>
      <c r="C44" s="61"/>
      <c r="D44" s="61"/>
      <c r="E44" s="61"/>
      <c r="F44" s="61"/>
      <c r="G44" s="61"/>
      <c r="H44" s="61"/>
      <c r="I44" s="62"/>
    </row>
    <row r="47" spans="1:9" ht="15.9" thickBot="1" x14ac:dyDescent="0.45">
      <c r="A47" s="580" t="s">
        <v>280</v>
      </c>
      <c r="B47" s="2"/>
    </row>
    <row r="48" spans="1:9" x14ac:dyDescent="0.3">
      <c r="A48" s="222" t="s">
        <v>15</v>
      </c>
      <c r="B48" s="307">
        <f>Vout/VIN_nom</f>
        <v>4</v>
      </c>
      <c r="C48" s="322">
        <f>(Vout-VIN_nom)/Vout</f>
        <v>0.75</v>
      </c>
      <c r="D48" s="311"/>
      <c r="E48" s="121" t="s">
        <v>387</v>
      </c>
      <c r="F48" s="63"/>
      <c r="G48" s="63"/>
      <c r="H48" s="63"/>
      <c r="I48" s="64">
        <v>1</v>
      </c>
    </row>
    <row r="49" spans="1:9" x14ac:dyDescent="0.3">
      <c r="A49" s="223" t="s">
        <v>16</v>
      </c>
      <c r="B49" s="308">
        <f>1-48:48</f>
        <v>-3</v>
      </c>
      <c r="C49"/>
      <c r="E49" s="118" t="s">
        <v>388</v>
      </c>
      <c r="I49" s="57">
        <v>1</v>
      </c>
    </row>
    <row r="50" spans="1:9" x14ac:dyDescent="0.3">
      <c r="A50" s="118"/>
      <c r="C50"/>
      <c r="E50" s="118"/>
      <c r="I50" s="57"/>
    </row>
    <row r="51" spans="1:9" x14ac:dyDescent="0.3">
      <c r="A51" s="223" t="s">
        <v>389</v>
      </c>
      <c r="B51" s="320">
        <f>IF(VIN_min&gt;Vout, Vout/VIN_min, (Vout-VIN_min)/Vout)</f>
        <v>0.89583333333333337</v>
      </c>
      <c r="C51" t="str">
        <f>IF(VIN_min&gt;Vout, "BUCK", "BOOST")</f>
        <v>BOOST</v>
      </c>
      <c r="E51" s="118"/>
      <c r="I51" s="57"/>
    </row>
    <row r="52" spans="1:9" x14ac:dyDescent="0.3">
      <c r="A52" s="223" t="s">
        <v>407</v>
      </c>
      <c r="B52" s="320">
        <f>IF(VIN_nom&gt;Vout, Vout/VIN_nom, (Vout-VIN_nom)/Vout)</f>
        <v>0.75</v>
      </c>
      <c r="C52" t="str">
        <f>IF(VIN_nom&gt;Vout, "BUCK", "BOOST")</f>
        <v>BOOST</v>
      </c>
      <c r="I52" s="57"/>
    </row>
    <row r="53" spans="1:9" x14ac:dyDescent="0.3">
      <c r="A53" s="223" t="s">
        <v>390</v>
      </c>
      <c r="B53" s="320">
        <f>IF(VIN_max&gt;Vout, Vout/VIN_max, (Vout-VIN_max)/Vout)</f>
        <v>0.58333333333333337</v>
      </c>
      <c r="C53" t="str">
        <f>IF(VIN_max&gt;Vout, "BUCK", "BOOST")</f>
        <v>BOOST</v>
      </c>
      <c r="E53" s="118"/>
      <c r="I53" s="57"/>
    </row>
    <row r="54" spans="1:9" x14ac:dyDescent="0.3">
      <c r="A54" s="118" t="s">
        <v>807</v>
      </c>
      <c r="B54" s="320">
        <f>B33</f>
        <v>0.36</v>
      </c>
      <c r="C54" s="118" t="s">
        <v>806</v>
      </c>
      <c r="E54" s="118"/>
      <c r="I54" s="57"/>
    </row>
    <row r="55" spans="1:9" x14ac:dyDescent="0.3">
      <c r="A55" s="118"/>
      <c r="C55"/>
      <c r="E55" s="118"/>
      <c r="I55" s="57"/>
    </row>
    <row r="56" spans="1:9" x14ac:dyDescent="0.3">
      <c r="A56" s="223" t="s">
        <v>391</v>
      </c>
      <c r="B56" s="310">
        <f>(VIN_min-Vout)*Don_Vinmin/(Fsw*Iout*0.3)</f>
        <v>-2.1400462962962964E-5</v>
      </c>
      <c r="C56" s="310">
        <f>VIN_min/(Iin_Vinmin*0.3*Fsw)*(1-VIN_min/Vout)</f>
        <v>2.3328993055555557E-7</v>
      </c>
      <c r="D56" s="118" t="s">
        <v>20</v>
      </c>
      <c r="I56" s="57"/>
    </row>
    <row r="57" spans="1:9" x14ac:dyDescent="0.3">
      <c r="A57" s="223" t="s">
        <v>405</v>
      </c>
      <c r="B57" s="310">
        <f>(VIN_nom-Vout)*Don_Vinnom/(Fsw*Iout*0.4)</f>
        <v>-1.1250000000000001E-5</v>
      </c>
      <c r="C57" s="310">
        <f>VIN_nom/(Iin_Vinnom*0.4*Fsw)*(1-VIN_nom/Vout)</f>
        <v>8.4374999999999976E-7</v>
      </c>
      <c r="D57" t="s">
        <v>20</v>
      </c>
      <c r="I57" s="57">
        <v>1</v>
      </c>
    </row>
    <row r="58" spans="1:9" x14ac:dyDescent="0.3">
      <c r="A58" s="223" t="s">
        <v>392</v>
      </c>
      <c r="B58" s="310">
        <f>(VIN_max-Vout)*Don_Vinmax/(Fsw*Iout*0.3)</f>
        <v>-9.0740740740740754E-6</v>
      </c>
      <c r="C58" s="310">
        <f>VIN_max/(Iin_Vinmax*0.3*Fsw)*(1-VIN_max/Vout)</f>
        <v>2.4305555555555552E-6</v>
      </c>
      <c r="D58" s="118" t="s">
        <v>20</v>
      </c>
      <c r="I58" s="57"/>
    </row>
    <row r="59" spans="1:9" x14ac:dyDescent="0.3">
      <c r="A59" s="118"/>
      <c r="C59"/>
      <c r="I59" s="57"/>
    </row>
    <row r="60" spans="1:9" x14ac:dyDescent="0.3">
      <c r="A60" s="118" t="s">
        <v>402</v>
      </c>
      <c r="B60" s="309">
        <f>IF(VIN_min&gt;Vout, (VIN_min-Vout)*Don_Vinmin/(Fsw*Iout*0.3), VIN_min/(Iin_Vinmin*0.3*Fsw)*(1-VIN_min/Vout))</f>
        <v>2.3328993055555557E-7</v>
      </c>
      <c r="C60" s="118" t="s">
        <v>20</v>
      </c>
      <c r="D60" t="str">
        <f>IF(VIN_min&gt;Vout, "BUCK", "BOOST")</f>
        <v>BOOST</v>
      </c>
      <c r="E60" s="118" t="s">
        <v>816</v>
      </c>
      <c r="I60" s="57"/>
    </row>
    <row r="61" spans="1:9" x14ac:dyDescent="0.3">
      <c r="A61" s="118" t="s">
        <v>403</v>
      </c>
      <c r="B61" s="309">
        <f>IF(VIN_nom&gt;Vout, (VIN_nom-Vout)*Don_Vinnom/(Fsw*Iout*0.4), VIN_nom/(Iin_Vinnom*0.4*Fsw)*(1-VIN_nom/Vout))</f>
        <v>8.4374999999999976E-7</v>
      </c>
      <c r="C61" t="s">
        <v>20</v>
      </c>
      <c r="D61" t="str">
        <f>IF(VIN_nom&gt;Vout, "BUCK", "BOOST")</f>
        <v>BOOST</v>
      </c>
      <c r="E61" s="118" t="s">
        <v>817</v>
      </c>
      <c r="I61" s="57"/>
    </row>
    <row r="62" spans="1:9" x14ac:dyDescent="0.3">
      <c r="A62" s="118" t="s">
        <v>404</v>
      </c>
      <c r="B62" s="309">
        <f>IF(VIN_max&gt;Vout, (VIN_max-Vout)*Don_Vinmax/(Fsw*Iout*0.8), VIN_max/(Iin_Vinmax*0.8*Fsw)*(1-VIN_max/Vout))</f>
        <v>9.1145833333333311E-7</v>
      </c>
      <c r="C62" s="118" t="s">
        <v>20</v>
      </c>
      <c r="D62" t="str">
        <f>IF(VIN_max&gt;Vout, "BUCK", "BOOST")</f>
        <v>BOOST</v>
      </c>
      <c r="E62" s="118" t="s">
        <v>977</v>
      </c>
      <c r="I62" s="57"/>
    </row>
    <row r="63" spans="1:9" x14ac:dyDescent="0.3">
      <c r="A63" s="118"/>
      <c r="C63" s="118"/>
      <c r="E63" s="118"/>
      <c r="I63" s="57"/>
    </row>
    <row r="64" spans="1:9" x14ac:dyDescent="0.3">
      <c r="A64" s="223" t="s">
        <v>406</v>
      </c>
      <c r="B64" s="309">
        <f>AVERAGE(B60,B62)</f>
        <v>5.7237413194444437E-7</v>
      </c>
      <c r="C64" t="s">
        <v>20</v>
      </c>
      <c r="D64" s="118" t="s">
        <v>978</v>
      </c>
      <c r="E64" s="118"/>
      <c r="I64" s="57"/>
    </row>
    <row r="65" spans="1:12" x14ac:dyDescent="0.3">
      <c r="A65" s="223"/>
      <c r="C65"/>
      <c r="E65" s="118"/>
      <c r="I65" s="57"/>
    </row>
    <row r="66" spans="1:12" x14ac:dyDescent="0.3">
      <c r="A66" s="223" t="s">
        <v>393</v>
      </c>
      <c r="B66" s="72">
        <f>'Design Converter'!E16/1000000</f>
        <v>3.2999999999999997E-6</v>
      </c>
      <c r="C66" t="s">
        <v>20</v>
      </c>
      <c r="E66" s="118" t="s">
        <v>818</v>
      </c>
      <c r="I66" s="57">
        <v>2</v>
      </c>
    </row>
    <row r="67" spans="1:12" x14ac:dyDescent="0.3">
      <c r="A67" s="223" t="s">
        <v>12</v>
      </c>
      <c r="B67" s="29">
        <f>'Design Converter'!E17/1000</f>
        <v>7.0000000000000001E-3</v>
      </c>
      <c r="C67" s="225" t="s">
        <v>120</v>
      </c>
      <c r="E67" s="118" t="s">
        <v>819</v>
      </c>
      <c r="I67" s="57">
        <v>1</v>
      </c>
    </row>
    <row r="68" spans="1:12" x14ac:dyDescent="0.3">
      <c r="A68" s="223"/>
      <c r="B68" s="118"/>
      <c r="C68" s="118"/>
      <c r="D68" s="118"/>
      <c r="E68" s="118"/>
      <c r="I68" s="57"/>
    </row>
    <row r="69" spans="1:12" x14ac:dyDescent="0.3">
      <c r="A69" s="223" t="s">
        <v>17</v>
      </c>
      <c r="B69" s="320">
        <f>(Vout+Iout*(Rdcr+Rs))/(Vin+Iout*Rs)</f>
        <v>3.9983374896093102</v>
      </c>
      <c r="C69"/>
      <c r="I69" s="57">
        <v>2</v>
      </c>
    </row>
    <row r="70" spans="1:12" x14ac:dyDescent="0.3">
      <c r="A70" s="223" t="s">
        <v>18</v>
      </c>
      <c r="B70" s="320">
        <f>1-_Don2</f>
        <v>-2.9983374896093102</v>
      </c>
      <c r="C70"/>
      <c r="I70" s="57">
        <v>2</v>
      </c>
    </row>
    <row r="71" spans="1:12" x14ac:dyDescent="0.3">
      <c r="A71" s="223"/>
      <c r="C71"/>
      <c r="I71" s="57"/>
    </row>
    <row r="72" spans="1:12" x14ac:dyDescent="0.3">
      <c r="A72" s="223" t="s">
        <v>408</v>
      </c>
      <c r="B72" s="320">
        <f>IF(VIN_min&gt;Vout, (Vout+Iout*(Rdcr+Rs))/(VIN_min+Iout*Rs), (Vout-VIN_min+Iin_Vinmin*(Rdcr))/(Vout-Iin_Vinmin*Rs))</f>
        <v>0.9175055928411634</v>
      </c>
      <c r="C72" t="str">
        <f>IF(VIN_min&gt;Vout, "BUCK", "BOOST")</f>
        <v>BOOST</v>
      </c>
      <c r="E72" s="118" t="s">
        <v>563</v>
      </c>
      <c r="I72" s="57">
        <v>2</v>
      </c>
      <c r="J72" s="118" t="s">
        <v>954</v>
      </c>
      <c r="L72" s="620">
        <f>(1-VIN_min*90%/Vout)</f>
        <v>0.90625</v>
      </c>
    </row>
    <row r="73" spans="1:12" ht="14.15" x14ac:dyDescent="0.4">
      <c r="A73" s="223" t="s">
        <v>409</v>
      </c>
      <c r="B73" s="320">
        <f>IF(VIN_nom&gt;Vout, (Vout+Iout*(Rdcr+Rs))/(VIN_nom+Iout*Rs), (Vout-VIN_nom+Iin_Vinnom*(Rdcr))/(Vout-Iin_Vinnom*Rs))</f>
        <v>0.75858867223769733</v>
      </c>
      <c r="C73" t="str">
        <f>IF(VIN_nom&gt;Vout, "BUCK", "BOOST")</f>
        <v>BOOST</v>
      </c>
      <c r="E73" s="406" t="s">
        <v>593</v>
      </c>
      <c r="I73" s="57"/>
    </row>
    <row r="74" spans="1:12" x14ac:dyDescent="0.3">
      <c r="A74" s="223" t="s">
        <v>410</v>
      </c>
      <c r="B74" s="320">
        <f>IF(VIN_max&gt;Vout, (Vout+Iout*(Rdcr+Rs))/(VIN_max+Iout*Rs), (Vout-VIN_max+Iin_Vinmax*(Rdcr))/(Vout-Iin_Vinmax*Rs))</f>
        <v>0.58820255982192537</v>
      </c>
      <c r="C74" t="str">
        <f>IF(VIN_max&gt;Vout, "BUCK", "BOOST")</f>
        <v>BOOST</v>
      </c>
      <c r="I74" s="57"/>
    </row>
    <row r="75" spans="1:12" x14ac:dyDescent="0.3">
      <c r="A75" s="223"/>
      <c r="C75"/>
      <c r="I75" s="57"/>
    </row>
    <row r="76" spans="1:12" x14ac:dyDescent="0.3">
      <c r="A76" s="223" t="s">
        <v>22</v>
      </c>
      <c r="B76" s="448">
        <f>'Design Converter'!E40/1000</f>
        <v>0.05</v>
      </c>
      <c r="C76" t="s">
        <v>0</v>
      </c>
      <c r="E76" s="118" t="s">
        <v>603</v>
      </c>
      <c r="I76" s="57">
        <v>1</v>
      </c>
    </row>
    <row r="77" spans="1:12" x14ac:dyDescent="0.3">
      <c r="A77" s="223"/>
      <c r="C77"/>
      <c r="I77" s="57"/>
    </row>
    <row r="78" spans="1:12" x14ac:dyDescent="0.3">
      <c r="A78" s="223" t="s">
        <v>399</v>
      </c>
      <c r="B78" s="576">
        <f>IF(VIN_min&gt;Vout, (VIN_min-Vout)*Don_Vinmin_2/(Fsw*Lf),VIN_min*Don_Vinmin_2/(Lf*Fsw))</f>
        <v>2.3169333152554636</v>
      </c>
      <c r="C78" s="576">
        <f>(VIN_min-Vout)*Don_Vinmin_2/(Fsw*Lf)</f>
        <v>-19.925626511196988</v>
      </c>
      <c r="D78" s="118" t="s">
        <v>2</v>
      </c>
      <c r="E78" t="str">
        <f>IF(VIN_min&gt;Vout, "BUCK", "BOOST")</f>
        <v>BOOST</v>
      </c>
      <c r="G78" s="30"/>
      <c r="H78">
        <f>VIN_min*Don_Vinmin_2/(Lopt*Fsw)</f>
        <v>13.358185692929167</v>
      </c>
      <c r="I78" s="57"/>
    </row>
    <row r="79" spans="1:12" x14ac:dyDescent="0.3">
      <c r="A79" s="223" t="s">
        <v>400</v>
      </c>
      <c r="B79" s="576">
        <f>IF(VIN_nom&gt;Vout, (VIN_nom-Vout)*Don_Vinnom_2/(Fsw*Lf),VIN_nom*Don_Vinnom_2/(Lf*Fsw))</f>
        <v>4.5975071044708935</v>
      </c>
      <c r="C79" s="576">
        <f>(VIN_nom-Vout)*Don_Vinnom_2/(Fsw*Lf)</f>
        <v>-13.79252131341268</v>
      </c>
      <c r="D79" s="118" t="s">
        <v>2</v>
      </c>
      <c r="E79" t="str">
        <f>IF(VIN_nom&gt;Vout, "BUCK", "BOOST")</f>
        <v>BOOST</v>
      </c>
      <c r="I79" s="57"/>
    </row>
    <row r="80" spans="1:12" x14ac:dyDescent="0.3">
      <c r="A80" s="223" t="s">
        <v>401</v>
      </c>
      <c r="B80" s="576">
        <f>IF(VIN_max&gt;Vout, (VIN_max-Vout)*Don_Vinmax_2/(Fsw*Lf),VIN_max*Don_Vinmax_2/(Lf*Fsw))</f>
        <v>5.9414399982012673</v>
      </c>
      <c r="C80" s="576">
        <f>(VIN_max-Vout)*Don_Vinmax_2/(Fsw*Lf)</f>
        <v>-8.3180159974817727</v>
      </c>
      <c r="D80" s="118" t="s">
        <v>2</v>
      </c>
      <c r="E80" t="str">
        <f>IF(VIN_max&gt;Vout, "BUCK", "BOOST")</f>
        <v>BOOST</v>
      </c>
      <c r="I80" s="57"/>
    </row>
    <row r="81" spans="1:9" x14ac:dyDescent="0.3">
      <c r="A81" s="223" t="s">
        <v>810</v>
      </c>
      <c r="B81" s="576">
        <f>VIN_edgebuckboost*Don_buckboost/(Lf*Fsw/2)</f>
        <v>12.275724275724276</v>
      </c>
      <c r="C81" s="523"/>
      <c r="D81" s="118" t="s">
        <v>2</v>
      </c>
      <c r="E81" s="118" t="s">
        <v>832</v>
      </c>
      <c r="I81" s="57"/>
    </row>
    <row r="82" spans="1:9" x14ac:dyDescent="0.3">
      <c r="A82" s="223"/>
      <c r="B82" s="118"/>
      <c r="C82" s="118"/>
      <c r="D82" s="118"/>
      <c r="I82" s="57"/>
    </row>
    <row r="83" spans="1:9" x14ac:dyDescent="0.3">
      <c r="A83" s="223" t="s">
        <v>866</v>
      </c>
      <c r="B83" s="445">
        <f>IF(VIN_min&gt;Vout, SQRT(1-Don_Vinmin_2)*SQRT(Iout^2+(Iripple_Vinmin^2)/12), SQRT(Don_Vinmin_2)*SQRT(Iin_Vinmin^2+(Iripple_Vinmin^2)/12))</f>
        <v>102.17428830098024</v>
      </c>
      <c r="C83" s="118" t="s">
        <v>2</v>
      </c>
      <c r="E83" s="4">
        <f>SQRT(1-Don_Vinmin_2)*SQRT(Iout^2+(Iripple_Vinmin^2)/12)</f>
        <v>2.8786011275180976</v>
      </c>
      <c r="F83" s="386">
        <f>SQRT(Don_Vinmin_2)*SQRT(Iout^2+(Iripple_Vinmin^2)/12)</f>
        <v>9.6000522853227181</v>
      </c>
      <c r="I83" s="57"/>
    </row>
    <row r="84" spans="1:9" x14ac:dyDescent="0.3">
      <c r="A84" s="223" t="s">
        <v>867</v>
      </c>
      <c r="B84" s="445">
        <f>IF(VIN_nom&gt;Vout, SQRT(1-Don_Vinnom_2)*SQRT(Iout^2+(Iripple_Vinnom^2)/12), SQRT(Don_Vinnom_2)*SQRT(Iin_Vinnom^2+(Iripple_Vinnom^2)/12))</f>
        <v>38.72703132478437</v>
      </c>
      <c r="C84" s="118" t="s">
        <v>2</v>
      </c>
      <c r="E84" s="4">
        <f>SQRT(1-Don_Vinnom_2)*SQRT(Iout^2+(Iripple_Vinnom^2)/12)</f>
        <v>4.9564463229620657</v>
      </c>
      <c r="F84" s="386">
        <f>SQRT(Don_Vinnom_2)*SQRT(Iout^2+(Iripple_Vinnom^2)/12)</f>
        <v>8.7860720733955304</v>
      </c>
      <c r="I84" s="57"/>
    </row>
    <row r="85" spans="1:9" x14ac:dyDescent="0.3">
      <c r="A85" s="223" t="s">
        <v>868</v>
      </c>
      <c r="B85" s="445">
        <f>IF(VIN_max&gt;Vout, SQRT(1-Don_Vinmax_2)*SQRT(Iout^2+(Iripple_Vinmax^2)/12), SQRT(Don_Vinmax_2)*SQRT(Iin_Vinmax^2+(Iripple_Vinmax^2)/12))</f>
        <v>20.49408955045763</v>
      </c>
      <c r="C85" s="118" t="s">
        <v>2</v>
      </c>
      <c r="E85" s="4">
        <f>SQRT(1-Don_Vinmax_2)*SQRT(Iout^2+(Iripple_Vinmax^2)/12)</f>
        <v>6.5108478065470772</v>
      </c>
      <c r="F85" s="386">
        <f>SQRT(Don_Vinmax_2)*SQRT(Iout^2+(Iripple_Vinmax^2)/12)</f>
        <v>7.781425744103708</v>
      </c>
      <c r="I85" s="57"/>
    </row>
    <row r="86" spans="1:9" x14ac:dyDescent="0.3">
      <c r="A86" s="223" t="s">
        <v>869</v>
      </c>
      <c r="B86" s="430">
        <f>MAX(B83,B85)^2*Rs</f>
        <v>31.318755569435481</v>
      </c>
      <c r="C86" s="118" t="s">
        <v>120</v>
      </c>
      <c r="D86" s="118" t="str">
        <f>IF(B85&gt;B83, "BUCK", "BOOST")</f>
        <v>BOOST</v>
      </c>
      <c r="E86" s="118"/>
      <c r="I86" s="57"/>
    </row>
    <row r="87" spans="1:9" x14ac:dyDescent="0.3">
      <c r="A87" s="223"/>
      <c r="B87" s="118"/>
      <c r="C87" s="118"/>
      <c r="D87" s="118"/>
      <c r="I87" s="57"/>
    </row>
    <row r="88" spans="1:9" x14ac:dyDescent="0.3">
      <c r="A88" s="223" t="s">
        <v>424</v>
      </c>
      <c r="B88" s="321">
        <f>MAX(B78:B80)</f>
        <v>5.9414399982012673</v>
      </c>
      <c r="C88" s="118" t="s">
        <v>2</v>
      </c>
      <c r="I88" s="57"/>
    </row>
    <row r="89" spans="1:9" x14ac:dyDescent="0.3">
      <c r="A89" s="223"/>
      <c r="B89" s="118"/>
      <c r="C89" s="118"/>
      <c r="D89" s="118"/>
      <c r="F89" s="118" t="s">
        <v>186</v>
      </c>
      <c r="G89" s="313" t="s">
        <v>412</v>
      </c>
      <c r="I89" s="57"/>
    </row>
    <row r="90" spans="1:9" x14ac:dyDescent="0.3">
      <c r="A90" s="223" t="s">
        <v>411</v>
      </c>
      <c r="B90" s="444">
        <f>IF(VIN_min&gt;Vout, B78/Iout, B78/Iin_Vinmin)</f>
        <v>2.172124983051997E-2</v>
      </c>
      <c r="C90" t="str">
        <f>IF(VIN_min&gt;Vout, "BUCK", "BOOST")</f>
        <v>BOOST</v>
      </c>
      <c r="F90" s="4">
        <f>B78</f>
        <v>2.3169333152554636</v>
      </c>
      <c r="G90" s="445">
        <f>Iin_Vinmin</f>
        <v>106.66666666666667</v>
      </c>
      <c r="I90" s="57"/>
    </row>
    <row r="91" spans="1:9" x14ac:dyDescent="0.3">
      <c r="A91" s="223"/>
      <c r="B91" s="444">
        <f>IF(VIN_nom&gt;Vout, B79/Iout, B79/Iin_Vinnom)</f>
        <v>0.10344390985059509</v>
      </c>
      <c r="C91" t="str">
        <f>IF(VIN_nom&gt;Vout, "BUCK", "BOOST")</f>
        <v>BOOST</v>
      </c>
      <c r="F91" s="4">
        <f>B79</f>
        <v>4.5975071044708935</v>
      </c>
      <c r="G91" s="445">
        <f>Iin_Vinnom</f>
        <v>44.44444444444445</v>
      </c>
      <c r="I91" s="57"/>
    </row>
    <row r="92" spans="1:9" x14ac:dyDescent="0.3">
      <c r="A92" s="223"/>
      <c r="B92" s="444">
        <f>IF(VIN_max&gt;Vout, B80/Iout, B80/Iin_Vinmax)</f>
        <v>0.22280399993254751</v>
      </c>
      <c r="C92" t="str">
        <f>IF(VIN_max&gt;Vout, "BUCK", "BOOST")</f>
        <v>BOOST</v>
      </c>
      <c r="F92" s="4">
        <f>B80</f>
        <v>5.9414399982012673</v>
      </c>
      <c r="G92" s="445">
        <f>Iin_Vinmax</f>
        <v>26.666666666666668</v>
      </c>
      <c r="I92" s="57"/>
    </row>
    <row r="93" spans="1:9" x14ac:dyDescent="0.3">
      <c r="A93" s="223"/>
      <c r="C93"/>
      <c r="I93" s="57"/>
    </row>
    <row r="94" spans="1:9" x14ac:dyDescent="0.3">
      <c r="A94" t="s">
        <v>269</v>
      </c>
      <c r="B94" s="336">
        <v>100</v>
      </c>
      <c r="C94"/>
      <c r="D94" s="118"/>
      <c r="I94" s="57"/>
    </row>
    <row r="95" spans="1:9" x14ac:dyDescent="0.3">
      <c r="A95" s="223" t="s">
        <v>268</v>
      </c>
      <c r="B95" s="421">
        <f>Rdcr*(1+0.0039*(B94-25))</f>
        <v>9.0475E-3</v>
      </c>
      <c r="C95" s="225" t="s">
        <v>120</v>
      </c>
      <c r="I95" s="57"/>
    </row>
    <row r="96" spans="1:9" ht="12.9" thickBot="1" x14ac:dyDescent="0.35">
      <c r="A96" s="340"/>
      <c r="B96" s="341"/>
      <c r="C96" s="61"/>
      <c r="D96" s="61"/>
      <c r="E96" s="61"/>
      <c r="F96" s="61"/>
      <c r="G96" s="61"/>
      <c r="H96" s="61"/>
      <c r="I96" s="62"/>
    </row>
    <row r="97" spans="1:16" x14ac:dyDescent="0.3">
      <c r="A97" s="2"/>
      <c r="B97" s="1"/>
      <c r="C97" s="1"/>
    </row>
    <row r="98" spans="1:16" ht="15.9" thickBot="1" x14ac:dyDescent="0.45">
      <c r="A98" s="580" t="s">
        <v>542</v>
      </c>
      <c r="B98" s="1"/>
      <c r="C98" s="1"/>
    </row>
    <row r="99" spans="1:16" x14ac:dyDescent="0.3">
      <c r="A99" s="94"/>
      <c r="B99" s="63"/>
      <c r="C99" s="63"/>
      <c r="D99" s="63"/>
      <c r="E99" s="63"/>
      <c r="F99" s="63"/>
      <c r="G99" s="63"/>
      <c r="H99" s="63"/>
      <c r="I99" s="64"/>
    </row>
    <row r="100" spans="1:16" x14ac:dyDescent="0.3">
      <c r="A100" s="223" t="s">
        <v>423</v>
      </c>
      <c r="B100" s="29">
        <f>'Design Converter'!E26</f>
        <v>10</v>
      </c>
      <c r="C100" t="s">
        <v>2</v>
      </c>
      <c r="E100" s="118" t="s">
        <v>736</v>
      </c>
      <c r="I100" s="57"/>
      <c r="K100" s="118" t="s">
        <v>434</v>
      </c>
      <c r="N100" s="118" t="s">
        <v>594</v>
      </c>
    </row>
    <row r="101" spans="1:16" x14ac:dyDescent="0.3">
      <c r="A101" s="223"/>
      <c r="C101"/>
      <c r="I101" s="57"/>
      <c r="K101" s="118" t="s">
        <v>449</v>
      </c>
      <c r="L101" s="118" t="s">
        <v>450</v>
      </c>
    </row>
    <row r="102" spans="1:16" x14ac:dyDescent="0.3">
      <c r="A102" s="223" t="s">
        <v>431</v>
      </c>
      <c r="B102" s="327">
        <f>IF(VIN_min&gt;Vout, Ilimit_DC-Iripple_Vinmin/2, Ilimit_DC*Vout/VIN_min/0.9+Iripple_Vinmin/2)</f>
        <v>107.82513332429438</v>
      </c>
      <c r="C102" t="s">
        <v>2</v>
      </c>
      <c r="D102" t="str">
        <f>IF(VIN_min&gt;Vout, "BUCK", "BOOST")</f>
        <v>BOOST</v>
      </c>
      <c r="E102" s="621" t="s">
        <v>955</v>
      </c>
      <c r="I102" s="57"/>
      <c r="K102" s="327">
        <f>Ilimit_DC-Iripple_Vinmin/2</f>
        <v>8.8415333423722675</v>
      </c>
      <c r="L102" s="327">
        <f>Ilimit_DC/(1-Don_Vinmin_2)+Iripple_Vinmin/2</f>
        <v>122.37880564067871</v>
      </c>
      <c r="M102" t="str">
        <f>IF(VIN_min&gt;Vout, "BUCK", "BOOST")</f>
        <v>BOOST</v>
      </c>
      <c r="N102" s="329">
        <f>IF(VIN_min&gt;Vout, Buck_CS_threshold/K102, Boost_CS_Threshold/L102)</f>
        <v>9.8056194756743079E-4</v>
      </c>
      <c r="P102" s="335">
        <f>Boost_CS_Threshold/L102</f>
        <v>9.8056194756743079E-4</v>
      </c>
    </row>
    <row r="103" spans="1:16" x14ac:dyDescent="0.3">
      <c r="A103" s="223" t="s">
        <v>433</v>
      </c>
      <c r="B103" s="327">
        <f>IF(VIN_nom&gt;Vout, Ilimit_DC-Iripple_Vinnom/2, Ilimit_DC/(1-Don_Vinnom_2)+Iripple_Vinnom/2)</f>
        <v>43.721830475312373</v>
      </c>
      <c r="C103" t="s">
        <v>2</v>
      </c>
      <c r="D103" t="str">
        <f>IF(VIN_nom&gt;Vout, "BUCK", "BOOST")</f>
        <v>BOOST</v>
      </c>
      <c r="E103" s="118" t="s">
        <v>430</v>
      </c>
      <c r="I103" s="57"/>
      <c r="K103" s="327">
        <f>Ilimit_DC-Iripple_Vinnom/2</f>
        <v>7.7012464477645537</v>
      </c>
      <c r="L103" s="327">
        <f>Ilimit_DC/(1-Don_Vinnom_2)+Iripple_Vinnom/2</f>
        <v>43.721830475312373</v>
      </c>
      <c r="M103" t="str">
        <f>IF(VIN_nom&gt;Vout, "BUCK", "BOOST")</f>
        <v>BOOST</v>
      </c>
      <c r="N103" s="329">
        <f>IF(VIN_nom&gt;Vout, Buck_CS_threshold/K103, Boost_CS_Threshold/L103)</f>
        <v>2.7446243374407266E-3</v>
      </c>
      <c r="P103" s="335">
        <f>Boost_CS_Threshold/L103</f>
        <v>2.7446243374407266E-3</v>
      </c>
    </row>
    <row r="104" spans="1:16" x14ac:dyDescent="0.3">
      <c r="A104" s="223" t="s">
        <v>432</v>
      </c>
      <c r="B104" s="327">
        <f>IF(VIN_max&gt;Vout, Ilimit_DC-Iripple_Vinmax/2, Ilimit_DC/(1-Don_Vinmax_2)+Iripple_Vinmax/2)</f>
        <v>27.254503782884413</v>
      </c>
      <c r="C104" t="s">
        <v>2</v>
      </c>
      <c r="D104" t="str">
        <f>IF(VIN_max&gt;Vout, "BUCK", "BOOST")</f>
        <v>BOOST</v>
      </c>
      <c r="E104" s="118" t="s">
        <v>820</v>
      </c>
      <c r="I104" s="57"/>
      <c r="K104" s="327">
        <f>Ilimit_DC-Iripple_Vinmax/2</f>
        <v>7.0292800008993659</v>
      </c>
      <c r="L104" s="327">
        <f>Ilimit_DC/(1-Don_Vinmax_2)+Iripple_Vinmax/2</f>
        <v>27.254503782884413</v>
      </c>
      <c r="M104" t="str">
        <f>IF(VIN_max&gt;Vout, "BUCK", "BOOST")</f>
        <v>BOOST</v>
      </c>
      <c r="N104" s="329">
        <f>IF(VIN_max&gt;Vout, Buck_CS_threshold/K104, Boost_CS_Threshold/L104)</f>
        <v>4.4029420222047458E-3</v>
      </c>
      <c r="P104" s="335">
        <f>Boost_CS_Threshold/L104</f>
        <v>4.4029420222047458E-3</v>
      </c>
    </row>
    <row r="105" spans="1:16" x14ac:dyDescent="0.3">
      <c r="A105" s="223" t="s">
        <v>808</v>
      </c>
      <c r="B105" s="327">
        <f>Ilimit_DC/(1-Don_buckboost)+Iripple_edgebuckboost/2</f>
        <v>21.762862137862136</v>
      </c>
      <c r="C105" s="118" t="s">
        <v>2</v>
      </c>
      <c r="D105" s="118" t="s">
        <v>821</v>
      </c>
      <c r="I105" s="57"/>
    </row>
    <row r="106" spans="1:16" x14ac:dyDescent="0.3">
      <c r="I106" s="57"/>
    </row>
    <row r="107" spans="1:16" x14ac:dyDescent="0.3">
      <c r="A107" s="223" t="s">
        <v>733</v>
      </c>
      <c r="B107" s="524">
        <v>6.8000000000000005E-2</v>
      </c>
      <c r="C107" s="118" t="s">
        <v>0</v>
      </c>
      <c r="I107" s="57"/>
    </row>
    <row r="108" spans="1:16" x14ac:dyDescent="0.3">
      <c r="A108" s="223" t="s">
        <v>421</v>
      </c>
      <c r="B108" s="326">
        <v>0.08</v>
      </c>
      <c r="C108" s="118" t="s">
        <v>0</v>
      </c>
      <c r="D108" s="2" t="s">
        <v>833</v>
      </c>
      <c r="E108" s="621" t="s">
        <v>949</v>
      </c>
      <c r="I108" s="57"/>
    </row>
    <row r="109" spans="1:16" x14ac:dyDescent="0.3">
      <c r="A109" s="223" t="s">
        <v>738</v>
      </c>
      <c r="B109" s="524">
        <v>9.1999999999999998E-2</v>
      </c>
      <c r="C109" s="118" t="s">
        <v>0</v>
      </c>
      <c r="I109" s="57"/>
    </row>
    <row r="110" spans="1:16" x14ac:dyDescent="0.3">
      <c r="A110" s="223"/>
      <c r="B110" s="386"/>
      <c r="C110" s="118"/>
      <c r="I110" s="57"/>
    </row>
    <row r="111" spans="1:16" x14ac:dyDescent="0.3">
      <c r="A111" s="223" t="s">
        <v>734</v>
      </c>
      <c r="B111" s="524">
        <v>0.108</v>
      </c>
      <c r="C111" s="118" t="s">
        <v>0</v>
      </c>
      <c r="I111" s="57"/>
    </row>
    <row r="112" spans="1:16" x14ac:dyDescent="0.3">
      <c r="A112" s="223" t="s">
        <v>422</v>
      </c>
      <c r="B112" s="326">
        <v>0.12</v>
      </c>
      <c r="C112" s="118" t="s">
        <v>0</v>
      </c>
      <c r="D112" s="2" t="s">
        <v>834</v>
      </c>
      <c r="E112" s="621" t="s">
        <v>951</v>
      </c>
      <c r="I112" s="57"/>
    </row>
    <row r="113" spans="1:12" x14ac:dyDescent="0.3">
      <c r="A113" s="223" t="s">
        <v>739</v>
      </c>
      <c r="B113" s="524">
        <v>0.13800000000000001</v>
      </c>
      <c r="C113" s="118" t="s">
        <v>0</v>
      </c>
      <c r="E113" s="621" t="s">
        <v>953</v>
      </c>
      <c r="I113" s="57"/>
    </row>
    <row r="114" spans="1:12" x14ac:dyDescent="0.3">
      <c r="I114" s="57"/>
    </row>
    <row r="115" spans="1:12" x14ac:dyDescent="0.3">
      <c r="A115" s="572" t="s">
        <v>828</v>
      </c>
      <c r="B115" s="118"/>
      <c r="C115" s="118"/>
      <c r="I115" s="57"/>
    </row>
    <row r="116" spans="1:12" x14ac:dyDescent="0.3">
      <c r="A116" s="223" t="s">
        <v>824</v>
      </c>
      <c r="B116" s="329">
        <f>IF(VIN_min&gt;Vout,Buck_CS_threshold/B102, Boost_CS_Threshold/B102)</f>
        <v>1.112913068598659E-3</v>
      </c>
      <c r="C116" s="225" t="s">
        <v>120</v>
      </c>
      <c r="D116" t="str">
        <f>IF(VIN_min&gt;Vout, "BUCK", "BOOST")</f>
        <v>BOOST</v>
      </c>
      <c r="I116" s="57"/>
    </row>
    <row r="117" spans="1:12" x14ac:dyDescent="0.3">
      <c r="A117" s="223" t="s">
        <v>825</v>
      </c>
      <c r="B117" s="329">
        <f>IF(VIN_nom&gt;Vout,Buck_CS_threshold/B103, Boost_CS_Threshold/B103)</f>
        <v>2.7446243374407266E-3</v>
      </c>
      <c r="C117" s="225" t="s">
        <v>120</v>
      </c>
      <c r="D117" t="str">
        <f>IF(VIN_nom&gt;Vout, "BUCK", "BOOST")</f>
        <v>BOOST</v>
      </c>
      <c r="I117" s="57"/>
    </row>
    <row r="118" spans="1:12" x14ac:dyDescent="0.3">
      <c r="A118" s="223" t="s">
        <v>826</v>
      </c>
      <c r="B118" s="329">
        <f>IF(VIN_max&gt;Vout,Buck_CS_threshold/B104, Boost_CS_Threshold/B104)</f>
        <v>4.4029420222047458E-3</v>
      </c>
      <c r="C118" s="225" t="s">
        <v>120</v>
      </c>
      <c r="D118" t="str">
        <f>IF(VIN_max&gt;Vout, "BUCK", "BOOST")</f>
        <v>BOOST</v>
      </c>
      <c r="I118" s="57"/>
    </row>
    <row r="119" spans="1:12" x14ac:dyDescent="0.3">
      <c r="A119" s="223" t="s">
        <v>829</v>
      </c>
      <c r="B119" s="329">
        <f>IF(VIN_min&lt;VIN_edgebuckboost,Buck_CS_threshold/B105, 10)</f>
        <v>3.675987078042427E-3</v>
      </c>
      <c r="C119" s="225" t="s">
        <v>120</v>
      </c>
      <c r="D119" s="118" t="s">
        <v>830</v>
      </c>
      <c r="I119" s="57"/>
    </row>
    <row r="120" spans="1:12" x14ac:dyDescent="0.3">
      <c r="A120" s="223"/>
      <c r="B120" s="30"/>
      <c r="C120" s="225"/>
      <c r="I120" s="57"/>
    </row>
    <row r="121" spans="1:12" x14ac:dyDescent="0.3">
      <c r="A121" s="223" t="s">
        <v>429</v>
      </c>
      <c r="B121" s="330">
        <f>MIN(B116:B118)</f>
        <v>1.112913068598659E-3</v>
      </c>
      <c r="C121" s="225" t="s">
        <v>120</v>
      </c>
      <c r="E121" s="118" t="s">
        <v>827</v>
      </c>
      <c r="I121" s="57"/>
    </row>
    <row r="122" spans="1:12" x14ac:dyDescent="0.3">
      <c r="A122" s="223" t="s">
        <v>200</v>
      </c>
      <c r="B122" s="570">
        <f>'Design Converter'!E28/1000</f>
        <v>3.0000000000000001E-3</v>
      </c>
      <c r="C122" s="225" t="s">
        <v>120</v>
      </c>
      <c r="E122" s="118" t="s">
        <v>435</v>
      </c>
      <c r="I122" s="57"/>
      <c r="K122" s="118"/>
      <c r="L122" s="118"/>
    </row>
    <row r="123" spans="1:12" x14ac:dyDescent="0.3">
      <c r="A123" s="223"/>
      <c r="B123" s="446"/>
      <c r="C123" s="225"/>
      <c r="E123" s="118"/>
      <c r="I123" s="57"/>
      <c r="K123" s="118"/>
      <c r="L123" s="118"/>
    </row>
    <row r="124" spans="1:12" x14ac:dyDescent="0.3">
      <c r="A124" s="223" t="s">
        <v>595</v>
      </c>
      <c r="B124" s="4">
        <f>Boost_CS_Threshold/Rs</f>
        <v>40</v>
      </c>
      <c r="C124" s="118" t="s">
        <v>2</v>
      </c>
      <c r="E124" s="118" t="s">
        <v>822</v>
      </c>
      <c r="I124" s="57"/>
    </row>
    <row r="125" spans="1:12" x14ac:dyDescent="0.3">
      <c r="A125" s="223" t="s">
        <v>735</v>
      </c>
      <c r="B125" s="4">
        <f>Buck_CS_threshold/Rs</f>
        <v>26.666666666666668</v>
      </c>
      <c r="C125" s="118" t="s">
        <v>2</v>
      </c>
      <c r="E125" s="118" t="s">
        <v>823</v>
      </c>
      <c r="I125" s="57"/>
    </row>
    <row r="126" spans="1:12" x14ac:dyDescent="0.3">
      <c r="A126" s="223"/>
      <c r="I126" s="57"/>
    </row>
    <row r="127" spans="1:12" ht="14.15" x14ac:dyDescent="0.4">
      <c r="A127" s="223" t="s">
        <v>596</v>
      </c>
      <c r="B127" s="337">
        <f>IF(VIN_min&gt;Vout,Buck_CS_threshold/Rs+Iripple_Vinmin/2, (Boost_CS_Threshold/Rs-Iripple_Vinmin/2)*(1-Don_Vinmin_2))</f>
        <v>3.204209266219185</v>
      </c>
      <c r="C127" t="s">
        <v>2</v>
      </c>
      <c r="D127" t="str">
        <f>IF(VIN_min&gt;Vout, "BUCK", "BOOST")</f>
        <v>BOOST</v>
      </c>
      <c r="E127" s="118" t="s">
        <v>602</v>
      </c>
      <c r="I127" s="57"/>
    </row>
    <row r="128" spans="1:12" x14ac:dyDescent="0.3">
      <c r="A128" s="223" t="s">
        <v>658</v>
      </c>
      <c r="B128" s="337">
        <f>IF(VIN_nom&gt;Vout,Buck_CS_threshold/Rs+Iripple_Vinnom/2, IF(VIN_nom&lt;VIN_edgebuckboost,(Boost_CS_Threshold/Rs-Iripple_Vinnom/2)*(1-Don_Vinnom_2),(Buck_CS_threshold/Rs-Iripple_Vinnom/2)*(1-Don_Vinnom_2)))</f>
        <v>9.101507963248638</v>
      </c>
      <c r="C128" t="s">
        <v>2</v>
      </c>
      <c r="D128" t="str">
        <f>IF(VIN_nom&gt;Vout,"BUCK",IF(VIN_nom&lt;VIN_edgebuckboost,"BOOST","BUCK-BOOST"))</f>
        <v>BOOST</v>
      </c>
      <c r="I128" s="57"/>
    </row>
    <row r="129" spans="1:14" x14ac:dyDescent="0.3">
      <c r="A129" s="223" t="s">
        <v>597</v>
      </c>
      <c r="B129" s="337">
        <f>IF(VIN_max&gt;Vout, Buck_CS_threshold/Rs+Iripple_Vinmax/2, (Boost_CS_Threshold/Rs-Iripple_Vinmax/2)*(1-Don_Vinmax_2))</f>
        <v>15.248562716007534</v>
      </c>
      <c r="C129" t="s">
        <v>2</v>
      </c>
      <c r="D129" t="str">
        <f>IF(VIN_max&gt;Vout, "BUCK", "BOOST")</f>
        <v>BOOST</v>
      </c>
      <c r="I129" s="57"/>
    </row>
    <row r="130" spans="1:14" x14ac:dyDescent="0.3">
      <c r="A130" s="223" t="s">
        <v>811</v>
      </c>
      <c r="B130" s="337">
        <f>(Buck_CS_threshold/Rs-Iripple_edgebuckboost/2)*(1-Don_buckboost)</f>
        <v>13.138434898434898</v>
      </c>
      <c r="C130" t="s">
        <v>2</v>
      </c>
      <c r="D130" s="2" t="s">
        <v>831</v>
      </c>
      <c r="I130" s="57"/>
      <c r="K130" s="118" t="s">
        <v>741</v>
      </c>
      <c r="M130" s="118" t="s">
        <v>742</v>
      </c>
    </row>
    <row r="131" spans="1:14" x14ac:dyDescent="0.3">
      <c r="A131" s="223"/>
      <c r="B131" s="118"/>
      <c r="C131"/>
      <c r="I131" s="57"/>
      <c r="K131" s="118"/>
      <c r="M131" s="118"/>
    </row>
    <row r="132" spans="1:14" x14ac:dyDescent="0.3">
      <c r="A132" s="223" t="s">
        <v>598</v>
      </c>
      <c r="B132" s="573">
        <f>IF(VIN_min&gt;Vout, Buck_CS_threshold/Rs+Iripple_Vinmin/2, Boost_CS_Threshold/Rs)</f>
        <v>40</v>
      </c>
      <c r="C132" t="s">
        <v>2</v>
      </c>
      <c r="D132" t="str">
        <f>IF(VIN_min&gt;Vout, "BUCK", "BOOST")</f>
        <v>BOOST</v>
      </c>
      <c r="E132" s="118" t="s">
        <v>601</v>
      </c>
      <c r="H132">
        <f>SQRT(Don_Vinmin_2)*SQRT(Iin_Vinmin^2+(Iripple_Vinmin^2)/12)</f>
        <v>102.17428830098024</v>
      </c>
      <c r="I132" s="57"/>
      <c r="K132" s="48">
        <f>IF(VIN_min&gt;Vout, SQRT(1-Don_Vinmin_2)*SQRT(Iout_OCP_Vinmin^2+(Iripple_Vinmin^2)/12), SQRT(Don_Vinmin_2)*SQRT(Iin_Vinmin^2+(Iripple_Vinmin^2)/12))</f>
        <v>102.17428830098024</v>
      </c>
      <c r="L132" s="2" t="s">
        <v>2</v>
      </c>
      <c r="M132" s="4">
        <f>K132^2*Rs</f>
        <v>31.318755569435481</v>
      </c>
      <c r="N132" s="2" t="s">
        <v>120</v>
      </c>
    </row>
    <row r="133" spans="1:14" x14ac:dyDescent="0.3">
      <c r="A133" s="223" t="s">
        <v>599</v>
      </c>
      <c r="B133" s="573">
        <f>IF(VIN_nom&gt;Vout, Buck_CS_threshold/Rs+Iripple_Vinnom/2, IF(VIN_nom&lt;VIN_edgebuckboost, Boost_CS_Threshold/Rs, Buck_CS_threshold/Rs))</f>
        <v>40</v>
      </c>
      <c r="C133" t="s">
        <v>2</v>
      </c>
      <c r="D133" t="str">
        <f>IF(VIN_nom&gt;Vout,"BUCK",IF(VIN_nom&lt;VIN_edgebuckboost,"BOOST","BUCK-BOOST"))</f>
        <v>BOOST</v>
      </c>
      <c r="H133">
        <f>SQRT(1-Don_Vinnom_2)*SQRT(Iout_OCP_Vinnom^2+(Iripple_Vinnom^2)/12)</f>
        <v>4.5191952264082973</v>
      </c>
      <c r="I133" s="57"/>
      <c r="K133" s="48">
        <f>IF(VIN_nom&gt;Vout, SQRT(1-Don_Vinnom_2)*SQRT(Iout_OCP_Vinnom^2+(Iripple_Vinnom^2)/12), SQRT(Don_Vinnom_2)*SQRT(Iin_Vinnom^2+(Iripple_Vinnom^2)/12))</f>
        <v>38.72703132478437</v>
      </c>
      <c r="L133" s="2" t="s">
        <v>2</v>
      </c>
      <c r="M133" s="4">
        <f>K133^2*Rs</f>
        <v>4.4993488656924896</v>
      </c>
      <c r="N133" s="2" t="s">
        <v>120</v>
      </c>
    </row>
    <row r="134" spans="1:14" x14ac:dyDescent="0.3">
      <c r="A134" s="223" t="s">
        <v>600</v>
      </c>
      <c r="B134" s="573">
        <f>IF(VIN_max&gt;Vout, Buck_CS_threshold/Rs+Iripple_Vinmax/2, Boost_CS_Threshold/Rs)</f>
        <v>40</v>
      </c>
      <c r="C134" t="s">
        <v>2</v>
      </c>
      <c r="D134" t="str">
        <f>IF(VIN_max&gt;Vout, "BUCK", "BOOST")</f>
        <v>BOOST</v>
      </c>
      <c r="H134">
        <f>SQRT(1-Don_Vinmax_2)*SQRT(Iout_OCP_Vinmax^2+(Iripple_Vinmax^2)/12)</f>
        <v>9.8469277515024114</v>
      </c>
      <c r="I134" s="57"/>
      <c r="K134" s="48">
        <f>IF(VIN_max&gt;Vout, SQRT(1-Don_Vinmax_2)*SQRT(Iout_OCP_Vinmax^2+(Iripple_Vinmax^2)/12), SQRT(Don_Vinmax_2)*SQRT(Iin_Vinmax^2+(Iripple_Vinmax^2)/12))</f>
        <v>20.49408955045763</v>
      </c>
      <c r="L134" s="525" t="s">
        <v>2</v>
      </c>
      <c r="M134" s="4">
        <f>K134^2*Rs</f>
        <v>1.2600231195065299</v>
      </c>
      <c r="N134" s="2" t="s">
        <v>120</v>
      </c>
    </row>
    <row r="135" spans="1:14" x14ac:dyDescent="0.3">
      <c r="A135" s="223" t="s">
        <v>939</v>
      </c>
      <c r="B135" s="574">
        <f>MAX(B132:B134)</f>
        <v>40</v>
      </c>
      <c r="C135" s="118" t="s">
        <v>2</v>
      </c>
      <c r="I135" s="57"/>
      <c r="K135" s="622" t="s">
        <v>959</v>
      </c>
      <c r="L135" s="525"/>
      <c r="M135" s="4"/>
      <c r="N135" s="2"/>
    </row>
    <row r="136" spans="1:14" x14ac:dyDescent="0.3">
      <c r="A136" s="223"/>
      <c r="B136" s="526"/>
      <c r="C136"/>
      <c r="I136" s="57"/>
    </row>
    <row r="137" spans="1:14" x14ac:dyDescent="0.3">
      <c r="A137" s="223" t="s">
        <v>659</v>
      </c>
      <c r="B137" s="574">
        <f>MAX(B132:B134)</f>
        <v>40</v>
      </c>
      <c r="C137" t="s">
        <v>2</v>
      </c>
      <c r="E137" t="s">
        <v>660</v>
      </c>
      <c r="I137" s="57"/>
    </row>
    <row r="138" spans="1:14" x14ac:dyDescent="0.3">
      <c r="A138" s="223"/>
      <c r="B138" s="4"/>
      <c r="C138" s="118"/>
      <c r="I138" s="57"/>
    </row>
    <row r="139" spans="1:14" x14ac:dyDescent="0.3">
      <c r="A139" s="223" t="s">
        <v>436</v>
      </c>
      <c r="B139" s="328">
        <f>Lf/Rs*0.4*10^6</f>
        <v>439.99999999999994</v>
      </c>
      <c r="C139" s="118" t="s">
        <v>32</v>
      </c>
      <c r="E139" s="621" t="s">
        <v>947</v>
      </c>
      <c r="I139" s="57"/>
    </row>
    <row r="140" spans="1:14" x14ac:dyDescent="0.3">
      <c r="A140" s="223" t="s">
        <v>439</v>
      </c>
      <c r="B140" s="331">
        <f>'Standard Value Calculator'!O14</f>
        <v>470.00000000000006</v>
      </c>
      <c r="C140" s="118" t="s">
        <v>32</v>
      </c>
      <c r="E140" s="118" t="s">
        <v>743</v>
      </c>
      <c r="I140" s="57"/>
    </row>
    <row r="141" spans="1:14" x14ac:dyDescent="0.3">
      <c r="A141" s="223" t="s">
        <v>440</v>
      </c>
      <c r="B141" s="334">
        <f>'Design Converter'!E32</f>
        <v>470</v>
      </c>
      <c r="C141" s="118" t="s">
        <v>32</v>
      </c>
      <c r="E141" s="118" t="s">
        <v>815</v>
      </c>
      <c r="I141" s="57"/>
    </row>
    <row r="142" spans="1:14" x14ac:dyDescent="0.3">
      <c r="A142" s="223"/>
      <c r="B142" s="225"/>
      <c r="C142" s="118"/>
      <c r="E142" s="118"/>
      <c r="I142" s="57"/>
    </row>
    <row r="143" spans="1:14" x14ac:dyDescent="0.3">
      <c r="A143" s="223" t="s">
        <v>445</v>
      </c>
      <c r="B143" s="443">
        <v>3.9999999999999998E-6</v>
      </c>
      <c r="C143" s="118" t="s">
        <v>2</v>
      </c>
      <c r="E143" s="118"/>
      <c r="I143" s="57"/>
    </row>
    <row r="144" spans="1:14" x14ac:dyDescent="0.3">
      <c r="A144" s="223"/>
      <c r="B144" s="4"/>
      <c r="C144" s="225"/>
      <c r="D144" s="118"/>
      <c r="G144" s="458">
        <f>Islope_fixed/(Cslope*10^-12)</f>
        <v>8510.6382978723395</v>
      </c>
      <c r="I144" s="57"/>
    </row>
    <row r="145" spans="1:14" x14ac:dyDescent="0.3">
      <c r="A145" s="223" t="s">
        <v>446</v>
      </c>
      <c r="B145" s="332">
        <f>(ABS((VIN_min-Vout))*2*10^-6 + Islope_fixed)/(Cslope*10^-12)</f>
        <v>191489.36170212764</v>
      </c>
      <c r="C145" s="118" t="s">
        <v>441</v>
      </c>
      <c r="E145" t="s">
        <v>442</v>
      </c>
      <c r="I145" s="57"/>
    </row>
    <row r="146" spans="1:14" x14ac:dyDescent="0.3">
      <c r="A146" s="223" t="s">
        <v>446</v>
      </c>
      <c r="B146" s="332">
        <f>(ABS((VIN_nom-Vout))*2*10^-6 + Islope_fixed)/(Cslope*10^-12)</f>
        <v>161702.12765957447</v>
      </c>
      <c r="C146" s="118" t="s">
        <v>441</v>
      </c>
      <c r="E146" s="118" t="s">
        <v>443</v>
      </c>
      <c r="I146" s="57"/>
    </row>
    <row r="147" spans="1:14" x14ac:dyDescent="0.3">
      <c r="A147" s="223" t="s">
        <v>446</v>
      </c>
      <c r="B147" s="332">
        <f>(ABS((VIN_max-Vout))*2*10^-6 + Islope_fixed)/(Cslope*10^-12)</f>
        <v>127659.57446808511</v>
      </c>
      <c r="C147" s="118" t="s">
        <v>441</v>
      </c>
      <c r="E147" s="118" t="s">
        <v>444</v>
      </c>
      <c r="I147" s="57"/>
    </row>
    <row r="148" spans="1:14" x14ac:dyDescent="0.3">
      <c r="C148"/>
      <c r="I148" s="57"/>
      <c r="K148" s="2" t="s">
        <v>447</v>
      </c>
      <c r="L148" s="2" t="s">
        <v>448</v>
      </c>
    </row>
    <row r="149" spans="1:14" x14ac:dyDescent="0.3">
      <c r="A149" s="223" t="s">
        <v>460</v>
      </c>
      <c r="B149" s="575">
        <f>IF(D149="BUCK", K149,L149)</f>
        <v>0.29282093388547764</v>
      </c>
      <c r="C149" s="118" t="s">
        <v>0</v>
      </c>
      <c r="D149" t="str">
        <f>IF(VIN_min&gt;Vout, "BUCK", "BOOST")</f>
        <v>BOOST</v>
      </c>
      <c r="E149" t="s">
        <v>442</v>
      </c>
      <c r="I149" s="57"/>
      <c r="K149" s="335">
        <f>B145*(1-Don_Vinmin_2)/Fsw</f>
        <v>2.6328002284735086E-2</v>
      </c>
      <c r="L149" s="335">
        <f>B145*Don_Vinmin_2/Fsw</f>
        <v>0.29282093388547764</v>
      </c>
      <c r="N149" t="str">
        <f>IF(VIN_min&gt;Vout, "BUCK", "BOOST")</f>
        <v>BOOST</v>
      </c>
    </row>
    <row r="150" spans="1:14" x14ac:dyDescent="0.3">
      <c r="A150" s="223" t="s">
        <v>461</v>
      </c>
      <c r="B150" s="575">
        <f>IF(D150="BUCK", K150,L150)</f>
        <v>0.20444233719881205</v>
      </c>
      <c r="C150" s="118" t="s">
        <v>0</v>
      </c>
      <c r="D150" t="str">
        <f>IF(VIN_nom&gt;Vout,"BUCK",IF(VIN_nom&lt;VIN_edgebuckboost,"BOOST","BUCK-BOOST"))</f>
        <v>BOOST</v>
      </c>
      <c r="E150" s="118" t="s">
        <v>443</v>
      </c>
      <c r="I150" s="57"/>
      <c r="K150" s="335">
        <f>B146*(1-Don_Vinnom_2)/Fsw</f>
        <v>6.5061208900478743E-2</v>
      </c>
      <c r="L150" s="335">
        <f>B146*Don_Vinnom_2/Fsw</f>
        <v>0.20444233719881205</v>
      </c>
      <c r="N150" t="str">
        <f>IF(VIN_nom&gt;Vout, "BUCK", "BOOST")</f>
        <v>BOOST</v>
      </c>
    </row>
    <row r="151" spans="1:14" x14ac:dyDescent="0.3">
      <c r="A151" s="223" t="s">
        <v>462</v>
      </c>
      <c r="B151" s="575">
        <f>IF(D151="BUCK", K151,L151)</f>
        <v>0.12514948081317562</v>
      </c>
      <c r="C151" s="118" t="s">
        <v>0</v>
      </c>
      <c r="D151" t="str">
        <f>IF(VIN_max&gt;Vout, "BUCK", "BOOST")</f>
        <v>BOOST</v>
      </c>
      <c r="E151" s="118" t="s">
        <v>444</v>
      </c>
      <c r="I151" s="57"/>
      <c r="K151" s="335">
        <f>B147*(1-Don_Vinmax_2)/Fsw</f>
        <v>8.7616476633632895E-2</v>
      </c>
      <c r="L151" s="335">
        <f>B147*Don_Vinmax_2/Fsw</f>
        <v>0.12514948081317562</v>
      </c>
      <c r="N151" t="str">
        <f>IF(VIN_max&gt;Vout, "BUCK", "BOOST")</f>
        <v>BOOST</v>
      </c>
    </row>
    <row r="152" spans="1:14" x14ac:dyDescent="0.3">
      <c r="A152" s="223"/>
      <c r="C152" s="225"/>
      <c r="E152" s="118"/>
      <c r="I152" s="57"/>
    </row>
    <row r="153" spans="1:14" x14ac:dyDescent="0.3">
      <c r="A153" s="56"/>
      <c r="D153" s="225"/>
      <c r="E153" s="118"/>
      <c r="I153" s="57"/>
    </row>
    <row r="154" spans="1:14" x14ac:dyDescent="0.3">
      <c r="A154" s="223" t="s">
        <v>451</v>
      </c>
      <c r="B154" s="424">
        <f>'Design Converter'!E36</f>
        <v>20</v>
      </c>
      <c r="C154" s="118" t="s">
        <v>2</v>
      </c>
      <c r="D154" s="225"/>
      <c r="E154" s="118"/>
      <c r="I154" s="57"/>
    </row>
    <row r="155" spans="1:14" x14ac:dyDescent="0.3">
      <c r="A155" s="223" t="s">
        <v>452</v>
      </c>
      <c r="B155" s="336">
        <v>50</v>
      </c>
      <c r="C155" s="118" t="s">
        <v>381</v>
      </c>
      <c r="E155" s="621" t="s">
        <v>950</v>
      </c>
      <c r="I155" s="57"/>
    </row>
    <row r="156" spans="1:14" ht="12.9" x14ac:dyDescent="0.35">
      <c r="A156" s="223" t="s">
        <v>453</v>
      </c>
      <c r="B156" s="332">
        <f>IF(Constant_Current_Loop_Setpoint="N/A", 0, Iout_threshold/Constant_Current_Loop_Setpoint)</f>
        <v>2.5</v>
      </c>
      <c r="C156" s="45" t="s">
        <v>437</v>
      </c>
      <c r="I156" s="57"/>
    </row>
    <row r="157" spans="1:14" ht="12.9" thickBot="1" x14ac:dyDescent="0.35">
      <c r="A157" s="60"/>
      <c r="B157" s="61"/>
      <c r="C157" s="61"/>
      <c r="D157" s="61"/>
      <c r="E157" s="122"/>
      <c r="F157" s="61"/>
      <c r="G157" s="61"/>
      <c r="H157" s="61"/>
      <c r="I157" s="62"/>
    </row>
    <row r="159" spans="1:14" ht="15.9" thickBot="1" x14ac:dyDescent="0.45">
      <c r="A159" s="596" t="s">
        <v>170</v>
      </c>
      <c r="D159" s="2"/>
    </row>
    <row r="160" spans="1:14" x14ac:dyDescent="0.3">
      <c r="A160" s="222" t="s">
        <v>457</v>
      </c>
      <c r="B160" s="339">
        <f>IF(D160="BUCK", Iripple_Vinmin/SQRT(12), Iout*SQRT((Vout-VIN_min)/VIN_min))</f>
        <v>29.32575659723036</v>
      </c>
      <c r="C160" s="338" t="s">
        <v>2</v>
      </c>
      <c r="D160" s="311" t="str">
        <f>IF(VIN_min&gt;Vout, "BUCK", "BOOST")</f>
        <v>BOOST</v>
      </c>
      <c r="E160" s="121" t="s">
        <v>456</v>
      </c>
      <c r="F160" s="63"/>
      <c r="G160" s="63"/>
      <c r="H160" s="63"/>
      <c r="I160" s="64"/>
      <c r="L160" s="4"/>
    </row>
    <row r="161" spans="1:12" x14ac:dyDescent="0.3">
      <c r="A161" s="223" t="s">
        <v>458</v>
      </c>
      <c r="B161" s="337">
        <f>IF(D161="BUCK", Iripple_Vinnom/SQRT(12), Iout*SQRT((Vout-VIN_nom)/VIN_nom))</f>
        <v>17.320508075688771</v>
      </c>
      <c r="C161" s="118" t="s">
        <v>2</v>
      </c>
      <c r="D161" t="str">
        <f>IF(VIN_nom&gt;Vout,"BUCK",IF(VIN_nom&lt;VIN_edgebuckboost,"BOOST","BUCK-BOOST"))</f>
        <v>BOOST</v>
      </c>
      <c r="E161" s="118"/>
      <c r="I161" s="57"/>
      <c r="L161" s="4"/>
    </row>
    <row r="162" spans="1:12" x14ac:dyDescent="0.3">
      <c r="A162" s="223" t="s">
        <v>459</v>
      </c>
      <c r="B162" s="337">
        <f>IF(D162="BUCK", Iripple_Vinmax/SQRT(12), Iout*SQRT((Vout-VIN_max)/VIN_max))</f>
        <v>11.832159566199232</v>
      </c>
      <c r="C162" s="118" t="s">
        <v>2</v>
      </c>
      <c r="D162" t="str">
        <f>IF(VIN_max&gt;Vout, "BUCK", "BOOST")</f>
        <v>BOOST</v>
      </c>
      <c r="E162" s="118"/>
      <c r="I162" s="57"/>
      <c r="L162" s="4"/>
    </row>
    <row r="163" spans="1:12" x14ac:dyDescent="0.3">
      <c r="A163" s="223" t="s">
        <v>838</v>
      </c>
      <c r="B163" s="337">
        <f>MAX(B160:B162)</f>
        <v>29.32575659723036</v>
      </c>
      <c r="C163" s="118" t="s">
        <v>2</v>
      </c>
      <c r="E163" s="118"/>
      <c r="I163" s="57"/>
      <c r="L163" s="4"/>
    </row>
    <row r="164" spans="1:12" x14ac:dyDescent="0.3">
      <c r="A164" s="223"/>
      <c r="B164" s="48"/>
      <c r="C164" s="118"/>
      <c r="E164" s="118"/>
      <c r="I164" s="57"/>
      <c r="L164" s="4"/>
    </row>
    <row r="165" spans="1:12" x14ac:dyDescent="0.3">
      <c r="A165" s="223" t="s">
        <v>574</v>
      </c>
      <c r="B165" s="447">
        <f>Vripple1*1000</f>
        <v>50</v>
      </c>
      <c r="C165" s="118" t="s">
        <v>381</v>
      </c>
      <c r="E165" s="118" t="s">
        <v>604</v>
      </c>
      <c r="I165" s="57"/>
      <c r="L165" s="4"/>
    </row>
    <row r="166" spans="1:12" x14ac:dyDescent="0.3">
      <c r="A166" s="56"/>
      <c r="B166" s="118"/>
      <c r="E166" s="118"/>
      <c r="I166" s="57"/>
    </row>
    <row r="167" spans="1:12" x14ac:dyDescent="0.3">
      <c r="A167" s="66" t="s">
        <v>24</v>
      </c>
      <c r="B167" s="459">
        <f>IF(VIN_min&gt;Vout, Iripple_Vinmin/(Fsw*8*Vripple1), Iout*Don_Vinmin_2/(Vripple1*Fsw))</f>
        <v>3.0583519761372114E-4</v>
      </c>
      <c r="C167" t="s">
        <v>26</v>
      </c>
      <c r="E167" t="s">
        <v>23</v>
      </c>
      <c r="H167">
        <f>Vripple2</f>
        <v>4.5486266467810101E-2</v>
      </c>
      <c r="I167" s="57">
        <v>1</v>
      </c>
      <c r="K167" s="1">
        <f>Coutmin</f>
        <v>3.0583519761372114E-4</v>
      </c>
    </row>
    <row r="168" spans="1:12" x14ac:dyDescent="0.3">
      <c r="A168" s="223" t="s">
        <v>845</v>
      </c>
      <c r="B168" s="521">
        <f>IF(Coutmin*1000000&lt;22, 22,Coutmin*1000000)</f>
        <v>305.83519761372116</v>
      </c>
      <c r="C168" s="42" t="s">
        <v>25</v>
      </c>
      <c r="I168" s="57"/>
      <c r="K168" s="1">
        <f>Coutmin*1000000</f>
        <v>305.83519761372116</v>
      </c>
    </row>
    <row r="169" spans="1:12" x14ac:dyDescent="0.3">
      <c r="A169" s="223" t="s">
        <v>27</v>
      </c>
      <c r="B169" s="460">
        <f>'Design Converter'!E42/1000000</f>
        <v>5.9999999999999995E-4</v>
      </c>
      <c r="C169" t="s">
        <v>26</v>
      </c>
      <c r="E169" s="118" t="s">
        <v>463</v>
      </c>
      <c r="I169" s="57">
        <v>1</v>
      </c>
    </row>
    <row r="170" spans="1:12" x14ac:dyDescent="0.3">
      <c r="A170" s="66" t="s">
        <v>52</v>
      </c>
      <c r="B170" s="522">
        <f>IF(VIN_min&gt;Vout, SQRT((Vripple1/Iripple_Vinmin)^2-(1/(Fsw*Cout*8))^2), (Vripple1-Iout*Don_Vinmin_2/(Fsw*Cout))/Iout)</f>
        <v>2.4513733532189903E-3</v>
      </c>
      <c r="C170" s="225" t="s">
        <v>120</v>
      </c>
      <c r="E170" s="118" t="s">
        <v>301</v>
      </c>
      <c r="I170" s="57">
        <v>1</v>
      </c>
    </row>
    <row r="171" spans="1:12" x14ac:dyDescent="0.3">
      <c r="A171" s="2"/>
      <c r="B171" s="578"/>
      <c r="C171" s="225"/>
      <c r="E171" s="118"/>
      <c r="I171" s="57"/>
    </row>
    <row r="172" spans="1:12" ht="12.9" x14ac:dyDescent="0.35">
      <c r="A172" s="519" t="s">
        <v>725</v>
      </c>
      <c r="B172" s="520">
        <f>IF(OR(CoutEsrMax&gt;0.3, CoutEsrMax&lt;0, (ISERROR(CoutEsrMax))), "N/A", CoutEsrMax*1000)</f>
        <v>2.4513733532189903</v>
      </c>
      <c r="C172" s="45" t="s">
        <v>437</v>
      </c>
      <c r="E172" s="118"/>
      <c r="I172" s="57"/>
    </row>
    <row r="173" spans="1:12" x14ac:dyDescent="0.3">
      <c r="A173" s="223" t="s">
        <v>168</v>
      </c>
      <c r="B173" s="448">
        <f>'Design Converter'!E44/1000</f>
        <v>2E-3</v>
      </c>
      <c r="C173" s="225" t="s">
        <v>120</v>
      </c>
      <c r="E173" s="118" t="s">
        <v>302</v>
      </c>
      <c r="I173" s="57">
        <v>1</v>
      </c>
      <c r="K173" t="b">
        <f>ISERROR(CoutEsrMax)</f>
        <v>0</v>
      </c>
      <c r="L173" t="b">
        <f>ISERROR(B172)</f>
        <v>0</v>
      </c>
    </row>
    <row r="174" spans="1:12" ht="12.9" thickBot="1" x14ac:dyDescent="0.35">
      <c r="A174" s="411" t="s">
        <v>230</v>
      </c>
      <c r="B174" s="449">
        <f>IF(VIN_min&gt;Vout, Iripple_Vinmax*SQRT(CoutEsr^2+(1/(8*Fsw*Cout))^2), CoutEsr*Iout+Iout*Don_Vinmin_2/(Fsw*Cout))</f>
        <v>4.5486266467810101E-2</v>
      </c>
      <c r="C174" s="109" t="s">
        <v>42</v>
      </c>
      <c r="D174" s="61"/>
      <c r="E174" s="61"/>
      <c r="F174" s="61"/>
      <c r="G174" s="61"/>
      <c r="H174" s="61"/>
      <c r="I174" s="62"/>
      <c r="L174" t="b">
        <f>OR(CoutEsrMax&gt;0.3,CoutEsrMax&lt;0)</f>
        <v>0</v>
      </c>
    </row>
    <row r="175" spans="1:12" x14ac:dyDescent="0.3">
      <c r="K175" t="b">
        <f>OR(TRUE, FALSE, TRUE)</f>
        <v>1</v>
      </c>
    </row>
    <row r="176" spans="1:12" ht="15.9" thickBot="1" x14ac:dyDescent="0.45">
      <c r="A176" s="596" t="s">
        <v>171</v>
      </c>
    </row>
    <row r="177" spans="1:11" ht="15.45" x14ac:dyDescent="0.4">
      <c r="A177" s="99"/>
      <c r="B177" s="100"/>
      <c r="C177" s="342"/>
      <c r="D177" s="100"/>
      <c r="E177" s="100"/>
      <c r="F177" s="100"/>
      <c r="G177" s="100"/>
      <c r="H177" s="100"/>
      <c r="I177" s="101"/>
    </row>
    <row r="178" spans="1:11" x14ac:dyDescent="0.3">
      <c r="A178" s="223" t="s">
        <v>835</v>
      </c>
      <c r="B178" s="116">
        <f>IF(D178="BUCK", Iout*SQRT(Don_Vinmin_2*(1-Don_Vinmax_2)), Iripple_Vinmin/SQRT(12))</f>
        <v>0.66884103662857708</v>
      </c>
      <c r="C178" s="97" t="s">
        <v>2</v>
      </c>
      <c r="D178" t="str">
        <f>IF(VIN_min&gt;Vout, "BUCK", "BOOST")</f>
        <v>BOOST</v>
      </c>
      <c r="F178" s="430">
        <f>Iripple_Vinmin/SQRT(12)</f>
        <v>0.66884103662857708</v>
      </c>
      <c r="G178" s="386">
        <f>Iout*SQRT(Don_Vinmax_2*(1-Don_Vinmax_2))</f>
        <v>4.9215882440616632</v>
      </c>
      <c r="H178" s="120">
        <f>Iout*0.25</f>
        <v>2.5</v>
      </c>
      <c r="I178" s="103"/>
    </row>
    <row r="179" spans="1:11" x14ac:dyDescent="0.3">
      <c r="A179" s="223" t="s">
        <v>836</v>
      </c>
      <c r="B179" s="116">
        <f>IF(D179="BUCK", Iout*SQRT(Don_Vinnom_2*(1-Don_Vinnom_2)), Iripple_Vinnom/SQRT(12))</f>
        <v>1.3271859821837437</v>
      </c>
      <c r="C179" s="97" t="s">
        <v>2</v>
      </c>
      <c r="D179" t="str">
        <f>IF(VIN_nom&gt;Vout,"BUCK",IF(VIN_nom&lt;VIN_edgebuckboost,"BOOST","BUCK-BOOST"))</f>
        <v>BOOST</v>
      </c>
      <c r="F179" s="430"/>
      <c r="G179" s="386"/>
      <c r="I179" s="103"/>
    </row>
    <row r="180" spans="1:11" x14ac:dyDescent="0.3">
      <c r="A180" s="223" t="s">
        <v>837</v>
      </c>
      <c r="B180" s="116">
        <f>IF(D180="BUCK", Iout*SQRT(Don_Vinmax_2*(1-Don_Vinmax_2)), Iripple_Vinmax/SQRT(12))</f>
        <v>1.7151459911677558</v>
      </c>
      <c r="C180" s="97" t="s">
        <v>2</v>
      </c>
      <c r="D180" t="str">
        <f>IF(VIN_max&gt;Vout, "BUCK", "BOOST")</f>
        <v>BOOST</v>
      </c>
      <c r="F180" s="430"/>
      <c r="G180" s="386"/>
      <c r="I180" s="103"/>
    </row>
    <row r="181" spans="1:11" x14ac:dyDescent="0.3">
      <c r="A181" s="223" t="s">
        <v>843</v>
      </c>
      <c r="B181" s="116">
        <f>MAX(B178:B180)</f>
        <v>1.7151459911677558</v>
      </c>
      <c r="C181" s="42" t="s">
        <v>2</v>
      </c>
      <c r="D181" s="118" t="s">
        <v>885</v>
      </c>
      <c r="F181" s="430"/>
      <c r="G181" s="386"/>
      <c r="I181" s="103"/>
    </row>
    <row r="182" spans="1:11" x14ac:dyDescent="0.3">
      <c r="A182" s="118"/>
      <c r="B182" s="579"/>
      <c r="C182" s="97"/>
      <c r="F182" s="430"/>
      <c r="G182" s="386"/>
      <c r="I182" s="103"/>
    </row>
    <row r="183" spans="1:11" x14ac:dyDescent="0.3">
      <c r="A183" s="102" t="s">
        <v>273</v>
      </c>
      <c r="B183" s="343">
        <f>'Design Converter'!E49/1000</f>
        <v>0.2</v>
      </c>
      <c r="C183" t="s">
        <v>42</v>
      </c>
      <c r="D183" s="118" t="s">
        <v>844</v>
      </c>
      <c r="I183" s="103"/>
    </row>
    <row r="184" spans="1:11" x14ac:dyDescent="0.3">
      <c r="A184" s="118"/>
      <c r="B184" s="579"/>
      <c r="C184" s="97"/>
      <c r="F184" s="430"/>
      <c r="G184" s="386"/>
      <c r="I184" s="103"/>
    </row>
    <row r="185" spans="1:11" x14ac:dyDescent="0.3">
      <c r="A185" s="519" t="s">
        <v>871</v>
      </c>
      <c r="B185" s="593">
        <f>IF(VIN_max&gt;Vout, Iout*Don_Vinmax_2*(1-Don_Vinmax_2)/(Vinripple1*Fsw), Iripple_Vinmax/(Fsw*8*Vinripple1))</f>
        <v>6.1889999981263203E-6</v>
      </c>
      <c r="C185" s="97" t="s">
        <v>26</v>
      </c>
      <c r="D185" s="118" t="s">
        <v>879</v>
      </c>
      <c r="I185" s="103"/>
      <c r="K185" s="8">
        <f>Iripple_Vinnom/(Fsw*8*Vinripple1)</f>
        <v>4.7890699004905143E-6</v>
      </c>
    </row>
    <row r="186" spans="1:11" x14ac:dyDescent="0.3">
      <c r="A186" s="519" t="s">
        <v>875</v>
      </c>
      <c r="B186" s="594">
        <f>IF(VIN_max&gt;Vout, Iout*0.5*(1-0.5)/(Vinripple1*Fsw), Iripple_Vinmax/(Fsw*8*Vinripple1))</f>
        <v>6.1889999981263203E-6</v>
      </c>
      <c r="C186" s="97"/>
      <c r="D186" s="118" t="s">
        <v>872</v>
      </c>
      <c r="G186" s="30"/>
      <c r="I186" s="103"/>
      <c r="K186" s="8"/>
    </row>
    <row r="187" spans="1:11" x14ac:dyDescent="0.3">
      <c r="A187" s="519" t="s">
        <v>272</v>
      </c>
      <c r="B187" s="30">
        <f>IF(VIN_max&lt;2*Vout, B185,B186)</f>
        <v>6.1889999981263203E-6</v>
      </c>
      <c r="C187" s="97"/>
      <c r="G187" s="30"/>
      <c r="I187" s="103"/>
      <c r="K187" s="8"/>
    </row>
    <row r="188" spans="1:11" x14ac:dyDescent="0.3">
      <c r="A188" s="519" t="s">
        <v>724</v>
      </c>
      <c r="B188" s="521">
        <f>IF(Cinmin*1000000&lt;10, 10,Cinmin*1000000)</f>
        <v>10</v>
      </c>
      <c r="C188" s="42" t="s">
        <v>25</v>
      </c>
      <c r="D188" s="118" t="s">
        <v>885</v>
      </c>
      <c r="I188" s="103"/>
    </row>
    <row r="189" spans="1:11" x14ac:dyDescent="0.3">
      <c r="A189" s="104" t="s">
        <v>61</v>
      </c>
      <c r="B189" s="461">
        <f>'Design Converter'!E51/1000000</f>
        <v>1E-4</v>
      </c>
      <c r="C189" s="97" t="s">
        <v>26</v>
      </c>
      <c r="D189" t="s">
        <v>178</v>
      </c>
      <c r="I189" s="103"/>
    </row>
    <row r="190" spans="1:11" x14ac:dyDescent="0.3">
      <c r="A190" s="519" t="s">
        <v>873</v>
      </c>
      <c r="B190" s="329">
        <f>IF(VIN_max&gt;Vout, -(Iout*Don_Vinmax_2*(1-Don_Vinmax_2)/(Cin*Fsw)-Vinripple1)/(Iout+Iripple_Vinmax/2), SQRT((Vinripple1/Iripple_Vinmax)^2-(1/(Fsw*Cin*8))^2))</f>
        <v>3.3597342622788393E-2</v>
      </c>
      <c r="C190" s="225" t="s">
        <v>120</v>
      </c>
      <c r="I190" s="103"/>
    </row>
    <row r="191" spans="1:11" x14ac:dyDescent="0.3">
      <c r="A191" s="519" t="s">
        <v>874</v>
      </c>
      <c r="B191" s="329">
        <f>IF(VIN_max&gt;Vout, -(Iout*0.5*(1-0.5)/(Cin*Fsw)-Vinripple1)/(Iout+Iripple_Vinmax/2), SQRT((Vinripple1/Iripple_Vinmax)^2-(1/(Fsw*Cin*8))^2))</f>
        <v>3.3597342622788393E-2</v>
      </c>
      <c r="C191" s="225" t="s">
        <v>120</v>
      </c>
      <c r="D191" s="118" t="s">
        <v>880</v>
      </c>
      <c r="I191" s="103"/>
    </row>
    <row r="192" spans="1:11" x14ac:dyDescent="0.3">
      <c r="A192" s="519" t="s">
        <v>274</v>
      </c>
      <c r="B192" s="329">
        <f>IF(VIN_max&lt;2*Vout, B190,B191)</f>
        <v>3.3597342622788393E-2</v>
      </c>
      <c r="C192" s="225" t="s">
        <v>120</v>
      </c>
      <c r="I192" s="103"/>
    </row>
    <row r="193" spans="1:11" ht="12.9" x14ac:dyDescent="0.35">
      <c r="A193" s="519" t="s">
        <v>726</v>
      </c>
      <c r="B193" s="577">
        <f>IF(OR(CinEsrMax&gt;0.3, CinEsrMax&lt;0), "N/A",CinEsrMax*1000)</f>
        <v>33.597342622788389</v>
      </c>
      <c r="C193" s="45" t="s">
        <v>437</v>
      </c>
      <c r="D193" t="s">
        <v>885</v>
      </c>
      <c r="I193" s="103"/>
    </row>
    <row r="194" spans="1:11" x14ac:dyDescent="0.3">
      <c r="A194" s="104" t="s">
        <v>90</v>
      </c>
      <c r="B194" s="98">
        <f>'Design Converter'!E53/1000</f>
        <v>2E-3</v>
      </c>
      <c r="C194" s="225" t="s">
        <v>120</v>
      </c>
      <c r="D194" s="118" t="s">
        <v>303</v>
      </c>
      <c r="I194" s="103"/>
    </row>
    <row r="195" spans="1:11" x14ac:dyDescent="0.3">
      <c r="D195" s="118"/>
      <c r="I195" s="103"/>
      <c r="K195" s="335">
        <f>CinEsrMax</f>
        <v>3.3597342622788393E-2</v>
      </c>
    </row>
    <row r="196" spans="1:11" x14ac:dyDescent="0.3">
      <c r="A196" s="519" t="s">
        <v>876</v>
      </c>
      <c r="B196" s="425">
        <f>IF(VIN_max&gt;Vout, Iout*Don_Vinmax_2*(1-Don_Vinmax_2)/(Cin*Fsw)+(Iout +Iripple_Vinmax/2)*RCinEsr, Iripple_Vinmax*SQRT(RCinEsr^2+(1/(8*Fsw*Cin))^2))</f>
        <v>1.7158604865085442E-2</v>
      </c>
      <c r="C196" s="97" t="s">
        <v>42</v>
      </c>
      <c r="I196" s="103"/>
    </row>
    <row r="197" spans="1:11" x14ac:dyDescent="0.3">
      <c r="A197" s="519" t="s">
        <v>877</v>
      </c>
      <c r="B197" s="425">
        <f>IF(VIN_max&gt;Vout, Iout*0.5*(1-0.5)/(Cin*Fsw)+(Iout +Iripple_Vinmax/2)*RCinEsr, Iripple_Vinmax*SQRT(RCinEsr^2+(1/(8*Fsw*Cin))^2))</f>
        <v>1.7158604865085442E-2</v>
      </c>
      <c r="C197" s="97" t="s">
        <v>42</v>
      </c>
      <c r="D197" s="118" t="s">
        <v>878</v>
      </c>
      <c r="I197" s="103"/>
    </row>
    <row r="198" spans="1:11" x14ac:dyDescent="0.3">
      <c r="A198" s="519" t="s">
        <v>275</v>
      </c>
      <c r="B198" s="425">
        <f>IF(VIN_max&lt;2*Vout, B196,B197)</f>
        <v>1.7158604865085442E-2</v>
      </c>
      <c r="C198" s="97" t="s">
        <v>42</v>
      </c>
      <c r="D198" s="118" t="s">
        <v>884</v>
      </c>
      <c r="I198" s="103"/>
    </row>
    <row r="199" spans="1:11" x14ac:dyDescent="0.3">
      <c r="A199" s="104"/>
      <c r="B199" s="595"/>
      <c r="C199" s="97"/>
      <c r="I199" s="103"/>
    </row>
    <row r="200" spans="1:11" ht="12.9" thickBot="1" x14ac:dyDescent="0.35">
      <c r="A200" s="105"/>
      <c r="B200" s="426">
        <f>Iout*Don_Vinmax_2*(1-Don_Vinmax_2)/(Cin*Fsw)</f>
        <v>4.0370051406809951E-2</v>
      </c>
      <c r="C200" s="344" t="s">
        <v>42</v>
      </c>
      <c r="D200" s="106"/>
      <c r="E200" s="107"/>
      <c r="F200" s="107"/>
      <c r="G200" s="107"/>
      <c r="H200" s="107"/>
      <c r="I200" s="108"/>
    </row>
    <row r="202" spans="1:11" ht="15.9" thickBot="1" x14ac:dyDescent="0.45">
      <c r="A202" s="580" t="s">
        <v>883</v>
      </c>
    </row>
    <row r="203" spans="1:11" x14ac:dyDescent="0.3">
      <c r="A203" s="93" t="s">
        <v>181</v>
      </c>
      <c r="B203" s="12">
        <f>'Design Converter'!E58/1000</f>
        <v>0.05</v>
      </c>
      <c r="C203" s="63" t="s">
        <v>163</v>
      </c>
      <c r="D203" s="121" t="s">
        <v>607</v>
      </c>
      <c r="E203" s="63"/>
      <c r="F203" s="63"/>
      <c r="G203" s="63"/>
      <c r="H203" s="63"/>
      <c r="I203" s="64"/>
    </row>
    <row r="204" spans="1:11" x14ac:dyDescent="0.3">
      <c r="A204" s="56" t="s">
        <v>182</v>
      </c>
      <c r="B204" s="68">
        <f>Cout*Vout/Tss</f>
        <v>0.57599999999999996</v>
      </c>
      <c r="C204" t="s">
        <v>2</v>
      </c>
      <c r="D204" s="118" t="s">
        <v>606</v>
      </c>
      <c r="I204" s="57"/>
    </row>
    <row r="205" spans="1:11" x14ac:dyDescent="0.3">
      <c r="A205" s="56" t="s">
        <v>183</v>
      </c>
      <c r="B205" s="462">
        <f>0.000005*Tss/0.8</f>
        <v>3.1250000000000003E-7</v>
      </c>
      <c r="C205" t="s">
        <v>26</v>
      </c>
      <c r="I205" s="57"/>
    </row>
    <row r="206" spans="1:11" ht="12.9" thickBot="1" x14ac:dyDescent="0.35">
      <c r="A206" s="60" t="s">
        <v>197</v>
      </c>
      <c r="B206" s="463">
        <f>'Standard Value Calculator'!B4</f>
        <v>3.3000000000000002E-7</v>
      </c>
      <c r="C206" s="61" t="s">
        <v>26</v>
      </c>
      <c r="D206" s="61"/>
      <c r="E206" s="61"/>
      <c r="F206" s="61"/>
      <c r="G206" s="61"/>
      <c r="H206" s="61"/>
      <c r="I206" s="62"/>
    </row>
    <row r="208" spans="1:11" ht="15.9" thickBot="1" x14ac:dyDescent="0.45">
      <c r="A208" s="580" t="s">
        <v>882</v>
      </c>
    </row>
    <row r="209" spans="1:9" ht="12.75" customHeight="1" x14ac:dyDescent="0.3">
      <c r="A209" s="222"/>
      <c r="B209" s="95"/>
      <c r="C209" s="314"/>
      <c r="D209" s="121"/>
      <c r="E209" s="63"/>
      <c r="F209" s="63"/>
      <c r="G209" s="63"/>
      <c r="H209" s="63"/>
      <c r="I209" s="64"/>
    </row>
    <row r="210" spans="1:9" ht="12.75" customHeight="1" x14ac:dyDescent="0.4">
      <c r="A210" s="223" t="s">
        <v>305</v>
      </c>
      <c r="B210" s="424">
        <f>'Design Converter'!E62</f>
        <v>4.7</v>
      </c>
      <c r="C210" s="118" t="s">
        <v>0</v>
      </c>
      <c r="I210" s="57"/>
    </row>
    <row r="211" spans="1:9" ht="12.75" customHeight="1" x14ac:dyDescent="0.3">
      <c r="A211" s="223"/>
      <c r="B211" s="44"/>
      <c r="C211" s="118"/>
      <c r="I211" s="57"/>
    </row>
    <row r="212" spans="1:9" ht="12.75" customHeight="1" x14ac:dyDescent="0.4">
      <c r="A212" s="223" t="s">
        <v>330</v>
      </c>
      <c r="B212" s="343">
        <f>'Design Converter'!E64</f>
        <v>249</v>
      </c>
      <c r="C212" s="45" t="s">
        <v>309</v>
      </c>
      <c r="E212">
        <f>'Standard Value Calculator'!O16</f>
        <v>249</v>
      </c>
      <c r="F212" s="45" t="s">
        <v>309</v>
      </c>
      <c r="G212" s="44">
        <f>IF(Ruvlo1&lt;0,"N/A",E212)</f>
        <v>249</v>
      </c>
      <c r="H212" s="44" t="str">
        <f>IF(Ruvlo1&lt;0,"N/A",E212&amp;"kΩ")</f>
        <v>249kΩ</v>
      </c>
      <c r="I212" s="57"/>
    </row>
    <row r="213" spans="1:9" ht="12.75" customHeight="1" x14ac:dyDescent="0.4">
      <c r="A213" s="223" t="s">
        <v>331</v>
      </c>
      <c r="B213" s="428">
        <f>Vuvlo_on/((VINuvlo_on-Vuvlo_on)/Ruvlo1+Iuvlo1)</f>
        <v>76.846019579570452</v>
      </c>
      <c r="C213" s="45" t="s">
        <v>309</v>
      </c>
      <c r="E213">
        <f>'Standard Value Calculator'!O17</f>
        <v>76.800000000000011</v>
      </c>
      <c r="F213" s="45" t="s">
        <v>309</v>
      </c>
      <c r="G213" s="44">
        <f>IF(G212="N/A","N/A",E213)</f>
        <v>76.800000000000011</v>
      </c>
      <c r="H213" s="44" t="str">
        <f>IF(H212="N/A","N/A",E213&amp;"kΩ")</f>
        <v>76.8kΩ</v>
      </c>
      <c r="I213" s="57"/>
    </row>
    <row r="214" spans="1:9" ht="12.75" customHeight="1" x14ac:dyDescent="0.35">
      <c r="A214" s="223"/>
      <c r="B214" s="224"/>
      <c r="C214" s="45"/>
      <c r="F214" s="45"/>
      <c r="I214" s="57"/>
    </row>
    <row r="215" spans="1:9" ht="12.75" customHeight="1" x14ac:dyDescent="0.4">
      <c r="A215" s="223" t="s">
        <v>310</v>
      </c>
      <c r="B215" s="224">
        <f>(E212+E213)/E213*Vuvlo_on-Iuvlo1*E212</f>
        <v>4.7023687499999989</v>
      </c>
      <c r="C215" s="45"/>
      <c r="F215" s="45"/>
      <c r="I215" s="57"/>
    </row>
    <row r="216" spans="1:9" ht="12.75" customHeight="1" x14ac:dyDescent="0.4">
      <c r="A216" s="223" t="s">
        <v>311</v>
      </c>
      <c r="B216" s="224">
        <f>(E212+E213)/E213*Vuvlo_off-Iuvlo2*E212</f>
        <v>3.9429187499999987</v>
      </c>
      <c r="C216" s="45"/>
      <c r="F216" s="45"/>
      <c r="I216" s="57"/>
    </row>
    <row r="217" spans="1:9" ht="12.75" customHeight="1" x14ac:dyDescent="0.3">
      <c r="A217" s="223"/>
      <c r="B217" s="44"/>
      <c r="C217"/>
      <c r="I217" s="57"/>
    </row>
    <row r="218" spans="1:9" ht="12.75" customHeight="1" x14ac:dyDescent="0.3">
      <c r="A218" s="223" t="s">
        <v>306</v>
      </c>
      <c r="B218" s="427">
        <v>1.22</v>
      </c>
      <c r="C218" s="118" t="s">
        <v>0</v>
      </c>
      <c r="I218" s="57"/>
    </row>
    <row r="219" spans="1:9" ht="12.75" customHeight="1" x14ac:dyDescent="0.3">
      <c r="A219" s="223" t="s">
        <v>307</v>
      </c>
      <c r="B219" s="427">
        <v>1.22</v>
      </c>
      <c r="C219" s="118" t="s">
        <v>0</v>
      </c>
      <c r="I219" s="57"/>
    </row>
    <row r="220" spans="1:9" ht="12.75" customHeight="1" x14ac:dyDescent="0.3">
      <c r="A220" s="223" t="s">
        <v>378</v>
      </c>
      <c r="B220" s="44">
        <f>B218-B219</f>
        <v>0</v>
      </c>
      <c r="C220" s="118" t="s">
        <v>0</v>
      </c>
      <c r="I220" s="57"/>
    </row>
    <row r="221" spans="1:9" ht="12.75" customHeight="1" x14ac:dyDescent="0.3">
      <c r="A221" s="223" t="s">
        <v>380</v>
      </c>
      <c r="B221" s="44">
        <v>1.9E-3</v>
      </c>
      <c r="C221" s="118" t="s">
        <v>68</v>
      </c>
      <c r="E221" s="621" t="s">
        <v>966</v>
      </c>
      <c r="F221" s="620"/>
      <c r="G221" s="620"/>
      <c r="I221" s="57"/>
    </row>
    <row r="222" spans="1:9" ht="12.75" customHeight="1" x14ac:dyDescent="0.3">
      <c r="A222" s="223" t="s">
        <v>379</v>
      </c>
      <c r="B222" s="44">
        <v>4.9500000000000004E-3</v>
      </c>
      <c r="C222" s="118" t="s">
        <v>68</v>
      </c>
      <c r="E222" s="621" t="s">
        <v>968</v>
      </c>
      <c r="G222" s="621" t="s">
        <v>967</v>
      </c>
      <c r="I222" s="57"/>
    </row>
    <row r="223" spans="1:9" ht="12.75" customHeight="1" x14ac:dyDescent="0.3">
      <c r="A223" s="223" t="s">
        <v>308</v>
      </c>
      <c r="B223" s="44">
        <f>B222-B221</f>
        <v>3.0500000000000006E-3</v>
      </c>
      <c r="C223" s="118" t="s">
        <v>68</v>
      </c>
      <c r="E223" s="621" t="s">
        <v>969</v>
      </c>
      <c r="H223" s="118"/>
      <c r="I223" s="57"/>
    </row>
    <row r="224" spans="1:9" ht="12.75" customHeight="1" x14ac:dyDescent="0.3">
      <c r="B224" s="44"/>
      <c r="C224"/>
      <c r="I224" s="57"/>
    </row>
    <row r="225" spans="1:9" ht="12.75" customHeight="1" x14ac:dyDescent="0.4">
      <c r="A225" s="56" t="s">
        <v>207</v>
      </c>
      <c r="B225" s="44">
        <v>20</v>
      </c>
      <c r="C225" s="45" t="s">
        <v>309</v>
      </c>
      <c r="I225" s="57"/>
    </row>
    <row r="226" spans="1:9" ht="12.75" customHeight="1" x14ac:dyDescent="0.4">
      <c r="A226" s="56" t="s">
        <v>208</v>
      </c>
      <c r="B226" s="44"/>
      <c r="C226" s="225" t="s">
        <v>120</v>
      </c>
      <c r="I226" s="57"/>
    </row>
    <row r="227" spans="1:9" ht="12.75" customHeight="1" x14ac:dyDescent="0.3">
      <c r="A227" s="56" t="s">
        <v>192</v>
      </c>
      <c r="B227" s="44">
        <v>0</v>
      </c>
      <c r="C227" s="225" t="s">
        <v>120</v>
      </c>
      <c r="I227" s="57"/>
    </row>
    <row r="228" spans="1:9" ht="12.75" customHeight="1" x14ac:dyDescent="0.3">
      <c r="A228" s="429" t="s">
        <v>575</v>
      </c>
      <c r="B228" s="44"/>
      <c r="C228" s="225" t="s">
        <v>120</v>
      </c>
      <c r="D228" s="406" t="s">
        <v>455</v>
      </c>
      <c r="E228" s="118" t="s">
        <v>796</v>
      </c>
      <c r="I228" s="57"/>
    </row>
    <row r="229" spans="1:9" ht="12.75" customHeight="1" x14ac:dyDescent="0.3">
      <c r="A229" s="223"/>
      <c r="B229" s="44"/>
      <c r="C229" s="225"/>
      <c r="I229" s="57"/>
    </row>
    <row r="230" spans="1:9" ht="12.75" customHeight="1" x14ac:dyDescent="0.3">
      <c r="A230" s="223" t="s">
        <v>797</v>
      </c>
      <c r="B230" s="424">
        <f>'Design Converter'!E60*1000</f>
        <v>4166</v>
      </c>
      <c r="C230" s="118" t="s">
        <v>10</v>
      </c>
      <c r="I230" s="57"/>
    </row>
    <row r="231" spans="1:9" ht="12.75" customHeight="1" x14ac:dyDescent="0.3">
      <c r="A231" s="223" t="s">
        <v>465</v>
      </c>
      <c r="B231" s="423">
        <f>10*10^-6/Fdither/0.24</f>
        <v>1.0001600256040966E-8</v>
      </c>
      <c r="C231" s="118" t="s">
        <v>26</v>
      </c>
      <c r="I231" s="57"/>
    </row>
    <row r="232" spans="1:9" ht="12.75" customHeight="1" x14ac:dyDescent="0.3">
      <c r="A232" s="223" t="s">
        <v>466</v>
      </c>
      <c r="B232" s="423">
        <f>'Standard Value Calculator'!O19</f>
        <v>1E-8</v>
      </c>
      <c r="C232" s="118" t="s">
        <v>26</v>
      </c>
      <c r="I232" s="57"/>
    </row>
    <row r="233" spans="1:9" ht="12.75" customHeight="1" thickBot="1" x14ac:dyDescent="0.35">
      <c r="A233" s="60"/>
      <c r="B233" s="70"/>
      <c r="C233" s="315"/>
      <c r="D233" s="61"/>
      <c r="E233" s="61"/>
      <c r="F233" s="61"/>
      <c r="G233" s="61"/>
      <c r="H233" s="61"/>
      <c r="I233" s="62"/>
    </row>
    <row r="234" spans="1:9" x14ac:dyDescent="0.3">
      <c r="B234" s="44"/>
      <c r="C234" s="316"/>
    </row>
    <row r="235" spans="1:9" ht="15.9" thickBot="1" x14ac:dyDescent="0.45">
      <c r="A235" s="580" t="s">
        <v>881</v>
      </c>
    </row>
    <row r="236" spans="1:9" x14ac:dyDescent="0.3">
      <c r="A236" s="401" t="s">
        <v>41</v>
      </c>
      <c r="B236" s="402">
        <v>3.1415926500000002</v>
      </c>
      <c r="C236" s="403"/>
      <c r="D236" s="404" t="s">
        <v>523</v>
      </c>
      <c r="E236" s="63"/>
      <c r="F236" s="63"/>
      <c r="G236" s="63"/>
      <c r="H236" s="63"/>
      <c r="I236" s="64"/>
    </row>
    <row r="237" spans="1:9" x14ac:dyDescent="0.3">
      <c r="A237" s="118" t="s">
        <v>539</v>
      </c>
      <c r="B237" s="118">
        <v>5</v>
      </c>
      <c r="C237" s="46"/>
      <c r="D237" s="225"/>
      <c r="I237" s="57"/>
    </row>
    <row r="238" spans="1:9" x14ac:dyDescent="0.3">
      <c r="A238" s="118" t="s">
        <v>511</v>
      </c>
      <c r="B238">
        <f>Rs*CSAmp_gain</f>
        <v>1.4999999999999999E-2</v>
      </c>
      <c r="C238" s="225" t="s">
        <v>120</v>
      </c>
      <c r="D238" s="118" t="s">
        <v>530</v>
      </c>
      <c r="I238" s="57"/>
    </row>
    <row r="239" spans="1:9" x14ac:dyDescent="0.3">
      <c r="A239" s="118" t="s">
        <v>492</v>
      </c>
      <c r="B239" s="118">
        <v>1.2700000000000001E-3</v>
      </c>
      <c r="C239" s="118" t="s">
        <v>70</v>
      </c>
      <c r="D239" s="118" t="s">
        <v>512</v>
      </c>
      <c r="I239" s="57"/>
    </row>
    <row r="240" spans="1:9" x14ac:dyDescent="0.3">
      <c r="A240" s="118"/>
      <c r="B240" s="118"/>
      <c r="C240" s="118"/>
      <c r="D240" s="118"/>
      <c r="I240" s="57"/>
    </row>
    <row r="241" spans="1:9" x14ac:dyDescent="0.3">
      <c r="A241" s="118" t="s">
        <v>537</v>
      </c>
      <c r="B241" s="472">
        <v>1.9999999999999999E-6</v>
      </c>
      <c r="C241" s="118" t="s">
        <v>70</v>
      </c>
      <c r="D241" s="118" t="s">
        <v>538</v>
      </c>
      <c r="I241" s="57"/>
    </row>
    <row r="242" spans="1:9" x14ac:dyDescent="0.3">
      <c r="A242" s="118" t="s">
        <v>551</v>
      </c>
      <c r="B242" s="472">
        <v>3.9999999999999998E-6</v>
      </c>
      <c r="C242" s="118" t="s">
        <v>2</v>
      </c>
      <c r="D242" s="118" t="s">
        <v>562</v>
      </c>
      <c r="I242" s="57"/>
    </row>
    <row r="243" spans="1:9" x14ac:dyDescent="0.3">
      <c r="A243" s="118"/>
      <c r="B243" s="420"/>
      <c r="C243" s="118"/>
      <c r="D243" s="118"/>
      <c r="I243" s="57"/>
    </row>
    <row r="244" spans="1:9" x14ac:dyDescent="0.3">
      <c r="A244" s="118" t="s">
        <v>632</v>
      </c>
      <c r="B244" s="398">
        <f>Isc_const/(Cslope*10^-12)</f>
        <v>8510.6382978723395</v>
      </c>
      <c r="C244" s="118" t="s">
        <v>441</v>
      </c>
      <c r="D244" s="118"/>
      <c r="I244" s="57"/>
    </row>
    <row r="245" spans="1:9" x14ac:dyDescent="0.3">
      <c r="A245" s="118" t="s">
        <v>633</v>
      </c>
      <c r="B245" s="333">
        <f>(ABS((Vin-Vout))*gm_slopecomp)/(Cslope*10^-12)</f>
        <v>153191.48936170212</v>
      </c>
      <c r="C245" s="118" t="s">
        <v>441</v>
      </c>
      <c r="D245" s="118"/>
      <c r="I245" s="57"/>
    </row>
    <row r="246" spans="1:9" x14ac:dyDescent="0.3">
      <c r="A246" s="118" t="s">
        <v>513</v>
      </c>
      <c r="B246" s="407">
        <f>Se_fixed+Se_proportional</f>
        <v>161702.12765957444</v>
      </c>
      <c r="C246" s="408" t="s">
        <v>441</v>
      </c>
      <c r="D246" s="408" t="s">
        <v>640</v>
      </c>
      <c r="E246" s="408"/>
      <c r="I246" s="57"/>
    </row>
    <row r="247" spans="1:9" x14ac:dyDescent="0.3">
      <c r="A247" s="118"/>
      <c r="B247" s="407"/>
      <c r="C247" s="408"/>
      <c r="D247" s="408"/>
      <c r="E247" s="408"/>
      <c r="I247" s="57"/>
    </row>
    <row r="248" spans="1:9" x14ac:dyDescent="0.3">
      <c r="A248" s="118" t="s">
        <v>637</v>
      </c>
      <c r="B248" s="473">
        <f>Se_fixed/Fsw</f>
        <v>1.4184397163120565E-2</v>
      </c>
      <c r="C248" s="408" t="s">
        <v>441</v>
      </c>
      <c r="D248" s="408" t="s">
        <v>647</v>
      </c>
      <c r="E248" s="408"/>
      <c r="I248" s="57"/>
    </row>
    <row r="249" spans="1:9" x14ac:dyDescent="0.3">
      <c r="A249" s="118" t="s">
        <v>638</v>
      </c>
      <c r="B249" s="473">
        <f>Se_proportional/Fsw</f>
        <v>0.25531914893617019</v>
      </c>
      <c r="C249" s="408" t="s">
        <v>441</v>
      </c>
      <c r="D249" s="408" t="s">
        <v>648</v>
      </c>
      <c r="E249" s="408"/>
      <c r="I249" s="57"/>
    </row>
    <row r="250" spans="1:9" x14ac:dyDescent="0.3">
      <c r="A250" s="118" t="s">
        <v>639</v>
      </c>
      <c r="B250" s="473">
        <f>Se/Fsw</f>
        <v>0.26950354609929073</v>
      </c>
      <c r="C250" s="408" t="s">
        <v>441</v>
      </c>
      <c r="D250" s="408" t="s">
        <v>649</v>
      </c>
      <c r="I250" s="57"/>
    </row>
    <row r="251" spans="1:9" x14ac:dyDescent="0.3">
      <c r="A251" s="118" t="s">
        <v>646</v>
      </c>
      <c r="B251" s="473">
        <f>gm_slopecomp/(Cslope*10^-12*Fsw)</f>
        <v>7.0921985815602826E-3</v>
      </c>
      <c r="C251" s="408"/>
      <c r="D251" s="408" t="s">
        <v>650</v>
      </c>
      <c r="I251" s="57"/>
    </row>
    <row r="252" spans="1:9" x14ac:dyDescent="0.3">
      <c r="A252" s="118"/>
      <c r="B252" s="409"/>
      <c r="C252" s="408"/>
      <c r="D252" s="408" t="s">
        <v>651</v>
      </c>
      <c r="I252" s="57"/>
    </row>
    <row r="253" spans="1:9" x14ac:dyDescent="0.3">
      <c r="A253" s="118"/>
      <c r="B253" s="409"/>
      <c r="C253" s="408"/>
      <c r="D253" s="408"/>
      <c r="I253" s="57"/>
    </row>
    <row r="254" spans="1:9" x14ac:dyDescent="0.3">
      <c r="A254" s="118" t="s">
        <v>634</v>
      </c>
      <c r="B254" s="405">
        <f>(ABS((Vin-Vout))*gm_slopecomp+0.000004)/(Cslope*10^-12)/Ri</f>
        <v>10780141.843971632</v>
      </c>
      <c r="C254" s="388" t="s">
        <v>514</v>
      </c>
      <c r="D254" s="388" t="s">
        <v>540</v>
      </c>
      <c r="I254" s="57"/>
    </row>
    <row r="255" spans="1:9" x14ac:dyDescent="0.3">
      <c r="A255" s="118" t="s">
        <v>515</v>
      </c>
      <c r="B255" s="405">
        <f>IF(VIN_nom&gt;Vout, (Vin-Vout)/Lf, Vin/Lf)</f>
        <v>3636363.6363636367</v>
      </c>
      <c r="C255" s="388" t="s">
        <v>514</v>
      </c>
      <c r="D255" s="388" t="s">
        <v>516</v>
      </c>
      <c r="I255" s="57">
        <f>Cslope</f>
        <v>470</v>
      </c>
    </row>
    <row r="256" spans="1:9" x14ac:dyDescent="0.3">
      <c r="A256" s="118" t="s">
        <v>535</v>
      </c>
      <c r="B256" s="405">
        <f>IF(VIN_nom&gt;Vout, Vout/Lf, (Vout-Vin)/Lf)</f>
        <v>10909090.90909091</v>
      </c>
      <c r="C256" s="388" t="s">
        <v>514</v>
      </c>
      <c r="D256" s="388" t="s">
        <v>534</v>
      </c>
      <c r="I256" s="57"/>
    </row>
    <row r="257" spans="1:9" x14ac:dyDescent="0.3">
      <c r="A257" s="118"/>
      <c r="B257" s="405"/>
      <c r="C257" s="388"/>
      <c r="D257" s="388"/>
      <c r="I257" s="57"/>
    </row>
    <row r="258" spans="1:9" x14ac:dyDescent="0.3">
      <c r="A258" s="118" t="s">
        <v>541</v>
      </c>
      <c r="B258" s="416">
        <f>Se/1000</f>
        <v>161.70212765957444</v>
      </c>
      <c r="C258" s="417" t="s">
        <v>589</v>
      </c>
      <c r="D258" s="417" t="s">
        <v>549</v>
      </c>
      <c r="I258" s="57"/>
    </row>
    <row r="259" spans="1:9" x14ac:dyDescent="0.3">
      <c r="A259" s="118" t="s">
        <v>547</v>
      </c>
      <c r="B259" s="416">
        <f>Sn*Ri/1000</f>
        <v>54.545454545454554</v>
      </c>
      <c r="C259" s="417" t="s">
        <v>589</v>
      </c>
      <c r="D259" s="417" t="s">
        <v>550</v>
      </c>
      <c r="I259" s="57"/>
    </row>
    <row r="260" spans="1:9" x14ac:dyDescent="0.3">
      <c r="A260" s="118" t="s">
        <v>548</v>
      </c>
      <c r="B260" s="416">
        <f>Sf*Ri/1000</f>
        <v>163.63636363636365</v>
      </c>
      <c r="C260" s="417" t="s">
        <v>589</v>
      </c>
      <c r="D260" s="417" t="s">
        <v>550</v>
      </c>
      <c r="I260" s="57"/>
    </row>
    <row r="261" spans="1:9" x14ac:dyDescent="0.3">
      <c r="A261" s="118"/>
      <c r="B261" s="416"/>
      <c r="C261" s="417"/>
      <c r="D261" s="417"/>
      <c r="I261" s="57"/>
    </row>
    <row r="262" spans="1:9" x14ac:dyDescent="0.3">
      <c r="A262" s="118" t="s">
        <v>801</v>
      </c>
      <c r="B262" s="542">
        <f>(1-Don_Vinmax_2)/Fsw</f>
        <v>6.8632906696345771E-7</v>
      </c>
      <c r="C262" s="408" t="s">
        <v>800</v>
      </c>
      <c r="D262" s="417"/>
      <c r="I262" s="57"/>
    </row>
    <row r="263" spans="1:9" x14ac:dyDescent="0.3">
      <c r="A263" s="118"/>
      <c r="B263" s="542"/>
      <c r="C263" s="408"/>
      <c r="D263" s="417"/>
      <c r="I263" s="57"/>
    </row>
    <row r="264" spans="1:9" x14ac:dyDescent="0.3">
      <c r="A264" s="118" t="s">
        <v>805</v>
      </c>
      <c r="B264" s="542">
        <f>IF(VIN_min&gt;Vout, (1-Don_Vinmin_2)/Fsw, Don_Vinmin_2/Fsw)</f>
        <v>1.5291759880686057E-6</v>
      </c>
      <c r="C264" s="408" t="s">
        <v>800</v>
      </c>
      <c r="D264" s="417"/>
      <c r="I264" s="57"/>
    </row>
    <row r="265" spans="1:9" x14ac:dyDescent="0.3">
      <c r="A265" s="118"/>
      <c r="B265" s="541"/>
      <c r="C265" s="408"/>
      <c r="D265" s="417"/>
      <c r="I265" s="57"/>
    </row>
    <row r="266" spans="1:9" x14ac:dyDescent="0.3">
      <c r="A266" s="118" t="s">
        <v>803</v>
      </c>
      <c r="B266" s="543">
        <f>1.6+5*Rs*(-Iripple_Vinmax/2)-(gm_slopecomp*(VIN_max-Vout)+Isc_const)/(Cslope*0.000000000001)*Toff_Vinmax</f>
        <v>1.6313734797626391</v>
      </c>
      <c r="C266" s="544" t="s">
        <v>0</v>
      </c>
      <c r="D266" s="544" t="s">
        <v>804</v>
      </c>
      <c r="F266" s="410">
        <f>1.6+5*Rs*(Iripple_Vinmax/2)+(gm_slopecomp*(Vout-VIN_max)+Isc_const)/(Cslope*0.000000000001)*Don_Vinmax_2/Fsw</f>
        <v>1.7697102807996852</v>
      </c>
      <c r="G266" s="388" t="s">
        <v>448</v>
      </c>
      <c r="I266" s="57"/>
    </row>
    <row r="267" spans="1:9" x14ac:dyDescent="0.3">
      <c r="A267" s="118" t="s">
        <v>802</v>
      </c>
      <c r="B267" s="543">
        <f>1.6+5*Rs*(Iin_Vinmin+Iripple_Vinmin/2)+(gm_slopecomp*(Vout-VIN_min)+Isc_const)/(Cslope*0.000000000001)*Ton_Vinmin</f>
        <v>3.5101979337498936</v>
      </c>
      <c r="C267" s="544" t="s">
        <v>0</v>
      </c>
      <c r="D267" s="544" t="s">
        <v>448</v>
      </c>
      <c r="F267" s="410">
        <f>1.6+5*Rs*(-Iripple_Vinmin/2)-(gm_slopecomp*(VIN_min-Vout)+Isc_const)/(Cslope*0.000000000001)*(1-Don_Vinmin_2)/Fsw</f>
        <v>1.606610735550565</v>
      </c>
      <c r="G267" s="388" t="s">
        <v>804</v>
      </c>
      <c r="I267" s="57"/>
    </row>
    <row r="268" spans="1:9" x14ac:dyDescent="0.3">
      <c r="A268" s="118"/>
      <c r="B268" s="416"/>
      <c r="C268" s="417"/>
      <c r="D268" s="417"/>
      <c r="I268" s="57"/>
    </row>
    <row r="269" spans="1:9" x14ac:dyDescent="0.3">
      <c r="A269" s="118"/>
      <c r="B269" s="457">
        <f>IF(VIN_max&gt;Vout, B266,F266)</f>
        <v>1.7697102807996852</v>
      </c>
      <c r="C269" s="417"/>
      <c r="D269" s="417"/>
      <c r="I269" s="57"/>
    </row>
    <row r="270" spans="1:9" x14ac:dyDescent="0.3">
      <c r="A270" s="118"/>
      <c r="B270" s="457">
        <f>IF(VIN_min&lt;Vout, B267,F267)</f>
        <v>3.5101979337498936</v>
      </c>
      <c r="C270" s="417"/>
      <c r="D270" s="417"/>
      <c r="I270" s="57"/>
    </row>
    <row r="271" spans="1:9" x14ac:dyDescent="0.3">
      <c r="A271" s="118"/>
      <c r="B271" s="457"/>
      <c r="C271" s="417"/>
      <c r="D271" s="417"/>
      <c r="I271" s="57"/>
    </row>
    <row r="272" spans="1:9" x14ac:dyDescent="0.3">
      <c r="A272" s="118"/>
      <c r="B272" s="416"/>
      <c r="C272" s="417"/>
      <c r="D272" s="388"/>
      <c r="I272" s="57"/>
    </row>
    <row r="273" spans="1:9" x14ac:dyDescent="0.3">
      <c r="A273" s="118" t="s">
        <v>587</v>
      </c>
      <c r="B273" s="386">
        <f>1+Se_ext/Sf</f>
        <v>1.9881796690307327</v>
      </c>
      <c r="C273"/>
      <c r="D273" s="118" t="s">
        <v>536</v>
      </c>
      <c r="I273" s="57"/>
    </row>
    <row r="274" spans="1:9" x14ac:dyDescent="0.3">
      <c r="A274" s="118" t="s">
        <v>588</v>
      </c>
      <c r="B274" s="410">
        <f>mc_buck*Don_Vinnom_2</f>
        <v>1.5082105753000081</v>
      </c>
      <c r="C274" s="388"/>
      <c r="D274" s="388" t="s">
        <v>533</v>
      </c>
      <c r="I274" s="57"/>
    </row>
    <row r="275" spans="1:9" x14ac:dyDescent="0.3">
      <c r="A275" s="2" t="s">
        <v>579</v>
      </c>
      <c r="B275" s="430">
        <f>1+Se_ext/Sn</f>
        <v>3.9645390070921986</v>
      </c>
      <c r="C275" s="388"/>
      <c r="D275" s="118" t="s">
        <v>645</v>
      </c>
      <c r="I275" s="57"/>
    </row>
    <row r="276" spans="1:9" x14ac:dyDescent="0.3">
      <c r="A276" s="2" t="s">
        <v>580</v>
      </c>
      <c r="B276" s="410">
        <f>mc_boost*(1-Don_Vinnom_2)</f>
        <v>0.9570846256675688</v>
      </c>
      <c r="C276" s="388"/>
      <c r="D276" s="388" t="s">
        <v>590</v>
      </c>
      <c r="I276" s="57"/>
    </row>
    <row r="277" spans="1:9" x14ac:dyDescent="0.3">
      <c r="A277" s="2"/>
      <c r="B277" s="430"/>
      <c r="C277" s="388"/>
      <c r="D277" s="388"/>
      <c r="I277" s="57"/>
    </row>
    <row r="278" spans="1:9" x14ac:dyDescent="0.3">
      <c r="A278" s="2" t="s">
        <v>517</v>
      </c>
      <c r="B278" s="410">
        <f>IF(VIN_nom&gt;Vout, mc_buck, mc_boost)</f>
        <v>3.9645390070921986</v>
      </c>
      <c r="C278" s="388"/>
      <c r="D278" s="388"/>
      <c r="I278" s="57"/>
    </row>
    <row r="279" spans="1:9" x14ac:dyDescent="0.3">
      <c r="A279" s="2" t="s">
        <v>491</v>
      </c>
      <c r="B279" s="457">
        <f>IF(VIN_nom&gt;Vout, k_buck, k_boost)</f>
        <v>0.9570846256675688</v>
      </c>
      <c r="C279" s="388"/>
      <c r="D279" s="388"/>
      <c r="I279" s="57"/>
    </row>
    <row r="280" spans="1:9" x14ac:dyDescent="0.3">
      <c r="A280" s="118" t="s">
        <v>29</v>
      </c>
      <c r="B280" s="386">
        <f>1/Pi/(k-0.5)</f>
        <v>0.69639158412432589</v>
      </c>
      <c r="C280"/>
      <c r="D280" s="118" t="s">
        <v>528</v>
      </c>
      <c r="F280" s="118" t="s">
        <v>543</v>
      </c>
      <c r="I280" s="57"/>
    </row>
    <row r="281" spans="1:9" x14ac:dyDescent="0.3">
      <c r="A281" s="118"/>
      <c r="B281" s="386"/>
      <c r="C281"/>
      <c r="D281" s="118"/>
      <c r="F281" s="118"/>
      <c r="I281" s="57"/>
    </row>
    <row r="282" spans="1:9" x14ac:dyDescent="0.3">
      <c r="A282" s="2" t="s">
        <v>630</v>
      </c>
      <c r="B282" s="445">
        <f>1/((0.5-Don_Vinnom_2)*Ri/(Fsw*Lf)+V_sc_fixed/Vout+K_SL*Don_Vinnom_2)</f>
        <v>269.06567873394283</v>
      </c>
      <c r="C282" s="118"/>
      <c r="D282" s="118"/>
      <c r="E282" s="118"/>
      <c r="I282" s="57"/>
    </row>
    <row r="283" spans="1:9" x14ac:dyDescent="0.3">
      <c r="A283" s="2" t="s">
        <v>652</v>
      </c>
      <c r="B283" s="397">
        <f>0.5*Ri/(Lf*Fsw)*Don_Vinnom_2*(1-Don_Vinnom_2)+K_SL*Don_Vinnom_2^2</f>
        <v>4.7749351478653477E-3</v>
      </c>
      <c r="C283" s="118"/>
      <c r="D283" s="118"/>
      <c r="E283" s="118"/>
      <c r="I283" s="57"/>
    </row>
    <row r="284" spans="1:9" x14ac:dyDescent="0.3">
      <c r="A284" s="2" t="s">
        <v>631</v>
      </c>
      <c r="B284" s="445">
        <f>1+Ro/Rout+Rout*(1-Don_Vinnom_2)^2/Ri*(1/KM+K_1/(1-Don_Vinnom_2))</f>
        <v>2.4381832647839121</v>
      </c>
      <c r="C284" s="118"/>
      <c r="E284" s="118"/>
      <c r="I284" s="57"/>
    </row>
    <row r="285" spans="1:9" x14ac:dyDescent="0.3">
      <c r="A285" s="118"/>
      <c r="B285" s="386"/>
      <c r="C285"/>
      <c r="D285" s="118"/>
      <c r="F285" s="118"/>
      <c r="I285" s="57"/>
    </row>
    <row r="286" spans="1:9" x14ac:dyDescent="0.3">
      <c r="A286" s="388" t="s">
        <v>591</v>
      </c>
      <c r="B286" s="386"/>
      <c r="C286"/>
      <c r="D286" s="118"/>
      <c r="I286" s="57"/>
    </row>
    <row r="287" spans="1:9" x14ac:dyDescent="0.3">
      <c r="A287" s="118" t="s">
        <v>518</v>
      </c>
      <c r="B287" s="400">
        <v>8</v>
      </c>
      <c r="C287" s="118" t="s">
        <v>217</v>
      </c>
      <c r="D287" s="118" t="s">
        <v>644</v>
      </c>
      <c r="I287" s="57"/>
    </row>
    <row r="288" spans="1:9" x14ac:dyDescent="0.3">
      <c r="A288" s="118" t="s">
        <v>519</v>
      </c>
      <c r="B288" s="30">
        <f>gm/(2*Pi*GBW*1000000)</f>
        <v>2.5265847244708825E-11</v>
      </c>
      <c r="C288" s="118" t="s">
        <v>26</v>
      </c>
      <c r="D288" s="118" t="s">
        <v>643</v>
      </c>
      <c r="I288" s="57"/>
    </row>
    <row r="289" spans="1:12" x14ac:dyDescent="0.3">
      <c r="A289" s="118" t="s">
        <v>520</v>
      </c>
      <c r="B289" s="422">
        <v>20000000</v>
      </c>
      <c r="C289" s="225" t="s">
        <v>120</v>
      </c>
      <c r="D289" s="118" t="s">
        <v>642</v>
      </c>
      <c r="I289" s="57"/>
    </row>
    <row r="290" spans="1:12" x14ac:dyDescent="0.3">
      <c r="A290" s="118" t="s">
        <v>945</v>
      </c>
      <c r="B290">
        <f>gm*RoEA</f>
        <v>25400</v>
      </c>
      <c r="C290" s="225"/>
      <c r="D290" s="118"/>
      <c r="I290" s="57"/>
    </row>
    <row r="291" spans="1:12" x14ac:dyDescent="0.3">
      <c r="A291" s="118" t="s">
        <v>946</v>
      </c>
      <c r="B291" s="4">
        <f>20*LOG(B290)</f>
        <v>88.096674332398777</v>
      </c>
      <c r="C291" s="118" t="s">
        <v>944</v>
      </c>
      <c r="D291" s="118"/>
      <c r="I291" s="57"/>
    </row>
    <row r="292" spans="1:12" x14ac:dyDescent="0.3">
      <c r="A292" s="2" t="s">
        <v>521</v>
      </c>
      <c r="B292" s="333">
        <f>gm*RoEA</f>
        <v>25400</v>
      </c>
      <c r="C292" s="118" t="s">
        <v>30</v>
      </c>
      <c r="D292" s="118" t="s">
        <v>641</v>
      </c>
      <c r="I292" s="57"/>
    </row>
    <row r="293" spans="1:12" x14ac:dyDescent="0.3">
      <c r="A293" s="2" t="s">
        <v>522</v>
      </c>
      <c r="B293" s="4">
        <f>Vref/Vout</f>
        <v>1.6666666666666666E-2</v>
      </c>
      <c r="C293" s="118" t="s">
        <v>30</v>
      </c>
      <c r="D293" s="118" t="s">
        <v>636</v>
      </c>
      <c r="I293" s="57"/>
    </row>
    <row r="294" spans="1:12" x14ac:dyDescent="0.3">
      <c r="A294" s="2" t="s">
        <v>476</v>
      </c>
      <c r="B294" s="118">
        <f>1/Ri</f>
        <v>66.666666666666671</v>
      </c>
      <c r="C294" s="118"/>
      <c r="D294" s="118" t="s">
        <v>529</v>
      </c>
      <c r="I294" s="57"/>
      <c r="L294">
        <f>Ri</f>
        <v>1.4999999999999999E-2</v>
      </c>
    </row>
    <row r="295" spans="1:12" x14ac:dyDescent="0.3">
      <c r="A295" s="2" t="s">
        <v>578</v>
      </c>
      <c r="B295" s="48">
        <f>Ro/Ri*1/((1+Ro*(k-0.5)/(Fsw*Lf)))</f>
        <v>151.79661197283164</v>
      </c>
      <c r="C295"/>
      <c r="D295" s="2" t="s">
        <v>635</v>
      </c>
      <c r="I295" s="57"/>
    </row>
    <row r="296" spans="1:12" x14ac:dyDescent="0.3">
      <c r="A296" s="2" t="s">
        <v>581</v>
      </c>
      <c r="B296" s="48">
        <f>Ro*(1-Don_Vinnom_2)/(Ri*KD)</f>
        <v>31.684092824246086</v>
      </c>
      <c r="C296"/>
      <c r="D296" s="388" t="s">
        <v>592</v>
      </c>
      <c r="I296" s="57"/>
    </row>
    <row r="297" spans="1:12" x14ac:dyDescent="0.3">
      <c r="A297" s="2" t="s">
        <v>481</v>
      </c>
      <c r="B297" s="48">
        <f>IF(VIN_nom&gt;Vout, Am_buck, Am_boost)</f>
        <v>31.684092824246086</v>
      </c>
      <c r="C297"/>
      <c r="D297" s="118" t="s">
        <v>653</v>
      </c>
      <c r="I297" s="57"/>
    </row>
    <row r="298" spans="1:12" x14ac:dyDescent="0.3">
      <c r="A298" s="2"/>
      <c r="B298" s="4"/>
      <c r="C298"/>
      <c r="D298" s="388"/>
      <c r="I298" s="57"/>
    </row>
    <row r="299" spans="1:12" x14ac:dyDescent="0.3">
      <c r="A299" s="118" t="s">
        <v>627</v>
      </c>
      <c r="B299" s="4">
        <f>2*Pi*Ri/gm</f>
        <v>74.210849999999994</v>
      </c>
      <c r="C299"/>
      <c r="D299" s="118" t="s">
        <v>654</v>
      </c>
      <c r="I299" s="57"/>
    </row>
    <row r="300" spans="1:12" x14ac:dyDescent="0.3">
      <c r="A300" s="118" t="s">
        <v>628</v>
      </c>
      <c r="B300" s="4">
        <f>2*Pi*Ri/gm</f>
        <v>74.210849999999994</v>
      </c>
      <c r="C300"/>
      <c r="D300" s="118" t="s">
        <v>655</v>
      </c>
      <c r="I300" s="57"/>
    </row>
    <row r="301" spans="1:12" x14ac:dyDescent="0.3">
      <c r="A301" s="388" t="s">
        <v>582</v>
      </c>
      <c r="B301" s="4"/>
      <c r="C301"/>
      <c r="D301" s="118"/>
      <c r="I301" s="57"/>
    </row>
    <row r="302" spans="1:12" x14ac:dyDescent="0.3">
      <c r="A302" s="388"/>
      <c r="B302" s="4"/>
      <c r="C302"/>
      <c r="D302" s="118"/>
      <c r="I302" s="57"/>
    </row>
    <row r="303" spans="1:12" x14ac:dyDescent="0.3">
      <c r="A303" s="223" t="s">
        <v>46</v>
      </c>
      <c r="B303" s="118">
        <f>Rout</f>
        <v>4.8</v>
      </c>
      <c r="C303" s="225" t="s">
        <v>120</v>
      </c>
      <c r="D303" s="118" t="s">
        <v>350</v>
      </c>
      <c r="I303" s="57"/>
    </row>
    <row r="304" spans="1:12" x14ac:dyDescent="0.3">
      <c r="A304" s="118" t="s">
        <v>470</v>
      </c>
      <c r="B304" s="118">
        <f>Rout</f>
        <v>4.8</v>
      </c>
      <c r="C304" s="225" t="s">
        <v>120</v>
      </c>
      <c r="D304" s="118" t="s">
        <v>350</v>
      </c>
      <c r="I304" s="57"/>
    </row>
    <row r="305" spans="1:12" x14ac:dyDescent="0.3">
      <c r="A305" s="118"/>
      <c r="B305" s="118"/>
      <c r="C305" s="225"/>
      <c r="D305" s="118"/>
      <c r="I305" s="57"/>
    </row>
    <row r="306" spans="1:12" x14ac:dyDescent="0.3">
      <c r="A306" s="118" t="s">
        <v>571</v>
      </c>
      <c r="B306" s="415">
        <f>1/(2*Pi*Ro*Cout)+(k-0.5)/(2*Pi*Fsw*Lf*Cout)</f>
        <v>116.49721529448871</v>
      </c>
      <c r="C306" t="s">
        <v>10</v>
      </c>
      <c r="D306" s="118" t="s">
        <v>568</v>
      </c>
      <c r="E306" s="46"/>
      <c r="I306" s="57"/>
    </row>
    <row r="307" spans="1:12" x14ac:dyDescent="0.3">
      <c r="A307" s="118" t="s">
        <v>570</v>
      </c>
      <c r="B307" s="415">
        <f>KD/(2*Pi*Ro*Cout)</f>
        <v>134.7392080547589</v>
      </c>
      <c r="C307" s="118" t="s">
        <v>10</v>
      </c>
      <c r="D307" s="388" t="s">
        <v>569</v>
      </c>
      <c r="I307" s="57"/>
    </row>
    <row r="308" spans="1:12" x14ac:dyDescent="0.3">
      <c r="A308" s="118" t="s">
        <v>619</v>
      </c>
      <c r="B308" s="398">
        <f>IF(VIN_nom&gt;Vout, Fload_u,B307)</f>
        <v>134.7392080547589</v>
      </c>
      <c r="C308" s="118" t="s">
        <v>10</v>
      </c>
      <c r="D308" s="118"/>
      <c r="E308" s="46"/>
      <c r="I308" s="57"/>
    </row>
    <row r="309" spans="1:12" x14ac:dyDescent="0.3">
      <c r="A309" s="118"/>
      <c r="B309" s="398"/>
      <c r="C309"/>
      <c r="D309" s="118"/>
      <c r="E309" s="46"/>
      <c r="I309" s="57"/>
    </row>
    <row r="310" spans="1:12" x14ac:dyDescent="0.3">
      <c r="A310" s="118" t="s">
        <v>531</v>
      </c>
      <c r="B310" s="474">
        <f>1/(2*Pi*(RoEA+Rcea1_u)*Cc1ea_u)</f>
        <v>0.66089524865232363</v>
      </c>
      <c r="C310" t="s">
        <v>10</v>
      </c>
      <c r="D310" s="118" t="s">
        <v>567</v>
      </c>
      <c r="E310" s="46"/>
      <c r="I310" s="57"/>
    </row>
    <row r="311" spans="1:12" x14ac:dyDescent="0.3">
      <c r="A311" s="118" t="s">
        <v>532</v>
      </c>
      <c r="B311" s="415">
        <f>1/(2*Pi*Rcea1_u*(Cc2ea_u+Cbw))</f>
        <v>62713.6417533817</v>
      </c>
      <c r="C311" t="s">
        <v>10</v>
      </c>
      <c r="D311" s="118" t="s">
        <v>544</v>
      </c>
      <c r="E311" s="46"/>
      <c r="I311" s="57"/>
      <c r="K311">
        <f>Fcross</f>
        <v>7000</v>
      </c>
    </row>
    <row r="312" spans="1:12" x14ac:dyDescent="0.3">
      <c r="A312" s="223" t="s">
        <v>28</v>
      </c>
      <c r="B312" s="415">
        <f>1/(2*Pi*Cout*CoutEsr)</f>
        <v>132629.11939479699</v>
      </c>
      <c r="C312" t="s">
        <v>10</v>
      </c>
      <c r="D312" s="118" t="s">
        <v>565</v>
      </c>
      <c r="I312" s="57"/>
    </row>
    <row r="313" spans="1:12" x14ac:dyDescent="0.3">
      <c r="A313" s="223" t="s">
        <v>469</v>
      </c>
      <c r="B313" s="475">
        <f>(1-Don_Vinnom_2)^2*Ro/(2*Pi*Lf)</f>
        <v>13491.577082021624</v>
      </c>
      <c r="C313" t="s">
        <v>10</v>
      </c>
      <c r="D313" s="118" t="s">
        <v>566</v>
      </c>
      <c r="H313" s="388" t="s">
        <v>613</v>
      </c>
      <c r="I313" s="57"/>
    </row>
    <row r="314" spans="1:12" x14ac:dyDescent="0.3">
      <c r="A314" s="118" t="s">
        <v>577</v>
      </c>
      <c r="B314" s="415">
        <f>Fsw/2</f>
        <v>300000</v>
      </c>
      <c r="C314" t="s">
        <v>10</v>
      </c>
      <c r="D314" s="118" t="s">
        <v>576</v>
      </c>
      <c r="I314" s="57"/>
    </row>
    <row r="315" spans="1:12" x14ac:dyDescent="0.3">
      <c r="A315" s="118"/>
      <c r="B315" s="398"/>
      <c r="C315"/>
      <c r="D315" s="118"/>
      <c r="E315" s="46"/>
      <c r="I315" s="57"/>
    </row>
    <row r="316" spans="1:12" x14ac:dyDescent="0.3">
      <c r="A316" s="223" t="s">
        <v>564</v>
      </c>
      <c r="B316" s="343">
        <f>'Design Converter'!E71*1000</f>
        <v>7000</v>
      </c>
      <c r="C316" s="397" t="s">
        <v>10</v>
      </c>
      <c r="D316" s="118"/>
      <c r="E316">
        <f>z_RHP</f>
        <v>13491.577082021624</v>
      </c>
      <c r="I316" s="57"/>
    </row>
    <row r="317" spans="1:12" x14ac:dyDescent="0.3">
      <c r="A317" s="66" t="s">
        <v>35</v>
      </c>
      <c r="B317" s="398">
        <f>IF(VIN_nom&gt;Vout, Fcross*Cout*2*Pi*Ri/(gm*Afb), Fcross*Cout*2*Pi*Ri/(gm*Afb*(1-Don_Vinnom_2)*SQRT(1+(Fcross/z_RHP)^2)))</f>
        <v>68761.562755319464</v>
      </c>
      <c r="C317" s="225" t="s">
        <v>120</v>
      </c>
      <c r="D317" s="118" t="s">
        <v>526</v>
      </c>
      <c r="I317" s="57">
        <v>1</v>
      </c>
      <c r="K317" s="333">
        <f>Fcross*Cout*2*Pi*Ri/(gm*Afb*(1-Don_Vinnom_2))</f>
        <v>77465.852051538444</v>
      </c>
      <c r="L317" s="225" t="s">
        <v>120</v>
      </c>
    </row>
    <row r="318" spans="1:12" x14ac:dyDescent="0.3">
      <c r="A318" s="66" t="s">
        <v>33</v>
      </c>
      <c r="B318" s="397">
        <f>1/(Rcea1*(1.5*Fp_dominant)*2*Pi)</f>
        <v>1.1452205811262976E-8</v>
      </c>
      <c r="C318" t="s">
        <v>26</v>
      </c>
      <c r="D318" s="621" t="s">
        <v>957</v>
      </c>
      <c r="I318" s="57">
        <v>1</v>
      </c>
    </row>
    <row r="319" spans="1:12" x14ac:dyDescent="0.3">
      <c r="A319" s="66" t="s">
        <v>34</v>
      </c>
      <c r="B319" s="397">
        <f>1/((Rcea1*2*Pi*B320))-Cbw</f>
        <v>1.3310681292533198E-11</v>
      </c>
      <c r="C319" t="s">
        <v>26</v>
      </c>
      <c r="D319" s="118" t="s">
        <v>527</v>
      </c>
      <c r="I319" s="57">
        <v>1</v>
      </c>
    </row>
    <row r="320" spans="1:12" x14ac:dyDescent="0.3">
      <c r="A320" s="65"/>
      <c r="B320" s="1">
        <f>MAX(Fcross*7,Fsw/10)</f>
        <v>60000</v>
      </c>
      <c r="C320" s="225"/>
      <c r="D320" s="621" t="s">
        <v>956</v>
      </c>
      <c r="E320" s="620"/>
      <c r="F320" s="620"/>
      <c r="G320" s="620"/>
      <c r="H320" s="620"/>
      <c r="I320" s="57">
        <v>1</v>
      </c>
    </row>
    <row r="321" spans="1:9" x14ac:dyDescent="0.3">
      <c r="A321" s="66" t="s">
        <v>472</v>
      </c>
      <c r="I321" s="57"/>
    </row>
    <row r="322" spans="1:9" x14ac:dyDescent="0.3">
      <c r="A322" s="56" t="s">
        <v>36</v>
      </c>
      <c r="B322" s="69">
        <f>'Design Converter'!D78*1000</f>
        <v>68100</v>
      </c>
      <c r="C322" s="225" t="s">
        <v>120</v>
      </c>
      <c r="I322" s="57">
        <v>2</v>
      </c>
    </row>
    <row r="323" spans="1:9" x14ac:dyDescent="0.3">
      <c r="A323" s="56" t="s">
        <v>37</v>
      </c>
      <c r="B323" s="69">
        <f>'Design Converter'!D79*0.000000001</f>
        <v>1.2000000000000002E-8</v>
      </c>
      <c r="C323" t="s">
        <v>26</v>
      </c>
      <c r="I323" s="57">
        <v>2</v>
      </c>
    </row>
    <row r="324" spans="1:9" x14ac:dyDescent="0.3">
      <c r="A324" s="56" t="s">
        <v>38</v>
      </c>
      <c r="B324" s="69">
        <f>'Design Converter'!D80*0.000000000001</f>
        <v>1.2000000000000001E-11</v>
      </c>
      <c r="C324" t="s">
        <v>26</v>
      </c>
      <c r="I324" s="57">
        <v>2</v>
      </c>
    </row>
    <row r="325" spans="1:9" x14ac:dyDescent="0.3">
      <c r="A325" s="56"/>
      <c r="B325" s="48"/>
      <c r="C325"/>
      <c r="I325" s="57"/>
    </row>
    <row r="326" spans="1:9" x14ac:dyDescent="0.3">
      <c r="A326" s="223" t="s">
        <v>525</v>
      </c>
      <c r="B326" s="68">
        <f>'Design Converter'!E32*1*10^-12</f>
        <v>4.7000000000000003E-10</v>
      </c>
      <c r="C326" s="118" t="s">
        <v>32</v>
      </c>
      <c r="I326" s="57">
        <v>2</v>
      </c>
    </row>
    <row r="327" spans="1:9" x14ac:dyDescent="0.3">
      <c r="A327" s="56"/>
      <c r="C327"/>
      <c r="I327" s="57"/>
    </row>
    <row r="328" spans="1:9" x14ac:dyDescent="0.3">
      <c r="A328" s="66" t="s">
        <v>546</v>
      </c>
      <c r="C328"/>
      <c r="D328">
        <f>Cout</f>
        <v>5.9999999999999995E-4</v>
      </c>
      <c r="E328">
        <f>CoutEsr</f>
        <v>2E-3</v>
      </c>
      <c r="I328" s="57"/>
    </row>
    <row r="329" spans="1:9" x14ac:dyDescent="0.3">
      <c r="A329" s="66" t="s">
        <v>39</v>
      </c>
      <c r="B329" s="399">
        <f>1/(2*Pi*Rcea1_u*Cc1ea_u)</f>
        <v>194.75641614507632</v>
      </c>
      <c r="C329" t="s">
        <v>10</v>
      </c>
      <c r="D329" s="118" t="s">
        <v>625</v>
      </c>
      <c r="I329" s="57"/>
    </row>
    <row r="330" spans="1:9" x14ac:dyDescent="0.3">
      <c r="A330" s="66" t="s">
        <v>40</v>
      </c>
      <c r="B330" s="399">
        <f>1/(2*Pi*Rcea1_u*(Cc1ea_u*(Cc2ea_u+Cbw)/(Cc1ea_u+Cc2ea_u+Cbw)))</f>
        <v>62908.398169526772</v>
      </c>
      <c r="C330" t="s">
        <v>10</v>
      </c>
      <c r="D330" t="s">
        <v>162</v>
      </c>
      <c r="I330" s="57"/>
    </row>
    <row r="331" spans="1:9" x14ac:dyDescent="0.3">
      <c r="C331"/>
      <c r="I331" s="57"/>
    </row>
    <row r="332" spans="1:9" x14ac:dyDescent="0.3">
      <c r="A332" s="56" t="s">
        <v>31</v>
      </c>
      <c r="B332" s="343">
        <f>'Design Converter'!E73*1000</f>
        <v>100000</v>
      </c>
      <c r="C332" s="225" t="s">
        <v>120</v>
      </c>
      <c r="D332" s="118" t="s">
        <v>555</v>
      </c>
      <c r="I332" s="57">
        <v>1</v>
      </c>
    </row>
    <row r="333" spans="1:9" x14ac:dyDescent="0.3">
      <c r="A333" s="66" t="s">
        <v>43</v>
      </c>
      <c r="B333" s="387">
        <f>IF(Vout=Vref,100000000,Vref*B332/((Vout-Vref)))</f>
        <v>1694.9152542372881</v>
      </c>
      <c r="C333" s="225" t="s">
        <v>120</v>
      </c>
      <c r="D333" s="118" t="s">
        <v>554</v>
      </c>
      <c r="I333" s="57"/>
    </row>
    <row r="334" spans="1:9" x14ac:dyDescent="0.3">
      <c r="A334" s="56" t="s">
        <v>167</v>
      </c>
      <c r="B334" s="68">
        <f>IF(Vout=Vref,"N/A",'Standard Value Calculator'!O10)</f>
        <v>1690</v>
      </c>
      <c r="C334" s="225" t="s">
        <v>120</v>
      </c>
      <c r="D334" s="118" t="s">
        <v>553</v>
      </c>
      <c r="I334" s="57"/>
    </row>
    <row r="335" spans="1:9" ht="12.9" thickBot="1" x14ac:dyDescent="0.35">
      <c r="A335" s="414"/>
      <c r="B335" s="414"/>
      <c r="C335" s="71"/>
      <c r="D335" s="61"/>
      <c r="E335" s="71"/>
      <c r="F335" s="61"/>
      <c r="G335" s="61"/>
      <c r="H335" s="61"/>
      <c r="I335" s="62"/>
    </row>
    <row r="336" spans="1:9" x14ac:dyDescent="0.3">
      <c r="A336" s="1"/>
      <c r="B336" s="46"/>
      <c r="C336" s="46"/>
      <c r="E336" s="46"/>
    </row>
    <row r="337" spans="1:9" x14ac:dyDescent="0.3">
      <c r="A337" s="66" t="s">
        <v>206</v>
      </c>
      <c r="B337" s="1"/>
      <c r="C337"/>
    </row>
    <row r="338" spans="1:9" x14ac:dyDescent="0.3">
      <c r="A338" s="66" t="s">
        <v>209</v>
      </c>
      <c r="B338" s="2">
        <v>0</v>
      </c>
      <c r="C338" s="225" t="s">
        <v>120</v>
      </c>
      <c r="D338" s="118" t="s">
        <v>349</v>
      </c>
      <c r="H338" t="e">
        <f>_Don2*RdsonTop+Doff2*RdsonBot+B342*Vin^2*Fsw/2/(((Iripple1/SQRT(3))^2))</f>
        <v>#NAME?</v>
      </c>
    </row>
    <row r="339" spans="1:9" x14ac:dyDescent="0.3">
      <c r="A339" s="66" t="s">
        <v>212</v>
      </c>
      <c r="B339" s="412" t="e">
        <f>0.00000002*Fsw*0.6*4/Iripple1</f>
        <v>#NAME?</v>
      </c>
      <c r="C339" s="46"/>
      <c r="E339" s="46"/>
    </row>
    <row r="340" spans="1:9" x14ac:dyDescent="0.3">
      <c r="A340" s="66" t="s">
        <v>211</v>
      </c>
      <c r="B340" s="412" t="e">
        <f>_Don2*RdsonTop+Doff2*RdsonBot</f>
        <v>#NAME?</v>
      </c>
      <c r="C340" s="46"/>
      <c r="E340" s="46"/>
    </row>
    <row r="341" spans="1:9" x14ac:dyDescent="0.3">
      <c r="A341" s="66" t="s">
        <v>210</v>
      </c>
      <c r="B341" s="412" t="e">
        <f>B342*Vin^2*Fsw/2/(((Iripple1/SQRT(3))^2))</f>
        <v>#NAME?</v>
      </c>
      <c r="C341" s="46"/>
      <c r="E341" s="46"/>
    </row>
    <row r="342" spans="1:9" x14ac:dyDescent="0.3">
      <c r="A342" s="66" t="s">
        <v>213</v>
      </c>
      <c r="B342" s="413">
        <v>5.0000000000000001E-9</v>
      </c>
      <c r="C342" s="46"/>
      <c r="E342" s="46"/>
    </row>
    <row r="343" spans="1:9" x14ac:dyDescent="0.3">
      <c r="A343" s="1"/>
      <c r="B343" s="46"/>
      <c r="C343" s="46"/>
      <c r="E343" s="46"/>
    </row>
    <row r="344" spans="1:9" ht="15.9" thickBot="1" x14ac:dyDescent="0.45">
      <c r="A344" s="96" t="s">
        <v>229</v>
      </c>
    </row>
    <row r="345" spans="1:9" x14ac:dyDescent="0.3">
      <c r="A345" s="93"/>
      <c r="B345" s="63"/>
      <c r="C345" s="317"/>
      <c r="D345" s="63"/>
      <c r="E345" s="63"/>
      <c r="F345" s="63"/>
      <c r="G345" s="63"/>
      <c r="H345" s="63"/>
      <c r="I345" s="64"/>
    </row>
    <row r="346" spans="1:9" x14ac:dyDescent="0.3">
      <c r="A346" s="66" t="s">
        <v>59</v>
      </c>
      <c r="I346" s="57"/>
    </row>
    <row r="347" spans="1:9" x14ac:dyDescent="0.3">
      <c r="A347" s="56" t="s">
        <v>87</v>
      </c>
      <c r="B347" s="29">
        <v>25</v>
      </c>
      <c r="C347" s="118" t="s">
        <v>282</v>
      </c>
      <c r="D347" t="s">
        <v>100</v>
      </c>
      <c r="I347" s="57"/>
    </row>
    <row r="348" spans="1:9" x14ac:dyDescent="0.3">
      <c r="A348" s="66" t="s">
        <v>62</v>
      </c>
      <c r="C348"/>
      <c r="I348" s="57"/>
    </row>
    <row r="349" spans="1:9" x14ac:dyDescent="0.3">
      <c r="A349" s="56" t="s">
        <v>86</v>
      </c>
      <c r="B349" s="59">
        <f>4000/1000000</f>
        <v>4.0000000000000001E-3</v>
      </c>
      <c r="C349" s="118" t="s">
        <v>358</v>
      </c>
      <c r="D349" s="118" t="s">
        <v>690</v>
      </c>
      <c r="I349" s="57"/>
    </row>
    <row r="350" spans="1:9" ht="14.15" x14ac:dyDescent="0.4">
      <c r="A350" s="223" t="s">
        <v>687</v>
      </c>
      <c r="B350" s="59">
        <v>20</v>
      </c>
      <c r="C350" s="118" t="s">
        <v>241</v>
      </c>
      <c r="D350" s="118" t="s">
        <v>688</v>
      </c>
      <c r="I350" s="57"/>
    </row>
    <row r="351" spans="1:9" x14ac:dyDescent="0.3">
      <c r="A351" s="56" t="s">
        <v>90</v>
      </c>
      <c r="B351" s="29">
        <f>RCinEsr</f>
        <v>2E-3</v>
      </c>
      <c r="C351" s="225" t="s">
        <v>120</v>
      </c>
      <c r="D351" s="118" t="s">
        <v>689</v>
      </c>
      <c r="I351" s="57"/>
    </row>
    <row r="352" spans="1:9" x14ac:dyDescent="0.3">
      <c r="A352" s="65" t="s">
        <v>164</v>
      </c>
      <c r="C352"/>
      <c r="I352" s="57"/>
    </row>
    <row r="353" spans="1:9" x14ac:dyDescent="0.3">
      <c r="A353" s="223" t="s">
        <v>684</v>
      </c>
      <c r="B353" s="59">
        <f>7.5</f>
        <v>7.5</v>
      </c>
      <c r="C353" t="s">
        <v>0</v>
      </c>
      <c r="D353" s="388" t="s">
        <v>686</v>
      </c>
      <c r="I353" s="57"/>
    </row>
    <row r="354" spans="1:9" x14ac:dyDescent="0.3">
      <c r="A354" s="66" t="s">
        <v>116</v>
      </c>
      <c r="C354"/>
      <c r="I354" s="57"/>
    </row>
    <row r="355" spans="1:9" x14ac:dyDescent="0.3">
      <c r="A355" s="56" t="s">
        <v>65</v>
      </c>
      <c r="B355" s="59">
        <v>1.5</v>
      </c>
      <c r="C355" s="225" t="s">
        <v>120</v>
      </c>
      <c r="D355" s="118" t="s">
        <v>556</v>
      </c>
      <c r="I355" s="57"/>
    </row>
    <row r="356" spans="1:9" x14ac:dyDescent="0.3">
      <c r="A356" s="56" t="s">
        <v>150</v>
      </c>
      <c r="B356" s="59">
        <v>1</v>
      </c>
      <c r="C356" s="225" t="s">
        <v>120</v>
      </c>
      <c r="D356" s="118" t="s">
        <v>557</v>
      </c>
      <c r="I356" s="57"/>
    </row>
    <row r="357" spans="1:9" x14ac:dyDescent="0.3">
      <c r="A357" s="66" t="s">
        <v>117</v>
      </c>
      <c r="C357"/>
      <c r="I357" s="57"/>
    </row>
    <row r="358" spans="1:9" x14ac:dyDescent="0.3">
      <c r="A358" s="56" t="s">
        <v>64</v>
      </c>
      <c r="B358" s="110">
        <v>1.5</v>
      </c>
      <c r="C358" s="225" t="s">
        <v>120</v>
      </c>
      <c r="D358" s="118" t="s">
        <v>558</v>
      </c>
      <c r="I358" s="57"/>
    </row>
    <row r="359" spans="1:9" x14ac:dyDescent="0.3">
      <c r="A359" s="56" t="s">
        <v>149</v>
      </c>
      <c r="B359" s="59">
        <v>1</v>
      </c>
      <c r="C359" s="225" t="s">
        <v>120</v>
      </c>
      <c r="D359" s="118" t="s">
        <v>559</v>
      </c>
      <c r="I359" s="57"/>
    </row>
    <row r="360" spans="1:9" x14ac:dyDescent="0.3">
      <c r="A360" s="66" t="s">
        <v>66</v>
      </c>
      <c r="C360"/>
      <c r="I360" s="57"/>
    </row>
    <row r="361" spans="1:9" x14ac:dyDescent="0.3">
      <c r="A361" s="56" t="s">
        <v>66</v>
      </c>
      <c r="B361" s="67">
        <v>4.9999999999999998E-8</v>
      </c>
      <c r="C361" t="s">
        <v>163</v>
      </c>
      <c r="D361" t="s">
        <v>102</v>
      </c>
      <c r="G361" s="388" t="s">
        <v>614</v>
      </c>
      <c r="I361" s="57"/>
    </row>
    <row r="362" spans="1:9" x14ac:dyDescent="0.3">
      <c r="A362" s="66" t="s">
        <v>56</v>
      </c>
      <c r="C362"/>
      <c r="I362" s="57"/>
    </row>
    <row r="363" spans="1:9" x14ac:dyDescent="0.3">
      <c r="A363" s="56" t="s">
        <v>158</v>
      </c>
      <c r="B363" s="59">
        <v>3.0000000000000001E-3</v>
      </c>
      <c r="C363" t="s">
        <v>2</v>
      </c>
      <c r="D363" s="118" t="s">
        <v>913</v>
      </c>
      <c r="I363" s="57"/>
    </row>
    <row r="364" spans="1:9" x14ac:dyDescent="0.3">
      <c r="A364" s="56"/>
      <c r="C364"/>
      <c r="I364" s="57"/>
    </row>
    <row r="365" spans="1:9" x14ac:dyDescent="0.3">
      <c r="A365" s="66" t="s">
        <v>753</v>
      </c>
      <c r="B365" s="2" t="s">
        <v>772</v>
      </c>
      <c r="C365"/>
      <c r="D365" s="2" t="s">
        <v>773</v>
      </c>
      <c r="I365" s="57"/>
    </row>
    <row r="366" spans="1:9" x14ac:dyDescent="0.3">
      <c r="A366" s="223" t="s">
        <v>774</v>
      </c>
      <c r="B366" s="29">
        <f>'Design Converter'!E87/1000</f>
        <v>5.7000000000000002E-3</v>
      </c>
      <c r="C366" s="225" t="s">
        <v>120</v>
      </c>
      <c r="D366" s="29">
        <f>'Design Converter'!F87/1000</f>
        <v>5.7000000000000002E-3</v>
      </c>
      <c r="E366" s="225" t="s">
        <v>120</v>
      </c>
      <c r="F366" s="118" t="s">
        <v>760</v>
      </c>
      <c r="I366" s="57"/>
    </row>
    <row r="367" spans="1:9" x14ac:dyDescent="0.3">
      <c r="A367" s="56" t="s">
        <v>83</v>
      </c>
      <c r="B367" s="59">
        <f>4000/1000000</f>
        <v>4.0000000000000001E-3</v>
      </c>
      <c r="C367" s="118" t="s">
        <v>358</v>
      </c>
      <c r="E367" s="118"/>
      <c r="F367" s="118" t="s">
        <v>560</v>
      </c>
      <c r="I367" s="57"/>
    </row>
    <row r="368" spans="1:9" x14ac:dyDescent="0.3">
      <c r="A368" s="223" t="s">
        <v>132</v>
      </c>
      <c r="B368" s="72">
        <f>'Design Converter'!E88/1000000000</f>
        <v>1.0999999999999999E-8</v>
      </c>
      <c r="C368" t="s">
        <v>165</v>
      </c>
      <c r="D368" s="72">
        <f>'Design Converter'!F88/1000000000</f>
        <v>1.0999999999999999E-8</v>
      </c>
      <c r="E368" t="s">
        <v>165</v>
      </c>
      <c r="F368" s="118" t="s">
        <v>748</v>
      </c>
      <c r="I368" s="57"/>
    </row>
    <row r="369" spans="1:9" x14ac:dyDescent="0.3">
      <c r="A369" s="223" t="s">
        <v>775</v>
      </c>
      <c r="B369" s="72">
        <f>'Design Converter'!E89/1000000000</f>
        <v>2.8999999999999999E-9</v>
      </c>
      <c r="C369" t="s">
        <v>165</v>
      </c>
      <c r="D369" s="72">
        <f>'Design Converter'!F89/1000000000</f>
        <v>2.8999999999999999E-9</v>
      </c>
      <c r="E369" t="s">
        <v>165</v>
      </c>
      <c r="F369" t="s">
        <v>131</v>
      </c>
      <c r="I369" s="57"/>
    </row>
    <row r="370" spans="1:9" x14ac:dyDescent="0.3">
      <c r="A370" s="223" t="s">
        <v>776</v>
      </c>
      <c r="B370" s="72">
        <f>'Design Converter'!E90/1000000000</f>
        <v>3.2999999999999998E-9</v>
      </c>
      <c r="C370" t="s">
        <v>165</v>
      </c>
      <c r="D370" s="72">
        <f>'Design Converter'!F90/1000000000</f>
        <v>3.2999999999999998E-9</v>
      </c>
      <c r="E370" t="s">
        <v>165</v>
      </c>
      <c r="I370" s="57"/>
    </row>
    <row r="371" spans="1:9" x14ac:dyDescent="0.3">
      <c r="A371" s="223" t="s">
        <v>777</v>
      </c>
      <c r="B371" s="29">
        <f>'Design Converter'!E91</f>
        <v>1.5</v>
      </c>
      <c r="C371" s="225" t="s">
        <v>120</v>
      </c>
      <c r="D371" s="29">
        <f>'Design Converter'!F91</f>
        <v>1.5</v>
      </c>
      <c r="E371" s="225" t="s">
        <v>120</v>
      </c>
      <c r="F371" t="s">
        <v>104</v>
      </c>
      <c r="I371" s="57"/>
    </row>
    <row r="372" spans="1:9" x14ac:dyDescent="0.3">
      <c r="A372" s="223" t="s">
        <v>778</v>
      </c>
      <c r="B372" s="29">
        <f>'Design Converter'!E92</f>
        <v>60</v>
      </c>
      <c r="C372" t="s">
        <v>70</v>
      </c>
      <c r="D372" s="29">
        <f>'Design Converter'!F92</f>
        <v>60</v>
      </c>
      <c r="E372" t="s">
        <v>70</v>
      </c>
      <c r="F372" s="118" t="s">
        <v>759</v>
      </c>
      <c r="I372" s="57"/>
    </row>
    <row r="373" spans="1:9" x14ac:dyDescent="0.3">
      <c r="A373" s="223" t="s">
        <v>779</v>
      </c>
      <c r="B373" s="29">
        <f>'Design Converter'!E93</f>
        <v>4</v>
      </c>
      <c r="C373" t="s">
        <v>0</v>
      </c>
      <c r="D373" s="29">
        <f>'Design Converter'!F93</f>
        <v>4</v>
      </c>
      <c r="E373" t="s">
        <v>0</v>
      </c>
      <c r="F373" s="118" t="s">
        <v>761</v>
      </c>
      <c r="I373" s="57"/>
    </row>
    <row r="374" spans="1:9" x14ac:dyDescent="0.3">
      <c r="A374" s="223" t="s">
        <v>780</v>
      </c>
      <c r="B374" s="419">
        <f>Vth_Q1+Iout/Gfs_Q1</f>
        <v>4.166666666666667</v>
      </c>
      <c r="C374" t="s">
        <v>0</v>
      </c>
      <c r="D374" s="419">
        <f>Vth_Q2+Iout/Gfs_Q2</f>
        <v>4.166666666666667</v>
      </c>
      <c r="E374" t="s">
        <v>0</v>
      </c>
      <c r="F374" s="118" t="s">
        <v>762</v>
      </c>
      <c r="I374" s="57"/>
    </row>
    <row r="375" spans="1:9" x14ac:dyDescent="0.3">
      <c r="A375" s="56"/>
      <c r="C375"/>
      <c r="F375" s="118"/>
      <c r="I375" s="57"/>
    </row>
    <row r="376" spans="1:9" x14ac:dyDescent="0.3">
      <c r="A376" s="223" t="s">
        <v>783</v>
      </c>
      <c r="B376" s="29">
        <f>'Design Converter'!E94</f>
        <v>0.8</v>
      </c>
      <c r="C376" t="s">
        <v>0</v>
      </c>
      <c r="D376" s="29">
        <f>'Design Converter'!F94</f>
        <v>0.8</v>
      </c>
      <c r="E376" t="s">
        <v>0</v>
      </c>
      <c r="F376" s="118" t="s">
        <v>781</v>
      </c>
      <c r="I376" s="57"/>
    </row>
    <row r="377" spans="1:9" x14ac:dyDescent="0.3">
      <c r="A377" s="223" t="s">
        <v>707</v>
      </c>
      <c r="B377" s="72">
        <f>'Design Converter'!E95/1000000000</f>
        <v>0</v>
      </c>
      <c r="C377" t="s">
        <v>165</v>
      </c>
      <c r="D377" s="72">
        <f>'Design Converter'!F95/1000000000</f>
        <v>6.2999999999999995E-8</v>
      </c>
      <c r="E377" t="s">
        <v>165</v>
      </c>
      <c r="F377" t="s">
        <v>114</v>
      </c>
      <c r="I377" s="57"/>
    </row>
    <row r="378" spans="1:9" x14ac:dyDescent="0.3">
      <c r="A378" s="223" t="s">
        <v>708</v>
      </c>
      <c r="B378" s="72">
        <v>4.0000000000000001E-8</v>
      </c>
      <c r="C378" t="s">
        <v>163</v>
      </c>
      <c r="D378" s="72">
        <v>4.0000000000000001E-8</v>
      </c>
      <c r="E378" t="s">
        <v>163</v>
      </c>
      <c r="F378" t="s">
        <v>110</v>
      </c>
      <c r="I378" s="57"/>
    </row>
    <row r="379" spans="1:9" x14ac:dyDescent="0.3">
      <c r="A379" s="223" t="s">
        <v>918</v>
      </c>
      <c r="B379" s="29">
        <f>'Design Converter'!E96</f>
        <v>50</v>
      </c>
      <c r="C379" s="118" t="s">
        <v>241</v>
      </c>
      <c r="D379" s="29">
        <f>'Design Converter'!F96</f>
        <v>50</v>
      </c>
      <c r="E379" s="118" t="s">
        <v>241</v>
      </c>
      <c r="F379" t="s">
        <v>107</v>
      </c>
      <c r="I379" s="57"/>
    </row>
    <row r="380" spans="1:9" x14ac:dyDescent="0.3">
      <c r="A380" s="223"/>
      <c r="B380" s="29"/>
      <c r="C380" s="118"/>
      <c r="D380" s="29"/>
      <c r="E380" s="118"/>
      <c r="I380" s="57"/>
    </row>
    <row r="381" spans="1:9" x14ac:dyDescent="0.3">
      <c r="A381" s="223"/>
      <c r="B381" s="118"/>
      <c r="C381" s="118"/>
      <c r="D381" s="118"/>
      <c r="E381" s="118"/>
      <c r="I381" s="57"/>
    </row>
    <row r="382" spans="1:9" x14ac:dyDescent="0.3">
      <c r="A382" s="66" t="s">
        <v>752</v>
      </c>
      <c r="B382" s="2" t="s">
        <v>770</v>
      </c>
      <c r="C382"/>
      <c r="D382" s="2" t="s">
        <v>771</v>
      </c>
      <c r="I382" s="57"/>
    </row>
    <row r="383" spans="1:9" x14ac:dyDescent="0.3">
      <c r="A383" s="223" t="s">
        <v>774</v>
      </c>
      <c r="B383" s="29">
        <f>'Design Converter'!E100/1000</f>
        <v>1.9E-3</v>
      </c>
      <c r="C383" s="225" t="s">
        <v>120</v>
      </c>
      <c r="D383" s="29">
        <f>'Design Converter'!F100/1000</f>
        <v>1.9E-3</v>
      </c>
      <c r="E383" s="225" t="s">
        <v>120</v>
      </c>
      <c r="F383" s="118" t="s">
        <v>754</v>
      </c>
      <c r="I383" s="57"/>
    </row>
    <row r="384" spans="1:9" x14ac:dyDescent="0.3">
      <c r="A384" s="56" t="s">
        <v>84</v>
      </c>
      <c r="B384" s="336">
        <f>4000/1000000</f>
        <v>4.0000000000000001E-3</v>
      </c>
      <c r="C384" s="118" t="s">
        <v>358</v>
      </c>
      <c r="E384" s="118"/>
      <c r="F384" s="118" t="s">
        <v>560</v>
      </c>
      <c r="I384" s="57"/>
    </row>
    <row r="385" spans="1:9" x14ac:dyDescent="0.3">
      <c r="A385" s="223" t="s">
        <v>132</v>
      </c>
      <c r="B385" s="72">
        <f>'Design Converter'!E101/1000000000</f>
        <v>2.1999999999999998E-8</v>
      </c>
      <c r="C385" t="s">
        <v>165</v>
      </c>
      <c r="D385" s="72">
        <f>'Design Converter'!F101/1000000000</f>
        <v>2.1999999999999998E-8</v>
      </c>
      <c r="E385" t="s">
        <v>165</v>
      </c>
      <c r="F385" s="118" t="s">
        <v>755</v>
      </c>
      <c r="I385" s="57"/>
    </row>
    <row r="386" spans="1:9" x14ac:dyDescent="0.3">
      <c r="A386" s="223" t="s">
        <v>775</v>
      </c>
      <c r="B386" s="72">
        <f>'Design Converter'!E102/1000000000</f>
        <v>2.5000000000000001E-9</v>
      </c>
      <c r="C386" t="s">
        <v>165</v>
      </c>
      <c r="D386" s="72">
        <f>'Design Converter'!F102/1000000000</f>
        <v>2.5000000000000001E-9</v>
      </c>
      <c r="E386" t="s">
        <v>165</v>
      </c>
      <c r="F386" t="s">
        <v>131</v>
      </c>
      <c r="I386" s="57"/>
    </row>
    <row r="387" spans="1:9" x14ac:dyDescent="0.3">
      <c r="A387" s="223" t="s">
        <v>776</v>
      </c>
      <c r="B387" s="72">
        <f>'Design Converter'!E103/1000000000</f>
        <v>4.0000000000000002E-9</v>
      </c>
      <c r="C387" t="s">
        <v>165</v>
      </c>
      <c r="D387" s="72">
        <f>'Design Converter'!F103/1000000000</f>
        <v>4.0000000000000002E-9</v>
      </c>
      <c r="E387" t="s">
        <v>165</v>
      </c>
      <c r="I387" s="57"/>
    </row>
    <row r="388" spans="1:9" x14ac:dyDescent="0.3">
      <c r="A388" s="223" t="s">
        <v>777</v>
      </c>
      <c r="B388" s="29">
        <v>1</v>
      </c>
      <c r="C388" s="225" t="s">
        <v>120</v>
      </c>
      <c r="D388" s="29">
        <v>1</v>
      </c>
      <c r="E388" s="225" t="s">
        <v>120</v>
      </c>
      <c r="F388" t="s">
        <v>104</v>
      </c>
      <c r="I388" s="57"/>
    </row>
    <row r="389" spans="1:9" x14ac:dyDescent="0.3">
      <c r="A389" s="223" t="s">
        <v>778</v>
      </c>
      <c r="B389" s="29">
        <f>'Design Converter'!E105</f>
        <v>150</v>
      </c>
      <c r="C389" t="s">
        <v>70</v>
      </c>
      <c r="D389" s="29">
        <f>'Design Converter'!F105</f>
        <v>150</v>
      </c>
      <c r="E389" t="s">
        <v>70</v>
      </c>
      <c r="F389" s="118" t="s">
        <v>756</v>
      </c>
      <c r="I389" s="57"/>
    </row>
    <row r="390" spans="1:9" x14ac:dyDescent="0.3">
      <c r="A390" s="223" t="s">
        <v>779</v>
      </c>
      <c r="B390" s="29">
        <f>'Design Converter'!E106</f>
        <v>2</v>
      </c>
      <c r="C390" t="s">
        <v>0</v>
      </c>
      <c r="D390" s="29">
        <f>'Design Converter'!F106</f>
        <v>2</v>
      </c>
      <c r="E390" t="s">
        <v>0</v>
      </c>
      <c r="F390" s="118" t="s">
        <v>757</v>
      </c>
      <c r="I390" s="57"/>
    </row>
    <row r="391" spans="1:9" x14ac:dyDescent="0.3">
      <c r="A391" s="223" t="s">
        <v>780</v>
      </c>
      <c r="B391" s="419">
        <f>Vth_Q3+Iin_Vinnom/Gfs_Q3</f>
        <v>2.2962962962962963</v>
      </c>
      <c r="C391" t="s">
        <v>0</v>
      </c>
      <c r="D391" s="419">
        <f>Vth_Q4+Iin_Vinnom/Gfs_Q4</f>
        <v>2.2962962962962963</v>
      </c>
      <c r="E391" t="s">
        <v>0</v>
      </c>
      <c r="F391" s="118" t="s">
        <v>758</v>
      </c>
      <c r="I391" s="57"/>
    </row>
    <row r="392" spans="1:9" x14ac:dyDescent="0.3">
      <c r="E392" s="2"/>
      <c r="I392" s="57"/>
    </row>
    <row r="393" spans="1:9" x14ac:dyDescent="0.3">
      <c r="A393" s="223" t="s">
        <v>782</v>
      </c>
      <c r="B393" s="29">
        <f>'Design Converter'!E107</f>
        <v>0.8</v>
      </c>
      <c r="C393" t="s">
        <v>0</v>
      </c>
      <c r="D393" s="29">
        <f>'Design Converter'!F107</f>
        <v>0.8</v>
      </c>
      <c r="E393" t="s">
        <v>0</v>
      </c>
      <c r="F393" s="118" t="s">
        <v>561</v>
      </c>
      <c r="I393" s="57"/>
    </row>
    <row r="394" spans="1:9" x14ac:dyDescent="0.3">
      <c r="A394" s="56" t="s">
        <v>77</v>
      </c>
      <c r="B394" s="72">
        <f>'Design Converter'!E108/1000000000</f>
        <v>3.2999999999999998E-8</v>
      </c>
      <c r="C394" t="s">
        <v>165</v>
      </c>
      <c r="D394" s="72">
        <f>'Design Converter'!F108/1000000000</f>
        <v>0</v>
      </c>
      <c r="E394" t="s">
        <v>165</v>
      </c>
      <c r="F394" t="s">
        <v>114</v>
      </c>
      <c r="I394" s="57"/>
    </row>
    <row r="395" spans="1:9" x14ac:dyDescent="0.3">
      <c r="A395" s="56" t="s">
        <v>78</v>
      </c>
      <c r="B395" s="72">
        <v>4.0000000000000001E-8</v>
      </c>
      <c r="C395" t="s">
        <v>163</v>
      </c>
      <c r="D395" s="72">
        <v>4.0000000000000001E-8</v>
      </c>
      <c r="E395" t="s">
        <v>163</v>
      </c>
      <c r="F395" t="s">
        <v>110</v>
      </c>
      <c r="I395" s="57"/>
    </row>
    <row r="396" spans="1:9" x14ac:dyDescent="0.3">
      <c r="A396" s="223" t="s">
        <v>919</v>
      </c>
      <c r="B396" s="29">
        <f>'Design Converter'!E109</f>
        <v>50</v>
      </c>
      <c r="C396" s="118" t="s">
        <v>241</v>
      </c>
      <c r="D396" s="29">
        <f>'Design Converter'!F109</f>
        <v>50</v>
      </c>
      <c r="E396" s="118" t="s">
        <v>241</v>
      </c>
      <c r="F396" t="s">
        <v>107</v>
      </c>
      <c r="I396" s="57"/>
    </row>
    <row r="397" spans="1:9" x14ac:dyDescent="0.3">
      <c r="A397" s="223"/>
      <c r="B397" s="29"/>
      <c r="C397" s="118"/>
      <c r="D397" s="29"/>
      <c r="E397" s="118"/>
      <c r="I397" s="57"/>
    </row>
    <row r="398" spans="1:9" x14ac:dyDescent="0.3">
      <c r="A398" s="66" t="s">
        <v>751</v>
      </c>
      <c r="B398" s="531" t="s">
        <v>750</v>
      </c>
      <c r="D398" s="531" t="s">
        <v>749</v>
      </c>
      <c r="I398" s="57"/>
    </row>
    <row r="399" spans="1:9" x14ac:dyDescent="0.3">
      <c r="A399" s="56" t="s">
        <v>231</v>
      </c>
      <c r="B399" s="29">
        <f>'Design Converter'!E112</f>
        <v>0</v>
      </c>
      <c r="C399" t="s">
        <v>0</v>
      </c>
      <c r="D399" s="29">
        <f>'Design Converter'!F112</f>
        <v>0</v>
      </c>
      <c r="E399" t="s">
        <v>0</v>
      </c>
      <c r="F399" t="s">
        <v>234</v>
      </c>
      <c r="I399" s="57"/>
    </row>
    <row r="400" spans="1:9" x14ac:dyDescent="0.3">
      <c r="A400" s="56" t="s">
        <v>232</v>
      </c>
      <c r="B400" s="72">
        <f>'Design Converter'!E113/1000000000</f>
        <v>0</v>
      </c>
      <c r="C400" t="s">
        <v>165</v>
      </c>
      <c r="D400" s="72">
        <f>'Design Converter'!F113/1000000000</f>
        <v>0</v>
      </c>
      <c r="E400" t="s">
        <v>165</v>
      </c>
      <c r="F400" t="s">
        <v>235</v>
      </c>
      <c r="I400" s="57"/>
    </row>
    <row r="401" spans="1:9" x14ac:dyDescent="0.3">
      <c r="A401" s="56" t="s">
        <v>233</v>
      </c>
      <c r="B401" s="29">
        <v>0</v>
      </c>
      <c r="C401" t="s">
        <v>2</v>
      </c>
      <c r="D401" s="29">
        <v>0</v>
      </c>
      <c r="E401" t="s">
        <v>2</v>
      </c>
      <c r="F401" t="s">
        <v>236</v>
      </c>
      <c r="I401" s="57"/>
    </row>
    <row r="402" spans="1:9" x14ac:dyDescent="0.3">
      <c r="A402" s="56"/>
      <c r="C402"/>
      <c r="I402" s="57"/>
    </row>
    <row r="403" spans="1:9" x14ac:dyDescent="0.3">
      <c r="A403" s="66" t="s">
        <v>121</v>
      </c>
      <c r="C403"/>
      <c r="I403" s="57"/>
    </row>
    <row r="404" spans="1:9" x14ac:dyDescent="0.3">
      <c r="A404" s="223" t="s">
        <v>681</v>
      </c>
      <c r="B404" s="29">
        <v>30.5</v>
      </c>
      <c r="C404" s="118" t="s">
        <v>241</v>
      </c>
      <c r="D404" s="118"/>
      <c r="E404" s="118"/>
      <c r="F404" t="s">
        <v>685</v>
      </c>
      <c r="I404" s="57"/>
    </row>
    <row r="405" spans="1:9" x14ac:dyDescent="0.3">
      <c r="A405" s="66" t="s">
        <v>81</v>
      </c>
      <c r="C405"/>
      <c r="I405" s="57"/>
    </row>
    <row r="406" spans="1:9" x14ac:dyDescent="0.3">
      <c r="A406" s="223" t="s">
        <v>63</v>
      </c>
      <c r="C406"/>
      <c r="I406" s="57"/>
    </row>
    <row r="407" spans="1:9" x14ac:dyDescent="0.3">
      <c r="A407" s="56" t="s">
        <v>92</v>
      </c>
      <c r="B407" s="69">
        <f>(Qgd_Q1+Qgs_Q1/2)*(RdsonDRT+Rgate1)/(Vdd-Vsp_Q1)</f>
        <v>4.0949999999999996E-9</v>
      </c>
      <c r="C407" t="s">
        <v>163</v>
      </c>
      <c r="D407" s="69">
        <f>(Qgd_Q4+Qgs_Q4/2)*(RdsonDRT+Rgate4)/(Vdd-Vsp_Q4)</f>
        <v>2.1619217081850535E-9</v>
      </c>
      <c r="E407" t="s">
        <v>163</v>
      </c>
      <c r="I407" s="57"/>
    </row>
    <row r="408" spans="1:9" x14ac:dyDescent="0.3">
      <c r="A408" s="56" t="s">
        <v>93</v>
      </c>
      <c r="B408" s="69">
        <f>(Qgd_Q1+Qgs_Q1/2)*(RdsonDRT2+Rgate1)/(Vsp_Q1)</f>
        <v>2.7299999999999991E-9</v>
      </c>
      <c r="C408" t="s">
        <v>163</v>
      </c>
      <c r="D408" s="69">
        <f>(Qgd_Q4+Qgs_Q4/2)*(RdsonDRT2+Rgate4)/(Vsp_Q4)</f>
        <v>3.9193548387096778E-9</v>
      </c>
      <c r="E408" t="s">
        <v>163</v>
      </c>
      <c r="I408" s="57"/>
    </row>
    <row r="409" spans="1:9" x14ac:dyDescent="0.3">
      <c r="A409" s="56"/>
      <c r="C409"/>
      <c r="I409" s="57"/>
    </row>
    <row r="410" spans="1:9" x14ac:dyDescent="0.3">
      <c r="A410" s="66" t="s">
        <v>572</v>
      </c>
      <c r="B410" s="2" t="s">
        <v>8</v>
      </c>
      <c r="C410" s="2" t="s">
        <v>80</v>
      </c>
      <c r="I410" s="57"/>
    </row>
    <row r="411" spans="1:9" x14ac:dyDescent="0.3">
      <c r="A411" s="58" t="s">
        <v>119</v>
      </c>
      <c r="B411" s="3" t="e">
        <f>#REF!</f>
        <v>#REF!</v>
      </c>
      <c r="C411" s="3" t="s">
        <v>120</v>
      </c>
      <c r="I411" s="57"/>
    </row>
    <row r="412" spans="1:9" x14ac:dyDescent="0.3">
      <c r="A412" s="58" t="s">
        <v>123</v>
      </c>
      <c r="B412" s="42" t="e">
        <f>B411*ThetaJaCtrl</f>
        <v>#REF!</v>
      </c>
      <c r="C412" s="118" t="s">
        <v>282</v>
      </c>
      <c r="I412" s="57"/>
    </row>
    <row r="413" spans="1:9" x14ac:dyDescent="0.3">
      <c r="A413" s="58" t="s">
        <v>246</v>
      </c>
      <c r="B413" s="42">
        <f>(Qg_Q1+Qg_Q2)*Fsw+Iq</f>
        <v>1.6199999999999999E-2</v>
      </c>
      <c r="C413" t="s">
        <v>2</v>
      </c>
      <c r="I413" s="57"/>
    </row>
    <row r="414" spans="1:9" x14ac:dyDescent="0.3">
      <c r="A414" s="58" t="s">
        <v>247</v>
      </c>
      <c r="B414">
        <f>Qrr_Q2*Fsw</f>
        <v>3.78E-2</v>
      </c>
      <c r="C414" t="s">
        <v>2</v>
      </c>
      <c r="I414" s="57"/>
    </row>
    <row r="415" spans="1:9" x14ac:dyDescent="0.3">
      <c r="A415" s="58" t="s">
        <v>248</v>
      </c>
      <c r="B415" t="e">
        <f>C415/Vin</f>
        <v>#NAME?</v>
      </c>
      <c r="C415" t="e">
        <f>Deadtime*Fsw*(Ipp/2)*(Vsd_Q1+Vsd_Q2)</f>
        <v>#NAME?</v>
      </c>
      <c r="I415" s="57"/>
    </row>
    <row r="416" spans="1:9" x14ac:dyDescent="0.3">
      <c r="A416" s="58" t="s">
        <v>250</v>
      </c>
      <c r="B416" t="e">
        <f>SUM(B413:B415)</f>
        <v>#NAME?</v>
      </c>
      <c r="C416" t="s">
        <v>2</v>
      </c>
      <c r="I416" s="57"/>
    </row>
    <row r="417" spans="1:9" x14ac:dyDescent="0.3">
      <c r="A417" s="56"/>
      <c r="I417" s="57"/>
    </row>
    <row r="418" spans="1:9" x14ac:dyDescent="0.3">
      <c r="A418" s="66" t="s">
        <v>615</v>
      </c>
      <c r="I418" s="57"/>
    </row>
    <row r="419" spans="1:9" x14ac:dyDescent="0.3">
      <c r="A419" s="56" t="s">
        <v>118</v>
      </c>
      <c r="I419" s="57"/>
    </row>
    <row r="420" spans="1:9" ht="12.9" thickBot="1" x14ac:dyDescent="0.35">
      <c r="A420" s="60" t="s">
        <v>119</v>
      </c>
      <c r="B420" s="61"/>
      <c r="C420" s="318"/>
      <c r="D420" s="61"/>
      <c r="E420" s="61"/>
      <c r="F420" s="61"/>
      <c r="G420" s="61"/>
      <c r="H420" s="61"/>
      <c r="I420" s="62"/>
    </row>
    <row r="421" spans="1:9" x14ac:dyDescent="0.3">
      <c r="A421" s="1"/>
      <c r="B421" s="1"/>
      <c r="C421" s="1"/>
    </row>
    <row r="422" spans="1:9" ht="21.75" customHeight="1" thickBot="1" x14ac:dyDescent="0.45">
      <c r="A422" s="92" t="s">
        <v>242</v>
      </c>
    </row>
    <row r="423" spans="1:9" x14ac:dyDescent="0.3">
      <c r="A423" s="93" t="str">
        <f>"RC1 = "&amp;'Design Converter'!D78&amp;"kΩ"</f>
        <v>RC1 = 68.1kΩ</v>
      </c>
      <c r="B423" s="63" t="str">
        <f>'Design Converter'!D78&amp;"kΩ"</f>
        <v>68.1kΩ</v>
      </c>
      <c r="C423" s="317"/>
      <c r="D423" s="63"/>
      <c r="E423" s="63"/>
      <c r="F423" s="63"/>
      <c r="G423" s="63"/>
      <c r="H423" s="63"/>
      <c r="I423" s="64"/>
    </row>
    <row r="424" spans="1:9" x14ac:dyDescent="0.3">
      <c r="A424" s="56" t="str">
        <f>"RUV1 = "&amp;'Design Converter'!E64&amp;"kΩ"</f>
        <v>RUV1 = 249kΩ</v>
      </c>
      <c r="B424" t="str">
        <f>'Design Converter'!E64&amp;"kΩ"</f>
        <v>249kΩ</v>
      </c>
      <c r="I424" s="57"/>
    </row>
    <row r="425" spans="1:9" x14ac:dyDescent="0.3">
      <c r="A425" s="56" t="str">
        <f>"RUV2 = "&amp;'Design Converter'!E65&amp;"kΩ"</f>
        <v>RUV2 = 76.8kΩ</v>
      </c>
      <c r="B425" t="str">
        <f>'Design Converter'!E65&amp;"kΩ"</f>
        <v>76.8kΩ</v>
      </c>
      <c r="I425" s="57"/>
    </row>
    <row r="426" spans="1:9" x14ac:dyDescent="0.3">
      <c r="A426" s="56" t="str">
        <f>"LF = "&amp;'Design Converter'!E16&amp;"µH"</f>
        <v>LF = 3.3µH</v>
      </c>
      <c r="B426" t="str">
        <f>'Design Converter'!E16&amp;"µH"</f>
        <v>3.3µH</v>
      </c>
      <c r="I426" s="57"/>
    </row>
    <row r="427" spans="1:9" x14ac:dyDescent="0.3">
      <c r="A427" s="56" t="str">
        <f>"Rdcr = "&amp;Rdcr*1000&amp;"mΩ"</f>
        <v>Rdcr = 7mΩ</v>
      </c>
      <c r="B427" t="str">
        <f>Rdcr*1000&amp;"mΩ"</f>
        <v>7mΩ</v>
      </c>
      <c r="I427" s="57"/>
    </row>
    <row r="428" spans="1:9" x14ac:dyDescent="0.3">
      <c r="A428" s="56" t="str">
        <f>"Rs = "&amp;'Design Converter'!E28&amp;"mΩ"</f>
        <v>Rs = 3mΩ</v>
      </c>
      <c r="B428" t="str">
        <f>'Design Converter'!E28&amp;"mΩ"</f>
        <v>3mΩ</v>
      </c>
      <c r="I428" s="57"/>
    </row>
    <row r="429" spans="1:9" x14ac:dyDescent="0.3">
      <c r="A429" s="56" t="str">
        <f>"Rshunt = "&amp;ROUND('Design Converter'!E37,1)&amp;"mΩ"</f>
        <v>Rshunt = 2.5mΩ</v>
      </c>
      <c r="B429" t="str">
        <f>ROUND('Design Converter'!E37,1)&amp;"mΩ"</f>
        <v>2.5mΩ</v>
      </c>
      <c r="I429" s="57"/>
    </row>
    <row r="430" spans="1:9" x14ac:dyDescent="0.3">
      <c r="A430" s="56"/>
      <c r="I430" s="57"/>
    </row>
    <row r="431" spans="1:9" x14ac:dyDescent="0.3">
      <c r="A431" s="56" t="str">
        <f>"VOUT = "&amp;'Design Converter'!E9&amp;"V"</f>
        <v>VOUT = 48V</v>
      </c>
      <c r="B431" t="str">
        <f>'Design Converter'!E9&amp;"V"</f>
        <v>48V</v>
      </c>
      <c r="I431" s="57"/>
    </row>
    <row r="432" spans="1:9" x14ac:dyDescent="0.3">
      <c r="A432" s="56"/>
      <c r="I432" s="57"/>
    </row>
    <row r="433" spans="1:9" x14ac:dyDescent="0.3">
      <c r="A433" s="56" t="str">
        <f>"COUT = "&amp;'Design Converter'!$E$42&amp;"µF"</f>
        <v>COUT = 600µF</v>
      </c>
      <c r="B433" t="str">
        <f>'Design Converter'!$E$42&amp;"µF"</f>
        <v>600µF</v>
      </c>
      <c r="I433" s="57"/>
    </row>
    <row r="434" spans="1:9" x14ac:dyDescent="0.3">
      <c r="A434" s="223" t="s">
        <v>344</v>
      </c>
      <c r="B434" t="str">
        <f>"22µF"</f>
        <v>22µF</v>
      </c>
      <c r="I434" s="57"/>
    </row>
    <row r="435" spans="1:9" x14ac:dyDescent="0.3">
      <c r="A435" s="223" t="s">
        <v>345</v>
      </c>
      <c r="B435" s="120" t="str">
        <f>ROUNDUP(Cout*1000000/22,0)&amp;" x"</f>
        <v>28 x</v>
      </c>
      <c r="C435" s="319"/>
      <c r="I435" s="57"/>
    </row>
    <row r="436" spans="1:9" x14ac:dyDescent="0.3">
      <c r="A436" s="56"/>
      <c r="I436" s="57"/>
    </row>
    <row r="437" spans="1:9" x14ac:dyDescent="0.3">
      <c r="A437" s="56" t="s">
        <v>267</v>
      </c>
      <c r="B437" t="str">
        <f>Cin*1000000&amp;"µF"</f>
        <v>100µF</v>
      </c>
      <c r="I437" s="57"/>
    </row>
    <row r="438" spans="1:9" x14ac:dyDescent="0.3">
      <c r="A438" s="223" t="s">
        <v>343</v>
      </c>
      <c r="B438" t="str">
        <f>"10µF"</f>
        <v>10µF</v>
      </c>
      <c r="I438" s="57"/>
    </row>
    <row r="439" spans="1:9" x14ac:dyDescent="0.3">
      <c r="A439" s="223" t="s">
        <v>342</v>
      </c>
      <c r="B439" s="120" t="str">
        <f>ROUNDUP(Cin*1000000/10,0)&amp;" x"</f>
        <v>10 x</v>
      </c>
      <c r="C439" s="319"/>
      <c r="I439" s="57"/>
    </row>
    <row r="440" spans="1:9" x14ac:dyDescent="0.3">
      <c r="A440" s="223"/>
      <c r="B440" s="120"/>
      <c r="C440" s="319"/>
      <c r="I440" s="57"/>
    </row>
    <row r="441" spans="1:9" x14ac:dyDescent="0.3">
      <c r="A441" s="56" t="str">
        <f>"RC1 = "&amp;Rcea1_u/1000&amp;"kΩ"</f>
        <v>RC1 = 68.1kΩ</v>
      </c>
      <c r="B441" t="str">
        <f>ROUND(Rcea1_u/1000,2)&amp;"kΩ"</f>
        <v>68.1kΩ</v>
      </c>
      <c r="I441" s="57"/>
    </row>
    <row r="442" spans="1:9" x14ac:dyDescent="0.3">
      <c r="A442" s="56" t="str">
        <f>"CC1 = "&amp;Cc1ea_u*10^9&amp;"nF"</f>
        <v>CC1 = 12nF</v>
      </c>
      <c r="B442" t="str">
        <f>Cc1ea_u*10^9&amp;"nF"</f>
        <v>12nF</v>
      </c>
      <c r="I442" s="57"/>
    </row>
    <row r="443" spans="1:9" x14ac:dyDescent="0.3">
      <c r="A443" s="56" t="str">
        <f>"CC2 = "&amp;IF(Cc2ea_u&gt;0, Cc2ea_u*10^12&amp;"pF", "OPEN")</f>
        <v>CC2 = 12pF</v>
      </c>
      <c r="B443" t="str">
        <f>IF(Cc2ea_u&gt;0, ROUND(Cc2ea_u*10^12,1)&amp;"pF", "N/A")</f>
        <v>12pF</v>
      </c>
      <c r="I443" s="57"/>
    </row>
    <row r="444" spans="1:9" x14ac:dyDescent="0.3">
      <c r="A444" s="56"/>
      <c r="I444" s="57"/>
    </row>
    <row r="445" spans="1:9" x14ac:dyDescent="0.3">
      <c r="A445" s="56" t="str">
        <f>"gm = "&amp;$B$239*1000&amp;"mS"</f>
        <v>gm = 1.27mS</v>
      </c>
      <c r="B445" t="str">
        <f>$B$239*1000&amp;"mS"</f>
        <v>1.27mS</v>
      </c>
      <c r="I445" s="57"/>
    </row>
    <row r="446" spans="1:9" x14ac:dyDescent="0.3">
      <c r="A446" s="56" t="str">
        <f>"RoEA = "&amp;RoEA/1000000&amp;"MΩ"</f>
        <v>RoEA = 20MΩ</v>
      </c>
      <c r="B446" t="str">
        <f>RoEA/1000000&amp;"MΩ"</f>
        <v>20MΩ</v>
      </c>
      <c r="I446" s="57"/>
    </row>
    <row r="447" spans="1:9" x14ac:dyDescent="0.3">
      <c r="A447" s="56" t="str">
        <f>"GBW = "&amp;GBW&amp;"MHz"</f>
        <v>GBW = 8MHz</v>
      </c>
      <c r="B447" t="str">
        <f>GBW&amp;"MHz"</f>
        <v>8MHz</v>
      </c>
      <c r="I447" s="57"/>
    </row>
    <row r="448" spans="1:9" x14ac:dyDescent="0.3">
      <c r="A448" s="56"/>
      <c r="I448" s="57"/>
    </row>
    <row r="449" spans="1:9" x14ac:dyDescent="0.3">
      <c r="A449" s="56" t="str">
        <f>"Cslope = "&amp;Cslope&amp;"pF"</f>
        <v>Cslope = 470pF</v>
      </c>
      <c r="B449" t="str">
        <f>ROUND(Cslope*1,0)&amp;"pF"</f>
        <v>470pF</v>
      </c>
      <c r="I449" s="57"/>
    </row>
    <row r="450" spans="1:9" x14ac:dyDescent="0.3">
      <c r="A450" s="56" t="str">
        <f>IF(DITHER=1, "Cdither = "&amp;Cdither*1000000000&amp;"nF", "")</f>
        <v>Cdither = 10nF</v>
      </c>
      <c r="B450" t="str">
        <f>IF(DITHER=1, ROUND(Cdither*1000000000,0)&amp;"nF", "")</f>
        <v>10nF</v>
      </c>
      <c r="C450" s="2" t="str">
        <f>IF(DITHER=1, "Cd", "")</f>
        <v>Cd</v>
      </c>
      <c r="I450" s="57"/>
    </row>
    <row r="451" spans="1:9" x14ac:dyDescent="0.3">
      <c r="A451" s="56" t="str">
        <f>"RFB1 = "&amp;'Design Converter'!E73&amp;"kΩ"</f>
        <v>RFB1 = 100kΩ</v>
      </c>
      <c r="B451" t="str">
        <f>'Design Converter'!E73&amp;"kΩ"</f>
        <v>100kΩ</v>
      </c>
      <c r="I451" s="57"/>
    </row>
    <row r="452" spans="1:9" x14ac:dyDescent="0.3">
      <c r="A452" s="56" t="str">
        <f>"RFB2 = "&amp;IF(Vout=Vref,"OPEN",'Design Converter'!E74&amp;"kΩ")</f>
        <v>RFB2 = 1.69kΩ</v>
      </c>
      <c r="B452" t="str">
        <f>IF(Vout=Vref,"OPEN",Rfb2_u/1000&amp;"kΩ")</f>
        <v>1.69kΩ</v>
      </c>
      <c r="I452" s="57"/>
    </row>
    <row r="453" spans="1:9" x14ac:dyDescent="0.3">
      <c r="A453" s="56" t="str">
        <f>"Crossover Frequency = "&amp;ROUND('Stability Calculations'!Q4,1)&amp;" kHz"</f>
        <v>Crossover Frequency = 6.8 kHz</v>
      </c>
      <c r="B453" t="str">
        <f>ROUND('Stability Calculations'!Q4,1)&amp;" kHz"</f>
        <v>6.8 kHz</v>
      </c>
      <c r="D453" s="119">
        <f>'Stability Calculations'!Q4</f>
        <v>6.83955</v>
      </c>
      <c r="I453" s="57"/>
    </row>
    <row r="454" spans="1:9" x14ac:dyDescent="0.3">
      <c r="A454" s="56" t="str">
        <f>"Phase Margin = "&amp;ROUND('Stability Calculations'!Q5,0)&amp;"°"</f>
        <v>Phase Margin = 57°</v>
      </c>
      <c r="B454" s="120" t="str">
        <f>ROUND('Stability Calculations'!Q5,0)&amp;"°"</f>
        <v>57°</v>
      </c>
      <c r="C454" s="319"/>
      <c r="E454" s="225"/>
      <c r="I454" s="57"/>
    </row>
    <row r="455" spans="1:9" x14ac:dyDescent="0.3">
      <c r="A455" s="56"/>
      <c r="B455" s="120"/>
      <c r="C455" s="319"/>
      <c r="E455" s="225"/>
      <c r="I455" s="57"/>
    </row>
    <row r="456" spans="1:9" x14ac:dyDescent="0.3">
      <c r="A456" s="66" t="s">
        <v>917</v>
      </c>
      <c r="B456" s="540" t="str">
        <f>IF(PLOT_TYPE=1, "", ROUND('Efficiency vs VIN Calculations'!BH9,1)&amp;"%")</f>
        <v/>
      </c>
      <c r="C456" s="319"/>
      <c r="E456" s="225"/>
      <c r="I456" s="57"/>
    </row>
    <row r="457" spans="1:9" x14ac:dyDescent="0.3">
      <c r="A457" s="66" t="s">
        <v>915</v>
      </c>
      <c r="B457" s="540" t="str">
        <f>IF(PLOT_TYPE=1, ROUND('Efficiency vs Load Calculations'!BH109,1)&amp;"%", ROUND('Efficiency vs VIN Calculations'!BH209,1)&amp;"%")</f>
        <v>129.7%</v>
      </c>
      <c r="C457" s="319"/>
      <c r="E457" s="225"/>
      <c r="I457" s="57"/>
    </row>
    <row r="458" spans="1:9" x14ac:dyDescent="0.3">
      <c r="A458" s="66" t="s">
        <v>916</v>
      </c>
      <c r="B458" s="540" t="str">
        <f>IF(PLOT_TYPE=1, ROUND('Efficiency vs Load Calculations'!BH59,1)&amp;"%", ROUND('Efficiency vs VIN Calculations'!BH109,1)&amp;"%")</f>
        <v>92.1%</v>
      </c>
      <c r="C458" s="319"/>
      <c r="E458" s="225"/>
      <c r="I458" s="57"/>
    </row>
    <row r="459" spans="1:9" x14ac:dyDescent="0.3">
      <c r="A459" s="56"/>
      <c r="B459" s="120"/>
      <c r="C459" s="319"/>
      <c r="E459" s="225"/>
      <c r="I459" s="57"/>
    </row>
    <row r="460" spans="1:9" x14ac:dyDescent="0.3">
      <c r="A460" s="56" t="str">
        <f>"CDITH = "&amp;Cdither*1000000000&amp;"nF"</f>
        <v>CDITH = 10nF</v>
      </c>
      <c r="B460" t="str">
        <f>Cdither*1000000000&amp;"nF"</f>
        <v>10nF</v>
      </c>
      <c r="I460" s="57"/>
    </row>
    <row r="461" spans="1:9" x14ac:dyDescent="0.3">
      <c r="A461" s="56" t="str">
        <f>"Rs = "&amp;Rs&amp;"Ω"</f>
        <v>Rs = 0.003Ω</v>
      </c>
      <c r="B461" t="str">
        <f>'Standard Value Calculator'!O6&amp;"Ω"</f>
        <v>2.49Ω</v>
      </c>
      <c r="I461" s="57"/>
    </row>
    <row r="462" spans="1:9" x14ac:dyDescent="0.3">
      <c r="A462" s="56" t="s">
        <v>225</v>
      </c>
      <c r="B462" t="str">
        <f>'Standard Value Calculator'!O13&amp;"mΩ"</f>
        <v>1.1mΩ</v>
      </c>
      <c r="I462" s="57"/>
    </row>
    <row r="463" spans="1:9" x14ac:dyDescent="0.3">
      <c r="A463" s="56" t="s">
        <v>200</v>
      </c>
      <c r="B463" t="str">
        <f>'Standard Value Calculator'!O6&amp;"mΩ"</f>
        <v>2.49mΩ</v>
      </c>
      <c r="I463" s="57"/>
    </row>
    <row r="464" spans="1:9" x14ac:dyDescent="0.3">
      <c r="A464" s="56" t="str">
        <f>"Rshunt = "&amp;ROUND(Rshunt,1)&amp;"mΩ"</f>
        <v>Rshunt = 2.5mΩ</v>
      </c>
      <c r="B464" t="str">
        <f>IF(Rshunt="0", "N/A",ROUND(Rshunt,1)&amp;"mΩ")</f>
        <v>2.5mΩ</v>
      </c>
      <c r="I464" s="57"/>
    </row>
    <row r="465" spans="1:9" x14ac:dyDescent="0.3">
      <c r="A465" s="56"/>
      <c r="I465" s="57"/>
    </row>
    <row r="466" spans="1:9" x14ac:dyDescent="0.3">
      <c r="A466" s="223" t="s">
        <v>338</v>
      </c>
      <c r="B466" s="118" t="s">
        <v>339</v>
      </c>
      <c r="I466" s="57"/>
    </row>
    <row r="467" spans="1:9" x14ac:dyDescent="0.3">
      <c r="A467" s="223"/>
      <c r="B467" s="118"/>
      <c r="I467" s="57"/>
    </row>
    <row r="468" spans="1:9" x14ac:dyDescent="0.3">
      <c r="A468" s="223"/>
      <c r="B468" s="118"/>
      <c r="I468" s="57"/>
    </row>
    <row r="469" spans="1:9" x14ac:dyDescent="0.3">
      <c r="A469" s="223" t="s">
        <v>359</v>
      </c>
      <c r="B469" t="str">
        <f>'Standard Value Calculator'!O4/1000&amp;"kΩ"</f>
        <v>12.7kΩ</v>
      </c>
      <c r="I469" s="57"/>
    </row>
    <row r="470" spans="1:9" x14ac:dyDescent="0.3">
      <c r="A470" s="56" t="s">
        <v>183</v>
      </c>
      <c r="B470" t="str">
        <f>'Standard Value Calculator'!B4*1000000000 &amp;"nF"</f>
        <v>330nF</v>
      </c>
      <c r="I470" s="57"/>
    </row>
    <row r="471" spans="1:9" x14ac:dyDescent="0.3">
      <c r="A471" s="223" t="s">
        <v>438</v>
      </c>
      <c r="B471" s="118" t="str">
        <f>Cslope &amp;"pF"</f>
        <v>470pF</v>
      </c>
      <c r="I471" s="57"/>
    </row>
    <row r="472" spans="1:9" x14ac:dyDescent="0.3">
      <c r="A472" s="56" t="s">
        <v>226</v>
      </c>
      <c r="B472" t="str">
        <f>IF(B99="y","","|")</f>
        <v>|</v>
      </c>
      <c r="I472" s="57"/>
    </row>
    <row r="473" spans="1:9" x14ac:dyDescent="0.3">
      <c r="A473" s="56" t="s">
        <v>243</v>
      </c>
      <c r="B473" t="str">
        <f>'Design Converter'!$E$10&amp;"A"</f>
        <v>10A</v>
      </c>
      <c r="I473" s="57"/>
    </row>
    <row r="474" spans="1:9" x14ac:dyDescent="0.3">
      <c r="A474" s="56" t="s">
        <v>175</v>
      </c>
      <c r="B474" t="str">
        <f>VIN_nom&amp;"V"</f>
        <v>12V</v>
      </c>
      <c r="I474" s="57"/>
    </row>
    <row r="475" spans="1:9" x14ac:dyDescent="0.3">
      <c r="A475" s="223" t="s">
        <v>933</v>
      </c>
      <c r="B475" t="str">
        <f>VIN_min&amp;"V"&amp;"..."&amp;VIN_max&amp;"V"</f>
        <v>5V...20V</v>
      </c>
      <c r="I475" s="57"/>
    </row>
    <row r="476" spans="1:9" x14ac:dyDescent="0.3">
      <c r="A476" s="56"/>
      <c r="I476" s="57"/>
    </row>
    <row r="477" spans="1:9" x14ac:dyDescent="0.3">
      <c r="A477" s="56" t="s">
        <v>251</v>
      </c>
      <c r="B477">
        <v>12</v>
      </c>
      <c r="I477" s="57"/>
    </row>
    <row r="478" spans="1:9" x14ac:dyDescent="0.3">
      <c r="A478" s="56" t="s">
        <v>252</v>
      </c>
      <c r="B478">
        <v>18</v>
      </c>
      <c r="I478" s="57"/>
    </row>
    <row r="479" spans="1:9" x14ac:dyDescent="0.3">
      <c r="A479" s="56" t="s">
        <v>253</v>
      </c>
      <c r="B479">
        <v>14</v>
      </c>
      <c r="I479" s="57"/>
    </row>
    <row r="480" spans="1:9" x14ac:dyDescent="0.3">
      <c r="A480" s="56" t="s">
        <v>254</v>
      </c>
      <c r="B480">
        <v>6</v>
      </c>
      <c r="I480" s="57"/>
    </row>
    <row r="481" spans="1:9" x14ac:dyDescent="0.3">
      <c r="A481" s="56" t="s">
        <v>255</v>
      </c>
      <c r="B481">
        <v>7</v>
      </c>
      <c r="I481" s="57"/>
    </row>
    <row r="482" spans="1:9" x14ac:dyDescent="0.3">
      <c r="A482" s="56" t="s">
        <v>256</v>
      </c>
      <c r="B482">
        <v>11</v>
      </c>
      <c r="I482" s="57"/>
    </row>
    <row r="483" spans="1:9" x14ac:dyDescent="0.3">
      <c r="A483" s="56" t="s">
        <v>257</v>
      </c>
      <c r="B483">
        <v>1</v>
      </c>
      <c r="I483" s="57"/>
    </row>
    <row r="484" spans="1:9" x14ac:dyDescent="0.3">
      <c r="A484" s="56" t="s">
        <v>258</v>
      </c>
      <c r="B484">
        <v>5</v>
      </c>
      <c r="I484" s="57"/>
    </row>
    <row r="485" spans="1:9" x14ac:dyDescent="0.3">
      <c r="A485" s="56" t="s">
        <v>259</v>
      </c>
      <c r="B485">
        <v>13</v>
      </c>
      <c r="I485" s="57"/>
    </row>
    <row r="486" spans="1:9" x14ac:dyDescent="0.3">
      <c r="A486" s="56" t="s">
        <v>260</v>
      </c>
      <c r="B486">
        <v>4</v>
      </c>
      <c r="I486" s="57"/>
    </row>
    <row r="487" spans="1:9" x14ac:dyDescent="0.3">
      <c r="A487" s="56" t="s">
        <v>261</v>
      </c>
      <c r="B487">
        <v>3</v>
      </c>
      <c r="I487" s="57"/>
    </row>
    <row r="488" spans="1:9" x14ac:dyDescent="0.3">
      <c r="A488" s="56" t="s">
        <v>262</v>
      </c>
      <c r="B488">
        <v>24</v>
      </c>
      <c r="I488" s="57"/>
    </row>
    <row r="489" spans="1:9" x14ac:dyDescent="0.3">
      <c r="A489" s="56" t="s">
        <v>263</v>
      </c>
      <c r="B489">
        <v>23</v>
      </c>
      <c r="I489" s="57"/>
    </row>
    <row r="490" spans="1:9" x14ac:dyDescent="0.3">
      <c r="A490" s="56" t="s">
        <v>264</v>
      </c>
      <c r="B490">
        <v>15</v>
      </c>
      <c r="I490" s="57"/>
    </row>
    <row r="491" spans="1:9" x14ac:dyDescent="0.3">
      <c r="A491" s="56" t="s">
        <v>265</v>
      </c>
      <c r="B491">
        <v>16</v>
      </c>
      <c r="I491" s="57"/>
    </row>
    <row r="492" spans="1:9" x14ac:dyDescent="0.3">
      <c r="A492" s="56" t="s">
        <v>266</v>
      </c>
      <c r="B492">
        <v>17</v>
      </c>
      <c r="I492" s="57"/>
    </row>
    <row r="493" spans="1:9" x14ac:dyDescent="0.3">
      <c r="A493" t="s">
        <v>278</v>
      </c>
      <c r="B493">
        <v>2</v>
      </c>
      <c r="I493" s="57"/>
    </row>
    <row r="494" spans="1:9" x14ac:dyDescent="0.3">
      <c r="A494" s="56" t="s">
        <v>277</v>
      </c>
      <c r="B494">
        <v>8</v>
      </c>
      <c r="I494" s="57"/>
    </row>
    <row r="495" spans="1:9" ht="12.9" thickBot="1" x14ac:dyDescent="0.35">
      <c r="A495" s="60"/>
      <c r="B495" s="61"/>
      <c r="C495" s="318"/>
      <c r="D495" s="61"/>
      <c r="E495" s="61"/>
      <c r="F495" s="61"/>
      <c r="G495" s="61"/>
      <c r="H495" s="61"/>
      <c r="I495" s="62"/>
    </row>
  </sheetData>
  <sheetProtection selectLockedCells="1"/>
  <mergeCells count="2">
    <mergeCell ref="E5:H5"/>
    <mergeCell ref="A1:I1"/>
  </mergeCells>
  <phoneticPr fontId="6" type="noConversion"/>
  <pageMargins left="0.75" right="0.75" top="1" bottom="1" header="0.5" footer="0.5"/>
  <pageSetup orientation="portrait" r:id="rId1"/>
  <headerFooter alignWithMargins="0"/>
  <ignoredErrors>
    <ignoredError sqref="B291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9"/>
  <sheetViews>
    <sheetView zoomScaleNormal="100" workbookViewId="0">
      <selection activeCell="E5" sqref="E5"/>
    </sheetView>
  </sheetViews>
  <sheetFormatPr defaultRowHeight="12.45" x14ac:dyDescent="0.3"/>
  <cols>
    <col min="1" max="1" width="10.53515625" customWidth="1"/>
    <col min="2" max="2" width="133.84375" customWidth="1"/>
  </cols>
  <sheetData>
    <row r="2" spans="1:2" x14ac:dyDescent="0.3">
      <c r="A2" t="str">
        <f>IF(DITHER=1, "SCH_WITH_DITH", "SCH_NO_DITH")</f>
        <v>SCH_WITH_DITH</v>
      </c>
    </row>
    <row r="5" spans="1:2" ht="393" customHeight="1" x14ac:dyDescent="0.3">
      <c r="B5" s="599"/>
    </row>
    <row r="6" spans="1:2" ht="12" customHeight="1" x14ac:dyDescent="0.3">
      <c r="B6" s="599"/>
    </row>
    <row r="7" spans="1:2" ht="34.5" customHeight="1" x14ac:dyDescent="0.3"/>
    <row r="8" spans="1:2" ht="393" customHeight="1" x14ac:dyDescent="0.3">
      <c r="B8" s="599"/>
    </row>
    <row r="9" spans="1:2" x14ac:dyDescent="0.3">
      <c r="B9" s="599"/>
    </row>
  </sheetData>
  <phoneticPr fontId="98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7"/>
  <sheetViews>
    <sheetView zoomScaleNormal="100" workbookViewId="0">
      <selection activeCell="B5" sqref="B5"/>
    </sheetView>
  </sheetViews>
  <sheetFormatPr defaultRowHeight="12.45" x14ac:dyDescent="0.3"/>
  <cols>
    <col min="1" max="1" width="10.53515625" customWidth="1"/>
    <col min="2" max="2" width="126" customWidth="1"/>
  </cols>
  <sheetData>
    <row r="2" spans="1:2" x14ac:dyDescent="0.3">
      <c r="A2" t="str">
        <f>IF(PLOT_TYPE=1, "EFF_IOUT", "EFF_VIN")</f>
        <v>EFF_IOUT</v>
      </c>
    </row>
    <row r="5" spans="1:2" ht="409.5" customHeight="1" x14ac:dyDescent="0.3">
      <c r="B5" s="599"/>
    </row>
    <row r="7" spans="1:2" ht="409.5" customHeight="1" x14ac:dyDescent="0.3">
      <c r="B7" s="599"/>
    </row>
  </sheetData>
  <phoneticPr fontId="98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CD235"/>
  <sheetViews>
    <sheetView topLeftCell="F1" zoomScaleNormal="100" workbookViewId="0">
      <pane ySplit="8" topLeftCell="A9" activePane="bottomLeft" state="frozen"/>
      <selection pane="bottomLeft" activeCell="J97" sqref="J97"/>
    </sheetView>
  </sheetViews>
  <sheetFormatPr defaultRowHeight="12.45" x14ac:dyDescent="0.3"/>
  <cols>
    <col min="1" max="1" width="19.84375" customWidth="1"/>
    <col min="2" max="2" width="13.15234375" bestFit="1" customWidth="1"/>
    <col min="4" max="4" width="71.53515625" customWidth="1"/>
    <col min="6" max="6" width="9.15234375" customWidth="1"/>
    <col min="7" max="7" width="6.84375" customWidth="1"/>
    <col min="8" max="8" width="9.15234375" style="609"/>
    <col min="9" max="9" width="11" customWidth="1"/>
    <col min="10" max="10" width="6.69140625" customWidth="1"/>
    <col min="11" max="11" width="5.84375" customWidth="1"/>
    <col min="12" max="13" width="7.15234375" customWidth="1"/>
    <col min="14" max="14" width="10.69140625" style="386" customWidth="1"/>
    <col min="15" max="15" width="11.3828125" style="386" customWidth="1"/>
    <col min="16" max="16" width="8.84375" style="4" customWidth="1"/>
    <col min="17" max="17" width="8" style="4" customWidth="1"/>
    <col min="18" max="18" width="10.3046875" style="335" bestFit="1" customWidth="1"/>
    <col min="19" max="19" width="8" customWidth="1"/>
    <col min="20" max="20" width="9.3046875" customWidth="1"/>
    <col min="21" max="21" width="10.3046875" style="4" customWidth="1"/>
    <col min="22" max="22" width="9.84375" customWidth="1"/>
    <col min="23" max="23" width="10.69140625" customWidth="1"/>
    <col min="24" max="24" width="9.69140625" style="335" customWidth="1"/>
    <col min="25" max="25" width="10.53515625" customWidth="1"/>
    <col min="27" max="28" width="8.53515625" customWidth="1"/>
    <col min="29" max="29" width="10" customWidth="1"/>
    <col min="30" max="30" width="8" customWidth="1"/>
    <col min="31" max="31" width="9.84375" customWidth="1"/>
    <col min="32" max="32" width="8.84375" customWidth="1"/>
    <col min="33" max="33" width="10.53515625" bestFit="1" customWidth="1"/>
    <col min="34" max="34" width="11.15234375" customWidth="1"/>
    <col min="35" max="35" width="10.3046875" customWidth="1"/>
    <col min="36" max="37" width="8.53515625" customWidth="1"/>
    <col min="38" max="38" width="10" customWidth="1"/>
    <col min="39" max="39" width="8" customWidth="1"/>
    <col min="40" max="40" width="9.84375" customWidth="1"/>
    <col min="41" max="41" width="8.84375" customWidth="1"/>
    <col min="42" max="42" width="10.53515625" bestFit="1" customWidth="1"/>
    <col min="43" max="43" width="11.15234375" customWidth="1"/>
    <col min="44" max="44" width="10.3046875" customWidth="1"/>
    <col min="45" max="45" width="12.3046875" style="335" customWidth="1"/>
    <col min="46" max="46" width="13.69140625" customWidth="1"/>
    <col min="47" max="47" width="12" style="335" customWidth="1"/>
    <col min="48" max="48" width="10.69140625" customWidth="1"/>
    <col min="49" max="49" width="11" customWidth="1"/>
    <col min="50" max="50" width="9.3046875" customWidth="1"/>
    <col min="51" max="52" width="10.3828125" customWidth="1"/>
    <col min="54" max="54" width="8.3828125" style="4" customWidth="1"/>
    <col min="55" max="55" width="7.3046875" customWidth="1"/>
    <col min="56" max="56" width="10.15234375" style="9" customWidth="1"/>
    <col min="57" max="57" width="10.3828125" style="406" customWidth="1"/>
    <col min="58" max="58" width="10.53515625" style="406" customWidth="1"/>
    <col min="59" max="59" width="3.3046875" customWidth="1"/>
    <col min="60" max="60" width="9.3046875" style="386" customWidth="1"/>
    <col min="61" max="61" width="9.15234375" style="335"/>
    <col min="62" max="62" width="10.3046875" style="335" customWidth="1"/>
    <col min="63" max="63" width="8.84375" style="335" customWidth="1"/>
    <col min="64" max="64" width="7.84375" customWidth="1"/>
    <col min="68" max="68" width="28.3828125" customWidth="1"/>
    <col min="71" max="71" width="12.3828125" bestFit="1" customWidth="1"/>
  </cols>
  <sheetData>
    <row r="1" spans="1:82" ht="12.75" customHeight="1" x14ac:dyDescent="0.3">
      <c r="A1" s="718" t="s">
        <v>888</v>
      </c>
      <c r="B1" s="718"/>
      <c r="C1" s="718"/>
      <c r="D1" s="718"/>
    </row>
    <row r="2" spans="1:82" ht="12.75" customHeight="1" x14ac:dyDescent="0.3">
      <c r="A2" s="718"/>
      <c r="B2" s="718"/>
      <c r="C2" s="718"/>
      <c r="D2" s="718"/>
      <c r="H2" s="615">
        <f>BD9</f>
        <v>0.96619016977170713</v>
      </c>
      <c r="I2" s="118" t="s">
        <v>923</v>
      </c>
      <c r="AI2" s="118"/>
      <c r="AJ2" s="118"/>
    </row>
    <row r="3" spans="1:82" ht="12.75" customHeight="1" x14ac:dyDescent="0.3">
      <c r="A3" s="718"/>
      <c r="B3" s="718"/>
      <c r="C3" s="718"/>
      <c r="D3" s="718"/>
      <c r="H3" s="615">
        <f>BD109</f>
        <v>-3.706199765864461</v>
      </c>
      <c r="I3" s="118" t="s">
        <v>925</v>
      </c>
      <c r="AI3" s="118"/>
      <c r="AJ3" s="118"/>
    </row>
    <row r="4" spans="1:82" ht="12.75" customHeight="1" x14ac:dyDescent="0.3">
      <c r="A4" s="718"/>
      <c r="B4" s="718"/>
      <c r="C4" s="718"/>
      <c r="D4" s="718"/>
      <c r="H4" s="615">
        <f>BD209</f>
        <v>0.91943756403608312</v>
      </c>
      <c r="I4" s="118" t="s">
        <v>924</v>
      </c>
      <c r="AI4" s="118"/>
      <c r="AJ4" s="118"/>
    </row>
    <row r="5" spans="1:82" x14ac:dyDescent="0.3">
      <c r="A5" s="10"/>
      <c r="B5" s="11"/>
      <c r="C5" s="6"/>
      <c r="D5" s="6"/>
    </row>
    <row r="6" spans="1:82" ht="13.5" customHeight="1" thickBot="1" x14ac:dyDescent="0.35">
      <c r="A6" s="719" t="s">
        <v>682</v>
      </c>
      <c r="B6" s="719"/>
      <c r="C6" s="719"/>
      <c r="D6" s="719"/>
      <c r="BU6">
        <v>80</v>
      </c>
      <c r="BV6">
        <v>100</v>
      </c>
      <c r="BW6">
        <v>120</v>
      </c>
      <c r="BX6">
        <v>140</v>
      </c>
      <c r="BY6">
        <v>160</v>
      </c>
      <c r="BZ6">
        <v>180</v>
      </c>
      <c r="CA6">
        <v>20</v>
      </c>
      <c r="CB6">
        <v>30</v>
      </c>
      <c r="CC6">
        <v>40</v>
      </c>
      <c r="CD6">
        <v>50</v>
      </c>
    </row>
    <row r="7" spans="1:82" ht="12.9" thickBot="1" x14ac:dyDescent="0.35">
      <c r="A7" s="719"/>
      <c r="B7" s="719"/>
      <c r="C7" s="719"/>
      <c r="D7" s="719"/>
      <c r="G7" s="711" t="s">
        <v>903</v>
      </c>
      <c r="H7" s="712"/>
      <c r="I7" s="712"/>
      <c r="J7" s="712"/>
      <c r="K7" s="712"/>
      <c r="L7" s="712"/>
      <c r="M7" s="712"/>
      <c r="N7" s="712"/>
      <c r="O7" s="712"/>
      <c r="P7" s="713"/>
      <c r="Q7" s="711" t="s">
        <v>694</v>
      </c>
      <c r="R7" s="712"/>
      <c r="S7" s="712"/>
      <c r="T7" s="713"/>
      <c r="U7" s="720" t="s">
        <v>27</v>
      </c>
      <c r="V7" s="721"/>
      <c r="W7" s="722"/>
      <c r="X7" s="711" t="s">
        <v>61</v>
      </c>
      <c r="Y7" s="712"/>
      <c r="Z7" s="713"/>
      <c r="AA7" s="711" t="s">
        <v>898</v>
      </c>
      <c r="AB7" s="712"/>
      <c r="AC7" s="712"/>
      <c r="AD7" s="712"/>
      <c r="AE7" s="713"/>
      <c r="AF7" s="711" t="s">
        <v>899</v>
      </c>
      <c r="AG7" s="712"/>
      <c r="AH7" s="712"/>
      <c r="AI7" s="713"/>
      <c r="AJ7" s="711" t="s">
        <v>900</v>
      </c>
      <c r="AK7" s="712"/>
      <c r="AL7" s="712"/>
      <c r="AM7" s="712"/>
      <c r="AN7" s="713"/>
      <c r="AO7" s="711" t="s">
        <v>901</v>
      </c>
      <c r="AP7" s="712"/>
      <c r="AQ7" s="712"/>
      <c r="AR7" s="713"/>
      <c r="AS7" s="510" t="s">
        <v>893</v>
      </c>
      <c r="AT7" s="508" t="s">
        <v>237</v>
      </c>
      <c r="AU7" s="511" t="s">
        <v>656</v>
      </c>
      <c r="AV7" s="509" t="s">
        <v>714</v>
      </c>
      <c r="AW7" s="509" t="s">
        <v>711</v>
      </c>
      <c r="AX7" s="714" t="s">
        <v>701</v>
      </c>
      <c r="AY7" s="715"/>
      <c r="AZ7" s="715"/>
      <c r="BA7" s="716"/>
      <c r="BB7" s="711" t="s">
        <v>709</v>
      </c>
      <c r="BC7" s="712"/>
      <c r="BD7" s="712"/>
      <c r="BE7" s="712"/>
      <c r="BF7" s="712"/>
      <c r="BG7" s="605"/>
      <c r="BH7" s="717" t="s">
        <v>710</v>
      </c>
      <c r="BI7" s="717"/>
      <c r="BJ7" s="717"/>
      <c r="BK7" s="717"/>
      <c r="BL7" s="717"/>
    </row>
    <row r="8" spans="1:82" ht="50.15" thickBot="1" x14ac:dyDescent="0.75">
      <c r="A8" s="13" t="s">
        <v>112</v>
      </c>
      <c r="B8" s="13"/>
      <c r="C8" s="13"/>
      <c r="D8" s="6"/>
      <c r="G8" s="493" t="s">
        <v>57</v>
      </c>
      <c r="H8" s="608" t="s">
        <v>4</v>
      </c>
      <c r="I8" s="600" t="s">
        <v>902</v>
      </c>
      <c r="J8" s="600" t="s">
        <v>904</v>
      </c>
      <c r="K8" s="494" t="s">
        <v>6</v>
      </c>
      <c r="L8" s="494" t="s">
        <v>412</v>
      </c>
      <c r="M8" s="494" t="s">
        <v>912</v>
      </c>
      <c r="N8" s="505" t="s">
        <v>909</v>
      </c>
      <c r="O8" s="611" t="s">
        <v>910</v>
      </c>
      <c r="P8" s="602" t="s">
        <v>695</v>
      </c>
      <c r="Q8" s="601" t="s">
        <v>897</v>
      </c>
      <c r="R8" s="507" t="s">
        <v>91</v>
      </c>
      <c r="S8" s="494" t="s">
        <v>896</v>
      </c>
      <c r="T8" s="495" t="s">
        <v>747</v>
      </c>
      <c r="U8" s="601" t="s">
        <v>697</v>
      </c>
      <c r="V8" s="496" t="s">
        <v>696</v>
      </c>
      <c r="W8" s="495" t="s">
        <v>746</v>
      </c>
      <c r="X8" s="506" t="s">
        <v>698</v>
      </c>
      <c r="Y8" s="494" t="s">
        <v>699</v>
      </c>
      <c r="Z8" s="495" t="s">
        <v>744</v>
      </c>
      <c r="AA8" s="493" t="s">
        <v>88</v>
      </c>
      <c r="AB8" s="494" t="s">
        <v>700</v>
      </c>
      <c r="AC8" s="494" t="s">
        <v>889</v>
      </c>
      <c r="AD8" s="497" t="s">
        <v>238</v>
      </c>
      <c r="AE8" s="495" t="s">
        <v>890</v>
      </c>
      <c r="AF8" s="493" t="s">
        <v>88</v>
      </c>
      <c r="AG8" s="494" t="s">
        <v>700</v>
      </c>
      <c r="AH8" s="494" t="s">
        <v>703</v>
      </c>
      <c r="AI8" s="498" t="s">
        <v>891</v>
      </c>
      <c r="AJ8" s="493" t="s">
        <v>88</v>
      </c>
      <c r="AK8" s="494" t="s">
        <v>700</v>
      </c>
      <c r="AL8" s="494" t="s">
        <v>889</v>
      </c>
      <c r="AM8" s="497" t="s">
        <v>238</v>
      </c>
      <c r="AN8" s="495" t="s">
        <v>890</v>
      </c>
      <c r="AO8" s="493" t="s">
        <v>88</v>
      </c>
      <c r="AP8" s="494" t="s">
        <v>700</v>
      </c>
      <c r="AQ8" s="494" t="s">
        <v>703</v>
      </c>
      <c r="AR8" s="498" t="s">
        <v>891</v>
      </c>
      <c r="AS8" s="507" t="s">
        <v>892</v>
      </c>
      <c r="AT8" s="495" t="s">
        <v>703</v>
      </c>
      <c r="AU8" s="512" t="s">
        <v>97</v>
      </c>
      <c r="AV8" s="513" t="s">
        <v>713</v>
      </c>
      <c r="AW8" s="513" t="s">
        <v>712</v>
      </c>
      <c r="AX8" s="499" t="s">
        <v>704</v>
      </c>
      <c r="AY8" s="500" t="s">
        <v>166</v>
      </c>
      <c r="AZ8" s="501" t="s">
        <v>240</v>
      </c>
      <c r="BA8" s="502" t="s">
        <v>702</v>
      </c>
      <c r="BB8" s="503" t="s">
        <v>58</v>
      </c>
      <c r="BC8" s="494" t="s">
        <v>394</v>
      </c>
      <c r="BD8" s="504" t="s">
        <v>706</v>
      </c>
      <c r="BE8" s="613" t="s">
        <v>894</v>
      </c>
      <c r="BF8" s="613" t="s">
        <v>895</v>
      </c>
      <c r="BH8" s="606" t="s">
        <v>705</v>
      </c>
      <c r="BI8" s="607" t="s">
        <v>745</v>
      </c>
      <c r="BJ8" s="607" t="s">
        <v>914</v>
      </c>
      <c r="BK8" s="607" t="s">
        <v>891</v>
      </c>
      <c r="BL8" s="607" t="s">
        <v>870</v>
      </c>
      <c r="BM8" s="607"/>
      <c r="BS8" t="s">
        <v>132</v>
      </c>
      <c r="BU8" t="s">
        <v>124</v>
      </c>
      <c r="BV8" t="s">
        <v>125</v>
      </c>
      <c r="BW8" t="s">
        <v>126</v>
      </c>
      <c r="BX8" t="s">
        <v>127</v>
      </c>
      <c r="BY8" t="s">
        <v>128</v>
      </c>
      <c r="BZ8" t="s">
        <v>129</v>
      </c>
      <c r="CA8" t="s">
        <v>133</v>
      </c>
      <c r="CB8" t="s">
        <v>134</v>
      </c>
      <c r="CC8" t="s">
        <v>135</v>
      </c>
      <c r="CD8" t="s">
        <v>136</v>
      </c>
    </row>
    <row r="9" spans="1:82" x14ac:dyDescent="0.3">
      <c r="A9" s="14" t="s">
        <v>59</v>
      </c>
      <c r="B9" s="15" t="s">
        <v>115</v>
      </c>
      <c r="C9" s="16" t="s">
        <v>80</v>
      </c>
      <c r="D9" s="17" t="s">
        <v>111</v>
      </c>
      <c r="G9">
        <v>0</v>
      </c>
      <c r="H9" s="610">
        <f t="shared" ref="H9:H72" si="0">VIN_min+(VIN_max-VIN_min)*(G9/200)</f>
        <v>5</v>
      </c>
      <c r="I9" s="4" t="str">
        <f t="shared" ref="I9:I72" si="1">IF(H9&gt;VIN_BB_to_buck, "BUCK", IF(H9&lt;VIN_boost_to_BB,"BOOST","BUCK-BST"))</f>
        <v>BOOST</v>
      </c>
      <c r="J9">
        <f>IF(I9="BOOST",2, IF(I9="BUCK", 1,3))</f>
        <v>2</v>
      </c>
      <c r="K9">
        <f t="shared" ref="K9:K72" si="2">Iout</f>
        <v>10</v>
      </c>
      <c r="L9" s="4">
        <f t="shared" ref="L9:L72" si="3">Vout*K9/(H9*Efficiency)</f>
        <v>106.66666666666667</v>
      </c>
      <c r="M9" s="4">
        <f t="shared" ref="M9:M72" si="4">Iout/(1-O9)</f>
        <v>127.80557541100801</v>
      </c>
      <c r="N9" s="386">
        <f t="shared" ref="N9:N72" si="5">CHOOSE(J9,(Vout+(Rdson2+Rs+Rdcr)*K9)/(H9+(Rs+Rdson2-Rdson1)*K9),1,IF(H9&lt;Vout,D_max_buck_BB,Vout/H9*(1-D_min_boost_exitBB_to_buck)))</f>
        <v>1</v>
      </c>
      <c r="O9" s="386">
        <f>CHOOSE(J9,0,(Vout+(Rdson3+Rdcr)*L9-H9)/(Vout+(Rdson3-Rdson4-Rs)*L9), IF(H9&gt;Vout,D_min_boost_exitBB_to_buck, (Vout-H9*D_max_buck_BB)/Vout))</f>
        <v>0.92175615212527973</v>
      </c>
      <c r="P9" s="4">
        <f t="shared" ref="P9:P72" si="6">MAX(0, CHOOSE(J9, (H9-(Rdson1+Rdcr)*K9-Vout)*N9/(Fsw*Lf), (H9-(Rdson4+Rdcr+Rs)*L9)*O9/(Fsw*Lf), IF(H9&lt;Vout, (H9-(Rdson4+Rdcr+Rs)*L9)*O9/(0.5*Fsw*Lf),(H9-(Rdson1+Rdcr)*K9-Vout)*N9/(0.5*Fsw*Lf))))</f>
        <v>1.7367499755195508</v>
      </c>
      <c r="Q9" s="386">
        <f t="shared" ref="Q9:Q72" si="7">CHOOSE(J9, SQRT(K9^2+(P9^2)/12), SQRT(L9^2+(P9^2)/12), SQRT(M9^2+(P9^2)/12))</f>
        <v>106.6678449025333</v>
      </c>
      <c r="R9" s="386">
        <f t="shared" ref="R9:R73" si="8">(Q9^2*Rdcr*(1+Ltc*Ta-Ltc*25))/(1-Q9^2*Rdcr*Ltc*ThetaCa)</f>
        <v>-14.827011667096452</v>
      </c>
      <c r="S9" s="386">
        <f>ABS(7.759*10^-3*Fsw^0.9458*(0.00787*P9)^2.304)</f>
        <v>0.11467314679137826</v>
      </c>
      <c r="T9" s="386">
        <f>R9+S9</f>
        <v>-14.712338520305073</v>
      </c>
      <c r="U9" s="4">
        <f t="shared" ref="U9:U72" si="9">IF(H9&gt;Vout, P9/SQRT(12), SQRT(O9/(1-O9))*SQRT(K9^2+(P9^2)/12))</f>
        <v>34.365926379017985</v>
      </c>
      <c r="V9" s="386">
        <f t="shared" ref="V9:V73" si="10">RCoutEsr*U9^2</f>
        <v>2.3620337917761685</v>
      </c>
      <c r="W9" s="386">
        <f>V9</f>
        <v>2.3620337917761685</v>
      </c>
      <c r="X9" s="386">
        <f t="shared" ref="X9:X72" si="11">IF(H9&gt;Vout, SQRT(N9*(1-N9))*SQRT(K9^2+(P9^2)/12), P9/SQRT(12))</f>
        <v>0.50135653294064431</v>
      </c>
      <c r="Y9" s="386">
        <f t="shared" ref="Y9:Y73" si="12">RCinEsr*X9^2</f>
        <v>5.0271674624452673E-4</v>
      </c>
      <c r="Z9" s="603">
        <f>Y9</f>
        <v>5.0271674624452673E-4</v>
      </c>
      <c r="AA9" s="386">
        <f t="shared" ref="AA9:AA72" si="13">CHOOSE(J9, SQRT(N9)*SQRT(K9^2+(P9^2)/12), SQRT(L9^2+(P9^2)/12), SQRT(N9)*SQRT(M9^2+(P9^2)/12))</f>
        <v>106.6678449025333</v>
      </c>
      <c r="AB9" s="386">
        <f t="shared" ref="AB9:AB72" si="14">Rdson1*AA9^2</f>
        <v>64.85476607606013</v>
      </c>
      <c r="AC9" s="386">
        <f t="shared" ref="AC9:AC72" si="15">CHOOSE(J9, (H9*K9/2)*(Fsw)*(Tr_buck+Tf_buck), 0, (H9*M9/2)*(Fsw/2)*(Tr_buck+Tf_buck))</f>
        <v>0</v>
      </c>
      <c r="AD9">
        <f t="shared" ref="AD9:AD72" si="16">IF(H9&gt;Vout, IF(K9&gt;P9/2,0,ABS(K9-P9/2)*Vsd_Q1*Deadtime*Fsw),0)</f>
        <v>0</v>
      </c>
      <c r="AE9" s="386">
        <f t="shared" ref="AE9:AE72" si="17">(AD9+AC9+AB9*(1+RdsonTopTc*Ta-RdsonTopTc*25))/(1-AB9*RdsonTopTc*ThetaJA_Q1)</f>
        <v>-5.4176776828136184</v>
      </c>
      <c r="AF9" s="386">
        <f t="shared" ref="AF9:AF72" si="18">CHOOSE(J9, SQRT((1-N9))*SQRT(K9^2+(P9^2)/12), 0, SQRT((1-N9))*SQRT(M9^2+(P9^2)/12))</f>
        <v>0</v>
      </c>
      <c r="AG9" s="386">
        <f t="shared" ref="AG9:AG72" si="19">Rdson2*AF9^2</f>
        <v>0</v>
      </c>
      <c r="AH9" s="386">
        <f t="shared" ref="AH9:AH72" si="20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386">
        <f t="shared" ref="AI9:AI72" si="21">(AH9+AG9*(1+RdsonBotTc*Ta-RdsonBotTc*25))/(1-AG9*RdsonBotTc*ThetaJA_Q2)</f>
        <v>0</v>
      </c>
      <c r="AJ9" s="386">
        <f t="shared" ref="AJ9:AJ72" si="22">CHOOSE(J9, 0, SQRT(O9)*SQRT(L9^2+(P9^2)/12), SQRT(O9)*SQRT(M9^2+(P9^2)/12))</f>
        <v>102.40980595288605</v>
      </c>
      <c r="AK9" s="386">
        <f t="shared" ref="AK9:AK72" si="23">Rdson4*AJ9^2</f>
        <v>19.926759875084773</v>
      </c>
      <c r="AL9" s="386">
        <f t="shared" ref="AL9:AL72" si="24">CHOOSE(J9, 0, (Vout*L9/2)*(Fsw)*(Tr_boost+Tf_boost), (Vout*Iout/2)*(Fsw/2)*(Tr_boost+Tf_boost))</f>
        <v>9.3408407760303067</v>
      </c>
      <c r="AM9">
        <f t="shared" ref="AM9:AM72" si="25">IF(H9&gt;Vout, 0, IF(L9&gt;P9/2,0,ABS(L9-P9/2)*Vsd_Q4*Deadtime*Fsw))</f>
        <v>0</v>
      </c>
      <c r="AN9" s="386">
        <f t="shared" ref="AN9:AN72" si="26">(AM9+AL9+AK9*(1+RdsonTopTc*Ta-RdsonTopTc*25))/(1-AK9*RdsonTopTc*ThetaJA_Q4)</f>
        <v>-9.8037353370866303</v>
      </c>
      <c r="AO9" s="386">
        <f t="shared" ref="AO9:AO72" si="27">CHOOSE(J9, SQRT(Iout^2+(P9^2)/12), SQRT(1-O9)*SQRT(L9^2+(P9^2)/12), SQRT(1-O9)*SQRT(M9^2+(P9^2)/12))</f>
        <v>29.837238157093662</v>
      </c>
      <c r="AP9" s="386">
        <f t="shared" ref="AP9:AP72" si="28">Rdson3*AO9^2</f>
        <v>1.6914954836019394</v>
      </c>
      <c r="AQ9" s="386">
        <f t="shared" ref="AQ9:AQ72" si="29">CHOOSE(J9, 0, IF(L9&lt;P9/2,Deadtime*Fsw*IF(VfdSky_Q3&gt;0,0,Vsd_Q3)*(L9+P9/2), 2*Deadtime*Fsw*IF(VfdSky_Q3&gt;0,0,Vsd_Q3)*L9), IF(L9&lt;P9/2,Deadtime*Fsw/2*IF(VfdSky_Q3&gt;0,0,Vsd_Q3)*(L9+P9/2), 2*Deadtime*Fsw/2*IF(VfdSky_Q3&gt;0,0,Vsd_Q3)*L9))</f>
        <v>5.12</v>
      </c>
      <c r="AR9" s="386">
        <f t="shared" ref="AR9:AR72" si="30">(AQ9+AP9*(1+RdsonBotTc*Ta-RdsonBotTc*25))/(1-AP9*RdsonBotTc*ThetaJA_Q3)</f>
        <v>10.293918974330968</v>
      </c>
      <c r="AS9" s="386">
        <f t="shared" ref="AS9:AS72" si="31">CHOOSE(J9, Rdson3*Q9^2, Rdson1*Q9^2, 0)</f>
        <v>64.85476607606013</v>
      </c>
      <c r="AT9" s="386">
        <f t="shared" ref="AT9:AT72" si="32">CHOOSE(J9, 2*Deadtime*Fsw*IF(VfdSky_Q2&gt;0,VfdSky_Q2,0)*K9, 2*Deadtime*Fsw*IF(VfdSky_Q3&gt;0,VfdSky_Q3,0)*L9, 2*Deadtime*Fsw/2*IF(VfdSky_Q2&gt;0,VfdSky_Q2,0)*K9+2*Deadtime*Fsw/2*IF(VfdSky_Q3&gt;0,VfdSky_Q3,0)*L9)</f>
        <v>0</v>
      </c>
      <c r="AU9" s="386">
        <f t="shared" ref="AU9:AU72" si="33">CHOOSE(J9, IF(QrrSky_Q2&gt;0,QrrSky_Q2,Qrr_Q2)*Fsw*(H9-K9*Rdson1), IF(QrrSky_Q3&gt;0,QrrSky_Q3,Qrr_Q3)*Fsw*Vout,  IF(QrrSky_Q2&gt;0,QrrSky_Q2,Qrr_Q2)*Fsw/2*(H9-K9*Rdson1)+IF(QrrSky_Q3&gt;0,QrrSky_Q3,Qrr_Q3)*Fsw/2*Vout)</f>
        <v>0.95039999999999991</v>
      </c>
      <c r="AV9" s="386">
        <f t="shared" ref="AV9:AV72" si="34">CHOOSE(J9, Rs*AF9^2, Rs*AJ9^2, Rs*(AF9^2+AJ9^2))</f>
        <v>31.463305065923326</v>
      </c>
      <c r="AW9" s="386">
        <f t="shared" ref="AW9:AW72" si="35">Rshunt_std/1000*Iout^2</f>
        <v>0.249</v>
      </c>
      <c r="AX9" s="386">
        <f t="shared" ref="AX9:AX72" si="36">IF(Vout&gt;8, Iq*Vout, Iq*H9)</f>
        <v>0.14400000000000002</v>
      </c>
      <c r="AY9" s="386">
        <f t="shared" ref="AY9:AY72" si="37">CHOOSE(J9, (Qg_Q1+Qg_Q2)*Fsw, (Qg_Q3+Qg_Q4)*Fsw, (Qg_Q1+Qg_Q2+Qg_Q3+Qg_Q4)*Fsw/2)*IF(Vout&gt;8, Vout, H9)</f>
        <v>1.2671999999999999</v>
      </c>
      <c r="AZ9" s="386">
        <f t="shared" ref="AZ9:AZ72" si="38">(Vin-Vdd)*Fsw*(Qg_Q1+Qg_Q2)+(RdsonDRT+RdsonDRT2)*Fsw*Qg_Q1*Vdd/(RdsonDRT+2*Rgate1+RdsonDRT2)+(RdsonDRB+RdsonDRB2)*Fsw*Qg_Q2*Vdd/(RdsonDRB+2*Rgate2+RdsonDRB2)</f>
        <v>0.10439999999999998</v>
      </c>
      <c r="BA9" s="386">
        <f>SUM(AX9:AY9)</f>
        <v>1.4112</v>
      </c>
      <c r="BB9" s="386">
        <f>SUM(T9,W9,Z9,AE9,AI9,AN9,AR9, AT9,AU9,BA9,AV9,AW9)</f>
        <v>16.79660900857138</v>
      </c>
      <c r="BC9">
        <f t="shared" ref="BC9:BC72" si="39">Vout*K9</f>
        <v>480</v>
      </c>
      <c r="BD9" s="604">
        <f>BC9/(BC9+BB9)</f>
        <v>0.96619016977170713</v>
      </c>
      <c r="BE9" s="614">
        <f t="shared" ref="BE9:BE72" si="40">IF(H9&gt;Vout,ThetaJA_Q1*(AE9+AU9),ThetaJA_Q4*(AN9+AU9))</f>
        <v>-442.66676685433151</v>
      </c>
      <c r="BF9" s="614">
        <f t="shared" ref="BF9:BF72" si="41">IF(H9&gt;Vout, AI9*ThetaJA_Q2, ThetaJA_Q3*AR9)</f>
        <v>514.6959487165484</v>
      </c>
      <c r="BH9" s="4">
        <f>BD9*100</f>
        <v>96.619016977170716</v>
      </c>
      <c r="BI9" s="386">
        <f>T9</f>
        <v>-14.712338520305073</v>
      </c>
      <c r="BJ9" s="386">
        <f>AE9+AI9+AN9+AR9+AU9</f>
        <v>-3.9770940455692809</v>
      </c>
      <c r="BK9" s="386">
        <f>AI9+AU9*0.33</f>
        <v>0.31363199999999997</v>
      </c>
      <c r="BL9" s="386">
        <f>AV9</f>
        <v>31.463305065923326</v>
      </c>
      <c r="BP9" t="s">
        <v>137</v>
      </c>
      <c r="BQ9" s="18">
        <v>70</v>
      </c>
      <c r="BR9" s="18">
        <v>70</v>
      </c>
      <c r="BS9" s="18">
        <v>70</v>
      </c>
      <c r="BT9" s="19">
        <f>250000*(5-Vdd)*BS9/1000000000+((250000*BS9/1000000000*Vdd)*2.5/(2*4))</f>
        <v>-2.7343749999999972E-3</v>
      </c>
      <c r="BU9">
        <f t="shared" ref="BU9:CD17" si="42">BU$6*$BT9</f>
        <v>-0.21874999999999978</v>
      </c>
      <c r="BV9">
        <f t="shared" si="42"/>
        <v>-0.27343749999999972</v>
      </c>
      <c r="BW9">
        <f t="shared" si="42"/>
        <v>-0.32812499999999967</v>
      </c>
      <c r="BX9">
        <f t="shared" si="42"/>
        <v>-0.38281249999999961</v>
      </c>
      <c r="BY9">
        <f t="shared" si="42"/>
        <v>-0.43749999999999956</v>
      </c>
      <c r="BZ9">
        <f t="shared" si="42"/>
        <v>-0.4921874999999995</v>
      </c>
      <c r="CA9">
        <f t="shared" si="42"/>
        <v>-5.4687499999999944E-2</v>
      </c>
      <c r="CB9">
        <f t="shared" si="42"/>
        <v>-8.2031249999999917E-2</v>
      </c>
      <c r="CC9">
        <f t="shared" si="42"/>
        <v>-0.10937499999999989</v>
      </c>
      <c r="CD9">
        <f t="shared" si="42"/>
        <v>-0.13671874999999986</v>
      </c>
    </row>
    <row r="10" spans="1:82" x14ac:dyDescent="0.3">
      <c r="A10" s="547"/>
      <c r="B10" s="24"/>
      <c r="C10" s="16"/>
      <c r="D10" s="17"/>
      <c r="G10">
        <v>1</v>
      </c>
      <c r="H10" s="610">
        <f t="shared" si="0"/>
        <v>5.0750000000000002</v>
      </c>
      <c r="I10" s="4" t="str">
        <f t="shared" si="1"/>
        <v>BOOST</v>
      </c>
      <c r="J10">
        <f t="shared" ref="J10:J73" si="43">IF(I10="BOOST",2, IF(I10="BUCK", 1,3))</f>
        <v>2</v>
      </c>
      <c r="K10">
        <f t="shared" si="2"/>
        <v>10</v>
      </c>
      <c r="L10" s="4">
        <f t="shared" si="3"/>
        <v>105.09031198686371</v>
      </c>
      <c r="M10" s="4">
        <f t="shared" si="4"/>
        <v>124.68469242081072</v>
      </c>
      <c r="N10" s="386">
        <f t="shared" si="5"/>
        <v>1</v>
      </c>
      <c r="O10" s="386">
        <f t="shared" ref="O10:O41" si="44">CHOOSE(J10,0,(Vout+(Rdson3+Rdcr)*L10-H10)/(Vout+(Rdson3-Rdson4-Rs)*L10),IF(H10&gt;Vout,D_min_boost_exitBB_to_buck, (Vout-H10*D_max_buck_BB)/Vout))</f>
        <v>0.91979769283746549</v>
      </c>
      <c r="P10" s="4">
        <f t="shared" si="6"/>
        <v>1.7766149271412153</v>
      </c>
      <c r="Q10" s="386">
        <f t="shared" si="7"/>
        <v>105.09156342707199</v>
      </c>
      <c r="R10" s="386">
        <f t="shared" si="8"/>
        <v>-14.910906142910804</v>
      </c>
      <c r="S10" s="386">
        <f t="shared" ref="S10:S72" si="45">7.759*10^-3*Fsw^0.9458*(0.00787*P10)^2.304</f>
        <v>0.12082866206076041</v>
      </c>
      <c r="T10" s="386">
        <f t="shared" ref="T10:T73" si="46">R10+S10</f>
        <v>-14.790077480850043</v>
      </c>
      <c r="U10" s="4">
        <f t="shared" si="9"/>
        <v>33.909636922940443</v>
      </c>
      <c r="V10" s="386">
        <f t="shared" si="10"/>
        <v>2.2997269524912918</v>
      </c>
      <c r="W10" s="386">
        <f t="shared" ref="W10:W73" si="47">V10</f>
        <v>2.2997269524912918</v>
      </c>
      <c r="X10" s="386">
        <f t="shared" si="11"/>
        <v>0.51286455321564406</v>
      </c>
      <c r="Y10" s="386">
        <f t="shared" si="12"/>
        <v>5.2606009989016446E-4</v>
      </c>
      <c r="Z10" s="603">
        <f t="shared" ref="Z10:Z73" si="48">Y10</f>
        <v>5.2606009989016446E-4</v>
      </c>
      <c r="AA10" s="386">
        <f t="shared" si="13"/>
        <v>105.09156342707199</v>
      </c>
      <c r="AB10" s="386">
        <f t="shared" si="14"/>
        <v>62.952149210213889</v>
      </c>
      <c r="AC10" s="386">
        <f t="shared" si="15"/>
        <v>0</v>
      </c>
      <c r="AD10">
        <f t="shared" si="16"/>
        <v>0</v>
      </c>
      <c r="AE10" s="386">
        <f t="shared" si="17"/>
        <v>-5.4313903857010679</v>
      </c>
      <c r="AF10" s="386">
        <f t="shared" si="18"/>
        <v>0</v>
      </c>
      <c r="AG10" s="386">
        <f t="shared" si="19"/>
        <v>0</v>
      </c>
      <c r="AH10" s="386">
        <f t="shared" si="20"/>
        <v>0</v>
      </c>
      <c r="AI10" s="386">
        <f t="shared" si="21"/>
        <v>0</v>
      </c>
      <c r="AJ10" s="386">
        <f t="shared" si="22"/>
        <v>100.78920298857778</v>
      </c>
      <c r="AK10" s="386">
        <f t="shared" si="23"/>
        <v>19.301080534238199</v>
      </c>
      <c r="AL10" s="386">
        <f t="shared" si="24"/>
        <v>9.2027987941185287</v>
      </c>
      <c r="AM10">
        <f t="shared" si="25"/>
        <v>0</v>
      </c>
      <c r="AN10" s="386">
        <f t="shared" si="26"/>
        <v>-9.9656383516321103</v>
      </c>
      <c r="AO10" s="386">
        <f t="shared" si="27"/>
        <v>29.761943224083296</v>
      </c>
      <c r="AP10" s="386">
        <f t="shared" si="28"/>
        <v>1.6829692024997596</v>
      </c>
      <c r="AQ10" s="386">
        <f t="shared" si="29"/>
        <v>5.0443349753694582</v>
      </c>
      <c r="AR10" s="386">
        <f t="shared" si="30"/>
        <v>10.140551276971873</v>
      </c>
      <c r="AS10" s="386">
        <f t="shared" si="31"/>
        <v>62.952149210213889</v>
      </c>
      <c r="AT10" s="386">
        <f t="shared" si="32"/>
        <v>0</v>
      </c>
      <c r="AU10" s="386">
        <f t="shared" si="33"/>
        <v>0.95039999999999991</v>
      </c>
      <c r="AV10" s="386">
        <f t="shared" si="34"/>
        <v>30.47539031721821</v>
      </c>
      <c r="AW10" s="386">
        <f t="shared" si="35"/>
        <v>0.249</v>
      </c>
      <c r="AX10" s="386">
        <f t="shared" si="36"/>
        <v>0.14400000000000002</v>
      </c>
      <c r="AY10" s="386">
        <f t="shared" si="37"/>
        <v>1.2671999999999999</v>
      </c>
      <c r="AZ10" s="386">
        <f t="shared" si="38"/>
        <v>0.10439999999999998</v>
      </c>
      <c r="BA10" s="386">
        <f t="shared" ref="BA10" si="49">SUM(AX10:AY10)</f>
        <v>1.4112</v>
      </c>
      <c r="BB10" s="386">
        <f>SUM(T10,W10,Z10,AE10,AI10,AN10,AR10, AT10,AU10,BA10,AV10,AW10)</f>
        <v>15.339688388598043</v>
      </c>
      <c r="BC10">
        <f t="shared" si="39"/>
        <v>480</v>
      </c>
      <c r="BD10" s="604">
        <f t="shared" ref="BD10:BD73" si="50">BC10/(BC10+BB10)</f>
        <v>0.9690319819950225</v>
      </c>
      <c r="BE10" s="614">
        <f t="shared" si="40"/>
        <v>-450.76191758160553</v>
      </c>
      <c r="BF10" s="614">
        <f t="shared" si="41"/>
        <v>507.02756384859367</v>
      </c>
      <c r="BG10" s="9"/>
      <c r="BH10" s="4">
        <f t="shared" ref="BH10:BH73" si="51">BD10*100</f>
        <v>96.903198199502256</v>
      </c>
      <c r="BI10" s="386">
        <f t="shared" ref="BI10:BI73" si="52">T10</f>
        <v>-14.790077480850043</v>
      </c>
      <c r="BJ10" s="386">
        <f t="shared" ref="BJ10:BJ73" si="53">AE10+AI10+AN10+AR10+AU10</f>
        <v>-4.3060774603613048</v>
      </c>
      <c r="BK10" s="386">
        <f t="shared" ref="BK10:BK73" si="54">AI10+AU10*0.33</f>
        <v>0.31363199999999997</v>
      </c>
      <c r="BL10" s="386">
        <f t="shared" ref="BL10:BL73" si="55">AV10</f>
        <v>30.47539031721821</v>
      </c>
      <c r="BQ10" s="18"/>
      <c r="BR10" s="18"/>
      <c r="BS10" s="18"/>
      <c r="BT10" s="19"/>
    </row>
    <row r="11" spans="1:82" x14ac:dyDescent="0.3">
      <c r="A11" s="20" t="s">
        <v>4</v>
      </c>
      <c r="B11" s="5">
        <f>Vin</f>
        <v>12</v>
      </c>
      <c r="C11" s="482" t="s">
        <v>0</v>
      </c>
      <c r="D11" s="21" t="s">
        <v>4</v>
      </c>
      <c r="G11">
        <v>2</v>
      </c>
      <c r="H11" s="610">
        <f t="shared" si="0"/>
        <v>5.15</v>
      </c>
      <c r="I11" s="4" t="str">
        <f t="shared" si="1"/>
        <v>BOOST</v>
      </c>
      <c r="J11">
        <f t="shared" si="43"/>
        <v>2</v>
      </c>
      <c r="K11">
        <f t="shared" si="2"/>
        <v>10</v>
      </c>
      <c r="L11" s="4">
        <f t="shared" si="3"/>
        <v>103.5598705501618</v>
      </c>
      <c r="M11" s="4">
        <f t="shared" si="4"/>
        <v>121.72979224319531</v>
      </c>
      <c r="N11" s="386">
        <f t="shared" si="5"/>
        <v>1</v>
      </c>
      <c r="O11" s="386">
        <f t="shared" si="44"/>
        <v>0.91785084147665585</v>
      </c>
      <c r="P11" s="4">
        <f t="shared" si="6"/>
        <v>1.8160640975279754</v>
      </c>
      <c r="Q11" s="386">
        <f t="shared" si="7"/>
        <v>103.56119750707855</v>
      </c>
      <c r="R11" s="386">
        <f t="shared" si="8"/>
        <v>-14.997025487158464</v>
      </c>
      <c r="S11" s="386">
        <f t="shared" si="45"/>
        <v>0.12709990030467566</v>
      </c>
      <c r="T11" s="386">
        <f t="shared" si="46"/>
        <v>-14.869925586853787</v>
      </c>
      <c r="U11" s="4">
        <f t="shared" si="9"/>
        <v>33.471909300805905</v>
      </c>
      <c r="V11" s="386">
        <f t="shared" si="10"/>
        <v>2.240737424482754</v>
      </c>
      <c r="W11" s="386">
        <f t="shared" si="47"/>
        <v>2.240737424482754</v>
      </c>
      <c r="X11" s="386">
        <f t="shared" si="11"/>
        <v>0.52425254778669572</v>
      </c>
      <c r="Y11" s="386">
        <f t="shared" si="12"/>
        <v>5.4968146772168332E-4</v>
      </c>
      <c r="Z11" s="603">
        <f t="shared" si="48"/>
        <v>5.4968146772168332E-4</v>
      </c>
      <c r="AA11" s="386">
        <f t="shared" si="13"/>
        <v>103.56119750707855</v>
      </c>
      <c r="AB11" s="386">
        <f t="shared" si="14"/>
        <v>61.132053285870754</v>
      </c>
      <c r="AC11" s="386">
        <f t="shared" si="15"/>
        <v>0</v>
      </c>
      <c r="AD11">
        <f t="shared" si="16"/>
        <v>0</v>
      </c>
      <c r="AE11" s="386">
        <f t="shared" si="17"/>
        <v>-5.4453783272933087</v>
      </c>
      <c r="AF11" s="386">
        <f t="shared" si="18"/>
        <v>0</v>
      </c>
      <c r="AG11" s="386">
        <f t="shared" si="19"/>
        <v>0</v>
      </c>
      <c r="AH11" s="386">
        <f t="shared" si="20"/>
        <v>0</v>
      </c>
      <c r="AI11" s="386">
        <f t="shared" si="21"/>
        <v>0</v>
      </c>
      <c r="AJ11" s="386">
        <f t="shared" si="22"/>
        <v>99.21632094590457</v>
      </c>
      <c r="AK11" s="386">
        <f t="shared" si="23"/>
        <v>18.70336884987741</v>
      </c>
      <c r="AL11" s="386">
        <f t="shared" si="24"/>
        <v>9.068777452456608</v>
      </c>
      <c r="AM11">
        <f t="shared" si="25"/>
        <v>0</v>
      </c>
      <c r="AN11" s="386">
        <f t="shared" si="26"/>
        <v>-10.133328018307875</v>
      </c>
      <c r="AO11" s="386">
        <f t="shared" si="27"/>
        <v>29.682373339397728</v>
      </c>
      <c r="AP11" s="386">
        <f t="shared" si="28"/>
        <v>1.6739822454128392</v>
      </c>
      <c r="AQ11" s="386">
        <f t="shared" si="29"/>
        <v>4.9708737864077666</v>
      </c>
      <c r="AR11" s="386">
        <f t="shared" si="30"/>
        <v>9.9892070970700413</v>
      </c>
      <c r="AS11" s="386">
        <f t="shared" si="31"/>
        <v>61.132053285870754</v>
      </c>
      <c r="AT11" s="386">
        <f t="shared" si="32"/>
        <v>0</v>
      </c>
      <c r="AU11" s="386">
        <f t="shared" si="33"/>
        <v>0.95039999999999991</v>
      </c>
      <c r="AV11" s="386">
        <f t="shared" si="34"/>
        <v>29.531635026122224</v>
      </c>
      <c r="AW11" s="386">
        <f t="shared" si="35"/>
        <v>0.249</v>
      </c>
      <c r="AX11" s="386">
        <f t="shared" si="36"/>
        <v>0.14400000000000002</v>
      </c>
      <c r="AY11" s="386">
        <f t="shared" si="37"/>
        <v>1.2671999999999999</v>
      </c>
      <c r="AZ11" s="386">
        <f t="shared" si="38"/>
        <v>0.10439999999999998</v>
      </c>
      <c r="BA11" s="386">
        <f t="shared" ref="BA11:BA74" si="56">SUM(AX11:AY11)</f>
        <v>1.4112</v>
      </c>
      <c r="BB11" s="386">
        <f t="shared" ref="BB11:BB74" si="57">SUM(T11,W11,Z11,AE11,AI11,AN11,AR11, AT11,AU11,BA11,AV11,AW11)</f>
        <v>13.924097296687771</v>
      </c>
      <c r="BC11">
        <f t="shared" si="39"/>
        <v>480</v>
      </c>
      <c r="BD11" s="604">
        <f t="shared" si="50"/>
        <v>0.97180923673719055</v>
      </c>
      <c r="BE11" s="614">
        <f t="shared" si="40"/>
        <v>-459.14640091539371</v>
      </c>
      <c r="BF11" s="614">
        <f t="shared" si="41"/>
        <v>499.46035485350205</v>
      </c>
      <c r="BG11" s="9"/>
      <c r="BH11" s="4">
        <f t="shared" si="51"/>
        <v>97.18092367371905</v>
      </c>
      <c r="BI11" s="386">
        <f t="shared" si="52"/>
        <v>-14.869925586853787</v>
      </c>
      <c r="BJ11" s="386">
        <f t="shared" si="53"/>
        <v>-4.6390992485311422</v>
      </c>
      <c r="BK11" s="386">
        <f t="shared" si="54"/>
        <v>0.31363199999999997</v>
      </c>
      <c r="BL11" s="386">
        <f t="shared" si="55"/>
        <v>29.531635026122224</v>
      </c>
      <c r="BP11" t="s">
        <v>138</v>
      </c>
      <c r="BQ11" s="18">
        <v>90</v>
      </c>
      <c r="BR11" s="18">
        <v>90</v>
      </c>
      <c r="BS11" s="18">
        <v>90</v>
      </c>
      <c r="BT11" s="19">
        <f>250000*(12-Vdd)*BS11/1000000000+((250000*BS9/1000000000*Vdd)*2.5/(2*4))</f>
        <v>0.14226562500000001</v>
      </c>
      <c r="BU11">
        <f t="shared" si="42"/>
        <v>11.381250000000001</v>
      </c>
      <c r="BV11">
        <f t="shared" si="42"/>
        <v>14.2265625</v>
      </c>
      <c r="BW11">
        <f t="shared" si="42"/>
        <v>17.071875000000002</v>
      </c>
      <c r="BX11">
        <f t="shared" si="42"/>
        <v>19.917187500000001</v>
      </c>
      <c r="BY11">
        <f t="shared" si="42"/>
        <v>22.762500000000003</v>
      </c>
      <c r="BZ11">
        <f t="shared" si="42"/>
        <v>25.607812500000001</v>
      </c>
      <c r="CA11">
        <f t="shared" si="42"/>
        <v>2.8453125000000004</v>
      </c>
      <c r="CB11">
        <f t="shared" si="42"/>
        <v>4.2679687500000005</v>
      </c>
      <c r="CC11">
        <f t="shared" si="42"/>
        <v>5.6906250000000007</v>
      </c>
      <c r="CD11">
        <f t="shared" si="42"/>
        <v>7.11328125</v>
      </c>
    </row>
    <row r="12" spans="1:82" x14ac:dyDescent="0.3">
      <c r="A12" s="22" t="s">
        <v>5</v>
      </c>
      <c r="B12" s="5">
        <f>Vout</f>
        <v>48</v>
      </c>
      <c r="C12" s="482" t="s">
        <v>0</v>
      </c>
      <c r="D12" s="21" t="s">
        <v>5</v>
      </c>
      <c r="G12">
        <v>3</v>
      </c>
      <c r="H12" s="610">
        <f t="shared" si="0"/>
        <v>5.2249999999999996</v>
      </c>
      <c r="I12" s="4" t="str">
        <f t="shared" si="1"/>
        <v>BOOST</v>
      </c>
      <c r="J12">
        <f t="shared" si="43"/>
        <v>2</v>
      </c>
      <c r="K12">
        <f t="shared" si="2"/>
        <v>10</v>
      </c>
      <c r="L12" s="4">
        <f t="shared" si="3"/>
        <v>102.07336523125997</v>
      </c>
      <c r="M12" s="4">
        <f t="shared" si="4"/>
        <v>118.92741029439553</v>
      </c>
      <c r="N12" s="386">
        <f t="shared" si="5"/>
        <v>1</v>
      </c>
      <c r="O12" s="386">
        <f t="shared" si="44"/>
        <v>0.91591509497057255</v>
      </c>
      <c r="P12" s="4">
        <f t="shared" si="6"/>
        <v>1.8551106023763395</v>
      </c>
      <c r="Q12" s="386">
        <f t="shared" si="7"/>
        <v>102.0747700262563</v>
      </c>
      <c r="R12" s="386">
        <f t="shared" si="8"/>
        <v>-15.085430451573146</v>
      </c>
      <c r="S12" s="386">
        <f t="shared" si="45"/>
        <v>0.1334845569513545</v>
      </c>
      <c r="T12" s="386">
        <f t="shared" si="46"/>
        <v>-14.951945894621792</v>
      </c>
      <c r="U12" s="4">
        <f t="shared" si="9"/>
        <v>33.051444622149809</v>
      </c>
      <c r="V12" s="386">
        <f t="shared" si="10"/>
        <v>2.1847959832220707</v>
      </c>
      <c r="W12" s="386">
        <f t="shared" si="47"/>
        <v>2.1847959832220707</v>
      </c>
      <c r="X12" s="386">
        <f t="shared" si="11"/>
        <v>0.53552430282925423</v>
      </c>
      <c r="Y12" s="386">
        <f t="shared" si="12"/>
        <v>5.7357255784151761E-4</v>
      </c>
      <c r="Z12" s="603">
        <f t="shared" si="48"/>
        <v>5.7357255784151761E-4</v>
      </c>
      <c r="AA12" s="386">
        <f t="shared" si="13"/>
        <v>102.0747700262563</v>
      </c>
      <c r="AB12" s="386">
        <f t="shared" si="14"/>
        <v>59.389774452704742</v>
      </c>
      <c r="AC12" s="386">
        <f t="shared" si="15"/>
        <v>0</v>
      </c>
      <c r="AD12">
        <f t="shared" si="16"/>
        <v>0</v>
      </c>
      <c r="AE12" s="386">
        <f t="shared" si="17"/>
        <v>-5.459645222867012</v>
      </c>
      <c r="AF12" s="386">
        <f t="shared" si="18"/>
        <v>0</v>
      </c>
      <c r="AG12" s="386">
        <f t="shared" si="19"/>
        <v>0</v>
      </c>
      <c r="AH12" s="386">
        <f t="shared" si="20"/>
        <v>0</v>
      </c>
      <c r="AI12" s="386">
        <f t="shared" si="21"/>
        <v>0</v>
      </c>
      <c r="AJ12" s="386">
        <f t="shared" si="22"/>
        <v>97.689079736027409</v>
      </c>
      <c r="AK12" s="386">
        <f t="shared" si="23"/>
        <v>18.131996969376647</v>
      </c>
      <c r="AL12" s="386">
        <f t="shared" si="24"/>
        <v>8.9386036134261317</v>
      </c>
      <c r="AM12">
        <f t="shared" si="25"/>
        <v>0</v>
      </c>
      <c r="AN12" s="386">
        <f t="shared" si="26"/>
        <v>-10.307114997791448</v>
      </c>
      <c r="AO12" s="386">
        <f t="shared" si="27"/>
        <v>29.599026609690934</v>
      </c>
      <c r="AP12" s="386">
        <f t="shared" si="28"/>
        <v>1.6645945148582648</v>
      </c>
      <c r="AQ12" s="386">
        <f t="shared" si="29"/>
        <v>4.8995215311004783</v>
      </c>
      <c r="AR12" s="386">
        <f t="shared" si="30"/>
        <v>9.8400570413402182</v>
      </c>
      <c r="AS12" s="386">
        <f t="shared" si="31"/>
        <v>59.389774452704742</v>
      </c>
      <c r="AT12" s="386">
        <f t="shared" si="32"/>
        <v>0</v>
      </c>
      <c r="AU12" s="386">
        <f t="shared" si="33"/>
        <v>0.95039999999999991</v>
      </c>
      <c r="AV12" s="386">
        <f t="shared" si="34"/>
        <v>28.629468899015762</v>
      </c>
      <c r="AW12" s="386">
        <f t="shared" si="35"/>
        <v>0.249</v>
      </c>
      <c r="AX12" s="386">
        <f t="shared" si="36"/>
        <v>0.14400000000000002</v>
      </c>
      <c r="AY12" s="386">
        <f t="shared" si="37"/>
        <v>1.2671999999999999</v>
      </c>
      <c r="AZ12" s="386">
        <f t="shared" si="38"/>
        <v>0.10439999999999998</v>
      </c>
      <c r="BA12" s="386">
        <f t="shared" si="56"/>
        <v>1.4112</v>
      </c>
      <c r="BB12" s="386">
        <f t="shared" si="57"/>
        <v>12.546789380855644</v>
      </c>
      <c r="BC12">
        <f t="shared" si="39"/>
        <v>480</v>
      </c>
      <c r="BD12" s="604">
        <f t="shared" si="50"/>
        <v>0.97452670558135746</v>
      </c>
      <c r="BE12" s="614">
        <f t="shared" si="40"/>
        <v>-467.83574988957241</v>
      </c>
      <c r="BF12" s="614">
        <f t="shared" si="41"/>
        <v>492.00285206701091</v>
      </c>
      <c r="BG12" s="9"/>
      <c r="BH12" s="4">
        <f t="shared" si="51"/>
        <v>97.45267055813575</v>
      </c>
      <c r="BI12" s="386">
        <f t="shared" si="52"/>
        <v>-14.951945894621792</v>
      </c>
      <c r="BJ12" s="386">
        <f t="shared" si="53"/>
        <v>-4.9763031793182417</v>
      </c>
      <c r="BK12" s="386">
        <f t="shared" si="54"/>
        <v>0.31363199999999997</v>
      </c>
      <c r="BL12" s="386">
        <f t="shared" si="55"/>
        <v>28.629468899015762</v>
      </c>
      <c r="BP12" t="s">
        <v>143</v>
      </c>
      <c r="BQ12" s="18">
        <v>60</v>
      </c>
      <c r="BR12" s="18">
        <v>60</v>
      </c>
      <c r="BS12" s="18">
        <v>60</v>
      </c>
      <c r="BT12" s="19">
        <f>250000*(18-Vdd)*BS12/1000000000+((250000*BS9/1000000000*Vdd)*2.5/(2*4))</f>
        <v>0.198515625</v>
      </c>
      <c r="BU12">
        <f t="shared" si="42"/>
        <v>15.88125</v>
      </c>
      <c r="BV12">
        <f t="shared" si="42"/>
        <v>19.8515625</v>
      </c>
      <c r="BW12">
        <f t="shared" si="42"/>
        <v>23.821874999999999</v>
      </c>
      <c r="BX12">
        <f t="shared" si="42"/>
        <v>27.792187500000001</v>
      </c>
      <c r="BY12">
        <f t="shared" si="42"/>
        <v>31.762499999999999</v>
      </c>
      <c r="BZ12">
        <f t="shared" si="42"/>
        <v>35.732812500000001</v>
      </c>
      <c r="CA12">
        <f t="shared" si="42"/>
        <v>3.9703124999999999</v>
      </c>
      <c r="CB12">
        <f t="shared" si="42"/>
        <v>5.9554687499999996</v>
      </c>
      <c r="CC12">
        <f t="shared" si="42"/>
        <v>7.9406249999999998</v>
      </c>
      <c r="CD12">
        <f t="shared" si="42"/>
        <v>9.92578125</v>
      </c>
    </row>
    <row r="13" spans="1:82" x14ac:dyDescent="0.3">
      <c r="A13" s="22" t="s">
        <v>7</v>
      </c>
      <c r="B13" s="5">
        <f>Fsw/1000</f>
        <v>600</v>
      </c>
      <c r="C13" s="482" t="s">
        <v>3</v>
      </c>
      <c r="D13" s="21" t="s">
        <v>98</v>
      </c>
      <c r="G13">
        <v>4</v>
      </c>
      <c r="H13" s="610">
        <f t="shared" si="0"/>
        <v>5.3</v>
      </c>
      <c r="I13" s="4" t="str">
        <f t="shared" si="1"/>
        <v>BOOST</v>
      </c>
      <c r="J13">
        <f t="shared" si="43"/>
        <v>2</v>
      </c>
      <c r="K13">
        <f t="shared" si="2"/>
        <v>10</v>
      </c>
      <c r="L13" s="4">
        <f t="shared" si="3"/>
        <v>100.62893081761007</v>
      </c>
      <c r="M13" s="4">
        <f t="shared" si="4"/>
        <v>116.26552199908025</v>
      </c>
      <c r="N13" s="386">
        <f t="shared" si="5"/>
        <v>1</v>
      </c>
      <c r="O13" s="386">
        <f t="shared" si="44"/>
        <v>0.91398997890295364</v>
      </c>
      <c r="P13" s="4">
        <f t="shared" si="6"/>
        <v>1.8937667976570631</v>
      </c>
      <c r="Q13" s="386">
        <f t="shared" si="7"/>
        <v>100.63041578081159</v>
      </c>
      <c r="R13" s="386">
        <f t="shared" si="8"/>
        <v>-15.176184391610985</v>
      </c>
      <c r="S13" s="386">
        <f t="shared" si="45"/>
        <v>0.13998040294374767</v>
      </c>
      <c r="T13" s="386">
        <f t="shared" si="46"/>
        <v>-15.036203988667237</v>
      </c>
      <c r="U13" s="4">
        <f t="shared" si="9"/>
        <v>32.647068786100412</v>
      </c>
      <c r="V13" s="386">
        <f t="shared" si="10"/>
        <v>2.1316622006487438</v>
      </c>
      <c r="W13" s="386">
        <f t="shared" si="47"/>
        <v>2.1316622006487438</v>
      </c>
      <c r="X13" s="386">
        <f t="shared" si="11"/>
        <v>0.5466833852048405</v>
      </c>
      <c r="Y13" s="386">
        <f t="shared" si="12"/>
        <v>5.9772544731804796E-4</v>
      </c>
      <c r="Z13" s="603">
        <f t="shared" si="48"/>
        <v>5.9772544731804796E-4</v>
      </c>
      <c r="AA13" s="386">
        <f t="shared" si="13"/>
        <v>100.63041578081159</v>
      </c>
      <c r="AB13" s="386">
        <f t="shared" si="14"/>
        <v>57.720939307248386</v>
      </c>
      <c r="AC13" s="386">
        <f t="shared" si="15"/>
        <v>0</v>
      </c>
      <c r="AD13">
        <f t="shared" si="16"/>
        <v>0</v>
      </c>
      <c r="AE13" s="386">
        <f t="shared" si="17"/>
        <v>-5.4741948897060499</v>
      </c>
      <c r="AF13" s="386">
        <f t="shared" si="18"/>
        <v>0</v>
      </c>
      <c r="AG13" s="386">
        <f t="shared" si="19"/>
        <v>0</v>
      </c>
      <c r="AH13" s="386">
        <f t="shared" si="20"/>
        <v>0</v>
      </c>
      <c r="AI13" s="386">
        <f t="shared" si="21"/>
        <v>0</v>
      </c>
      <c r="AJ13" s="386">
        <f t="shared" si="22"/>
        <v>96.205518406563073</v>
      </c>
      <c r="AK13" s="386">
        <f t="shared" si="23"/>
        <v>17.585453366563538</v>
      </c>
      <c r="AL13" s="386">
        <f t="shared" si="24"/>
        <v>8.8121139396512351</v>
      </c>
      <c r="AM13">
        <f t="shared" si="25"/>
        <v>0</v>
      </c>
      <c r="AN13" s="386">
        <f t="shared" si="26"/>
        <v>-10.487332691703676</v>
      </c>
      <c r="AO13" s="386">
        <f t="shared" si="27"/>
        <v>29.51235009861918</v>
      </c>
      <c r="AP13" s="386">
        <f t="shared" si="28"/>
        <v>1.6548597358525883</v>
      </c>
      <c r="AQ13" s="386">
        <f t="shared" si="29"/>
        <v>4.8301886792452837</v>
      </c>
      <c r="AR13" s="386">
        <f t="shared" si="30"/>
        <v>9.693238404086383</v>
      </c>
      <c r="AS13" s="386">
        <f t="shared" si="31"/>
        <v>57.720939307248386</v>
      </c>
      <c r="AT13" s="386">
        <f t="shared" si="32"/>
        <v>0</v>
      </c>
      <c r="AU13" s="386">
        <f t="shared" si="33"/>
        <v>0.95039999999999991</v>
      </c>
      <c r="AV13" s="386">
        <f t="shared" si="34"/>
        <v>27.766505315626638</v>
      </c>
      <c r="AW13" s="386">
        <f t="shared" si="35"/>
        <v>0.249</v>
      </c>
      <c r="AX13" s="386">
        <f t="shared" si="36"/>
        <v>0.14400000000000002</v>
      </c>
      <c r="AY13" s="386">
        <f t="shared" si="37"/>
        <v>1.2671999999999999</v>
      </c>
      <c r="AZ13" s="386">
        <f t="shared" si="38"/>
        <v>0.10439999999999998</v>
      </c>
      <c r="BA13" s="386">
        <f t="shared" si="56"/>
        <v>1.4112</v>
      </c>
      <c r="BB13" s="386">
        <f t="shared" si="57"/>
        <v>11.204872075732117</v>
      </c>
      <c r="BC13">
        <f t="shared" si="39"/>
        <v>480</v>
      </c>
      <c r="BD13" s="604">
        <f t="shared" si="50"/>
        <v>0.9771890046033489</v>
      </c>
      <c r="BE13" s="614">
        <f t="shared" si="40"/>
        <v>-476.84663458518378</v>
      </c>
      <c r="BF13" s="614">
        <f t="shared" si="41"/>
        <v>484.66192020431913</v>
      </c>
      <c r="BG13" s="9"/>
      <c r="BH13" s="4">
        <f t="shared" si="51"/>
        <v>97.718900460334893</v>
      </c>
      <c r="BI13" s="386">
        <f t="shared" si="52"/>
        <v>-15.036203988667237</v>
      </c>
      <c r="BJ13" s="386">
        <f t="shared" si="53"/>
        <v>-5.3178891773233428</v>
      </c>
      <c r="BK13" s="386">
        <f t="shared" si="54"/>
        <v>0.31363199999999997</v>
      </c>
      <c r="BL13" s="386">
        <f t="shared" si="55"/>
        <v>27.766505315626638</v>
      </c>
      <c r="BP13" t="s">
        <v>139</v>
      </c>
      <c r="BQ13" s="18">
        <v>30</v>
      </c>
      <c r="BR13" s="18">
        <v>30</v>
      </c>
      <c r="BS13" s="18">
        <v>30</v>
      </c>
      <c r="BT13" s="19">
        <f>500000*(5-Vdd)*BS13/1000000000+((500000*BS9/1000000000*Vdd)*2.5/(2*4))</f>
        <v>4.4531250000000001E-2</v>
      </c>
      <c r="BU13">
        <f t="shared" si="42"/>
        <v>3.5625</v>
      </c>
      <c r="BV13">
        <f t="shared" si="42"/>
        <v>4.453125</v>
      </c>
      <c r="BW13">
        <f t="shared" si="42"/>
        <v>5.34375</v>
      </c>
      <c r="BX13">
        <f t="shared" si="42"/>
        <v>6.234375</v>
      </c>
      <c r="BY13">
        <f t="shared" si="42"/>
        <v>7.125</v>
      </c>
      <c r="BZ13">
        <f t="shared" si="42"/>
        <v>8.015625</v>
      </c>
      <c r="CA13">
        <f t="shared" si="42"/>
        <v>0.890625</v>
      </c>
      <c r="CB13">
        <f t="shared" si="42"/>
        <v>1.3359375</v>
      </c>
      <c r="CC13">
        <f t="shared" si="42"/>
        <v>1.78125</v>
      </c>
      <c r="CD13">
        <f t="shared" si="42"/>
        <v>2.2265625</v>
      </c>
    </row>
    <row r="14" spans="1:82" x14ac:dyDescent="0.3">
      <c r="A14" s="22" t="s">
        <v>6</v>
      </c>
      <c r="B14" s="5">
        <f>Iout</f>
        <v>10</v>
      </c>
      <c r="C14" s="482" t="s">
        <v>2</v>
      </c>
      <c r="D14" s="21" t="s">
        <v>99</v>
      </c>
      <c r="G14">
        <v>5</v>
      </c>
      <c r="H14" s="610">
        <f t="shared" si="0"/>
        <v>5.375</v>
      </c>
      <c r="I14" s="4" t="str">
        <f t="shared" si="1"/>
        <v>BOOST</v>
      </c>
      <c r="J14">
        <f t="shared" si="43"/>
        <v>2</v>
      </c>
      <c r="K14">
        <f t="shared" si="2"/>
        <v>10</v>
      </c>
      <c r="L14" s="4">
        <f t="shared" si="3"/>
        <v>99.224806201550379</v>
      </c>
      <c r="M14" s="4">
        <f t="shared" si="4"/>
        <v>113.73335428006393</v>
      </c>
      <c r="N14" s="386">
        <f t="shared" si="5"/>
        <v>1</v>
      </c>
      <c r="O14" s="386">
        <f t="shared" si="44"/>
        <v>0.91207504550182006</v>
      </c>
      <c r="P14" s="4">
        <f t="shared" si="6"/>
        <v>1.9320443338187583</v>
      </c>
      <c r="Q14" s="386">
        <f t="shared" si="7"/>
        <v>99.226373671574251</v>
      </c>
      <c r="R14" s="386">
        <f t="shared" si="8"/>
        <v>-15.269353398630507</v>
      </c>
      <c r="S14" s="386">
        <f t="shared" si="45"/>
        <v>0.14658527903297736</v>
      </c>
      <c r="T14" s="386">
        <f t="shared" si="46"/>
        <v>-15.122768119597529</v>
      </c>
      <c r="U14" s="4">
        <f t="shared" si="9"/>
        <v>32.257717489282051</v>
      </c>
      <c r="V14" s="386">
        <f t="shared" si="10"/>
        <v>2.081120675236666</v>
      </c>
      <c r="W14" s="386">
        <f t="shared" si="47"/>
        <v>2.081120675236666</v>
      </c>
      <c r="X14" s="386">
        <f t="shared" si="11"/>
        <v>0.55773315810827562</v>
      </c>
      <c r="Y14" s="386">
        <f t="shared" si="12"/>
        <v>6.2213255130686156E-4</v>
      </c>
      <c r="Z14" s="603">
        <f t="shared" si="48"/>
        <v>6.2213255130686156E-4</v>
      </c>
      <c r="AA14" s="386">
        <f t="shared" si="13"/>
        <v>99.226373671574251</v>
      </c>
      <c r="AB14" s="386">
        <f t="shared" si="14"/>
        <v>56.121477422462036</v>
      </c>
      <c r="AC14" s="386">
        <f t="shared" si="15"/>
        <v>0</v>
      </c>
      <c r="AD14">
        <f t="shared" si="16"/>
        <v>0</v>
      </c>
      <c r="AE14" s="386">
        <f t="shared" si="17"/>
        <v>-5.4890312498874572</v>
      </c>
      <c r="AF14" s="386">
        <f t="shared" si="18"/>
        <v>0</v>
      </c>
      <c r="AG14" s="386">
        <f t="shared" si="19"/>
        <v>0</v>
      </c>
      <c r="AH14" s="386">
        <f t="shared" si="20"/>
        <v>0</v>
      </c>
      <c r="AI14" s="386">
        <f t="shared" si="21"/>
        <v>0</v>
      </c>
      <c r="AJ14" s="386">
        <f t="shared" si="22"/>
        <v>94.76378673360135</v>
      </c>
      <c r="AK14" s="386">
        <f t="shared" si="23"/>
        <v>17.06233302457381</v>
      </c>
      <c r="AL14" s="386">
        <f t="shared" si="24"/>
        <v>8.6891542102607513</v>
      </c>
      <c r="AM14">
        <f t="shared" si="25"/>
        <v>0</v>
      </c>
      <c r="AN14" s="386">
        <f t="shared" si="26"/>
        <v>-10.674339359712887</v>
      </c>
      <c r="AO14" s="386">
        <f t="shared" si="27"/>
        <v>29.422745553727729</v>
      </c>
      <c r="AP14" s="386">
        <f t="shared" si="28"/>
        <v>1.6448261162468694</v>
      </c>
      <c r="AQ14" s="386">
        <f t="shared" si="29"/>
        <v>4.7627906976744185</v>
      </c>
      <c r="AR14" s="386">
        <f t="shared" si="30"/>
        <v>9.5488595165650008</v>
      </c>
      <c r="AS14" s="386">
        <f t="shared" si="31"/>
        <v>56.121477422462036</v>
      </c>
      <c r="AT14" s="386">
        <f t="shared" si="32"/>
        <v>0</v>
      </c>
      <c r="AU14" s="386">
        <f t="shared" si="33"/>
        <v>0.95039999999999991</v>
      </c>
      <c r="AV14" s="386">
        <f t="shared" si="34"/>
        <v>26.940525828274438</v>
      </c>
      <c r="AW14" s="386">
        <f t="shared" si="35"/>
        <v>0.249</v>
      </c>
      <c r="AX14" s="386">
        <f t="shared" si="36"/>
        <v>0.14400000000000002</v>
      </c>
      <c r="AY14" s="386">
        <f t="shared" si="37"/>
        <v>1.2671999999999999</v>
      </c>
      <c r="AZ14" s="386">
        <f t="shared" si="38"/>
        <v>0.10439999999999998</v>
      </c>
      <c r="BA14" s="386">
        <f t="shared" si="56"/>
        <v>1.4112</v>
      </c>
      <c r="BB14" s="386">
        <f t="shared" si="57"/>
        <v>9.8955894234295432</v>
      </c>
      <c r="BC14">
        <f t="shared" si="39"/>
        <v>480</v>
      </c>
      <c r="BD14" s="604">
        <f t="shared" si="50"/>
        <v>0.9798006154024046</v>
      </c>
      <c r="BE14" s="614">
        <f t="shared" si="40"/>
        <v>-486.19696798564433</v>
      </c>
      <c r="BF14" s="614">
        <f t="shared" si="41"/>
        <v>477.44297582825004</v>
      </c>
      <c r="BG14" s="9"/>
      <c r="BH14" s="4">
        <f t="shared" si="51"/>
        <v>97.980061540240456</v>
      </c>
      <c r="BI14" s="386">
        <f t="shared" si="52"/>
        <v>-15.122768119597529</v>
      </c>
      <c r="BJ14" s="386">
        <f t="shared" si="53"/>
        <v>-5.6641110930353413</v>
      </c>
      <c r="BK14" s="386">
        <f t="shared" si="54"/>
        <v>0.31363199999999997</v>
      </c>
      <c r="BL14" s="386">
        <f t="shared" si="55"/>
        <v>26.940525828274438</v>
      </c>
      <c r="BP14" t="s">
        <v>142</v>
      </c>
      <c r="BQ14" s="18">
        <v>45</v>
      </c>
      <c r="BR14" s="18">
        <v>45</v>
      </c>
      <c r="BS14" s="18">
        <v>45</v>
      </c>
      <c r="BT14" s="19">
        <f>500000*(12-Vdd)*BS14/1000000000+((500000*BS9/1000000000*Vdd)*2.5/(2*4))</f>
        <v>0.18328125000000001</v>
      </c>
      <c r="BU14">
        <f t="shared" si="42"/>
        <v>14.662500000000001</v>
      </c>
      <c r="BV14">
        <f t="shared" si="42"/>
        <v>18.328125</v>
      </c>
      <c r="BW14">
        <f t="shared" si="42"/>
        <v>21.993750000000002</v>
      </c>
      <c r="BX14">
        <f t="shared" si="42"/>
        <v>25.659375000000001</v>
      </c>
      <c r="BY14">
        <f t="shared" si="42"/>
        <v>29.325000000000003</v>
      </c>
      <c r="BZ14">
        <f t="shared" si="42"/>
        <v>32.990625000000001</v>
      </c>
      <c r="CA14">
        <f t="shared" si="42"/>
        <v>3.6656250000000004</v>
      </c>
      <c r="CB14">
        <f t="shared" si="42"/>
        <v>5.4984375000000005</v>
      </c>
      <c r="CC14">
        <f t="shared" si="42"/>
        <v>7.3312500000000007</v>
      </c>
      <c r="CD14">
        <f t="shared" si="42"/>
        <v>9.1640625</v>
      </c>
    </row>
    <row r="15" spans="1:82" x14ac:dyDescent="0.3">
      <c r="A15" s="23" t="s">
        <v>87</v>
      </c>
      <c r="B15" s="5">
        <f>Ta</f>
        <v>25</v>
      </c>
      <c r="C15" s="482" t="s">
        <v>673</v>
      </c>
      <c r="D15" s="21" t="s">
        <v>100</v>
      </c>
      <c r="G15">
        <v>6</v>
      </c>
      <c r="H15" s="610">
        <f t="shared" si="0"/>
        <v>5.45</v>
      </c>
      <c r="I15" s="4" t="str">
        <f t="shared" si="1"/>
        <v>BOOST</v>
      </c>
      <c r="J15">
        <f t="shared" si="43"/>
        <v>2</v>
      </c>
      <c r="K15">
        <f t="shared" si="2"/>
        <v>10</v>
      </c>
      <c r="L15" s="4">
        <f t="shared" si="3"/>
        <v>97.859327217125383</v>
      </c>
      <c r="M15" s="4">
        <f t="shared" si="4"/>
        <v>111.32122596068071</v>
      </c>
      <c r="N15" s="386">
        <f t="shared" si="5"/>
        <v>1</v>
      </c>
      <c r="O15" s="386">
        <f t="shared" si="44"/>
        <v>0.91016987179487174</v>
      </c>
      <c r="P15" s="4">
        <f t="shared" si="6"/>
        <v>1.9699542054176993</v>
      </c>
      <c r="Q15" s="386">
        <f t="shared" si="7"/>
        <v>97.860979540805928</v>
      </c>
      <c r="R15" s="386">
        <f t="shared" si="8"/>
        <v>-15.365006440421924</v>
      </c>
      <c r="S15" s="386">
        <f t="shared" si="45"/>
        <v>0.1532970905460512</v>
      </c>
      <c r="T15" s="386">
        <f t="shared" si="46"/>
        <v>-15.211709349875873</v>
      </c>
      <c r="U15" s="4">
        <f t="shared" si="9"/>
        <v>31.882423373154086</v>
      </c>
      <c r="V15" s="386">
        <f t="shared" si="10"/>
        <v>2.032977840290084</v>
      </c>
      <c r="W15" s="386">
        <f t="shared" si="47"/>
        <v>2.032977840290084</v>
      </c>
      <c r="X15" s="386">
        <f t="shared" si="11"/>
        <v>0.56867679539457205</v>
      </c>
      <c r="Y15" s="386">
        <f t="shared" si="12"/>
        <v>6.4678659524047995E-4</v>
      </c>
      <c r="Z15" s="603">
        <f t="shared" si="48"/>
        <v>6.4678659524047995E-4</v>
      </c>
      <c r="AA15" s="386">
        <f t="shared" si="13"/>
        <v>97.860979540805928</v>
      </c>
      <c r="AB15" s="386">
        <f t="shared" si="14"/>
        <v>54.587596505110405</v>
      </c>
      <c r="AC15" s="386">
        <f t="shared" si="15"/>
        <v>0</v>
      </c>
      <c r="AD15">
        <f t="shared" si="16"/>
        <v>0</v>
      </c>
      <c r="AE15" s="386">
        <f t="shared" si="17"/>
        <v>-5.5041583331715538</v>
      </c>
      <c r="AF15" s="386">
        <f t="shared" si="18"/>
        <v>0</v>
      </c>
      <c r="AG15" s="386">
        <f t="shared" si="19"/>
        <v>0</v>
      </c>
      <c r="AH15" s="386">
        <f t="shared" si="20"/>
        <v>0</v>
      </c>
      <c r="AI15" s="386">
        <f t="shared" si="21"/>
        <v>0</v>
      </c>
      <c r="AJ15" s="386">
        <f t="shared" si="22"/>
        <v>93.362137515788135</v>
      </c>
      <c r="AK15" s="386">
        <f t="shared" si="23"/>
        <v>16.561328570882175</v>
      </c>
      <c r="AL15" s="386">
        <f t="shared" si="24"/>
        <v>8.5695786936057861</v>
      </c>
      <c r="AM15">
        <f t="shared" si="25"/>
        <v>0</v>
      </c>
      <c r="AN15" s="386">
        <f t="shared" si="26"/>
        <v>-10.868520477733631</v>
      </c>
      <c r="AO15" s="386">
        <f t="shared" si="27"/>
        <v>29.33057440912301</v>
      </c>
      <c r="AP15" s="386">
        <f t="shared" si="28"/>
        <v>1.6345369308212929</v>
      </c>
      <c r="AQ15" s="386">
        <f t="shared" si="29"/>
        <v>4.6972477064220186</v>
      </c>
      <c r="AR15" s="386">
        <f t="shared" si="30"/>
        <v>9.4070035936963841</v>
      </c>
      <c r="AS15" s="386">
        <f t="shared" si="31"/>
        <v>54.587596505110405</v>
      </c>
      <c r="AT15" s="386">
        <f t="shared" si="32"/>
        <v>0</v>
      </c>
      <c r="AU15" s="386">
        <f t="shared" si="33"/>
        <v>0.95039999999999991</v>
      </c>
      <c r="AV15" s="386">
        <f t="shared" si="34"/>
        <v>26.149466164550805</v>
      </c>
      <c r="AW15" s="386">
        <f t="shared" si="35"/>
        <v>0.249</v>
      </c>
      <c r="AX15" s="386">
        <f t="shared" si="36"/>
        <v>0.14400000000000002</v>
      </c>
      <c r="AY15" s="386">
        <f t="shared" si="37"/>
        <v>1.2671999999999999</v>
      </c>
      <c r="AZ15" s="386">
        <f t="shared" si="38"/>
        <v>0.10439999999999998</v>
      </c>
      <c r="BA15" s="386">
        <f t="shared" si="56"/>
        <v>1.4112</v>
      </c>
      <c r="BB15" s="386">
        <f t="shared" si="57"/>
        <v>8.6163062243514563</v>
      </c>
      <c r="BC15">
        <f t="shared" si="39"/>
        <v>480</v>
      </c>
      <c r="BD15" s="604">
        <f t="shared" si="50"/>
        <v>0.98236590528275325</v>
      </c>
      <c r="BE15" s="614">
        <f t="shared" si="40"/>
        <v>-495.90602388668151</v>
      </c>
      <c r="BF15" s="614">
        <f t="shared" si="41"/>
        <v>470.35017968481918</v>
      </c>
      <c r="BG15" s="9"/>
      <c r="BH15" s="4">
        <f t="shared" si="51"/>
        <v>98.236590528275329</v>
      </c>
      <c r="BI15" s="386">
        <f t="shared" si="52"/>
        <v>-15.211709349875873</v>
      </c>
      <c r="BJ15" s="386">
        <f t="shared" si="53"/>
        <v>-6.0152752172088011</v>
      </c>
      <c r="BK15" s="386">
        <f t="shared" si="54"/>
        <v>0.31363199999999997</v>
      </c>
      <c r="BL15" s="386">
        <f t="shared" si="55"/>
        <v>26.149466164550805</v>
      </c>
      <c r="BP15" t="s">
        <v>140</v>
      </c>
      <c r="BQ15" s="18">
        <v>20</v>
      </c>
      <c r="BR15" s="18">
        <v>20</v>
      </c>
      <c r="BS15" s="18">
        <v>20</v>
      </c>
      <c r="BT15" s="19">
        <f>1000000*(5-Vdd)*BS15/1000000000+((1000000*BS9/1000000000*Vdd)*2.5/(2*4))</f>
        <v>0.1140625</v>
      </c>
      <c r="BU15">
        <f t="shared" si="42"/>
        <v>9.125</v>
      </c>
      <c r="BV15">
        <f t="shared" si="42"/>
        <v>11.40625</v>
      </c>
      <c r="BW15">
        <f t="shared" si="42"/>
        <v>13.6875</v>
      </c>
      <c r="BX15">
        <f t="shared" si="42"/>
        <v>15.96875</v>
      </c>
      <c r="BY15">
        <f t="shared" si="42"/>
        <v>18.25</v>
      </c>
      <c r="BZ15">
        <f t="shared" si="42"/>
        <v>20.53125</v>
      </c>
      <c r="CA15">
        <f t="shared" si="42"/>
        <v>2.28125</v>
      </c>
      <c r="CB15">
        <f t="shared" si="42"/>
        <v>3.421875</v>
      </c>
      <c r="CC15">
        <f t="shared" si="42"/>
        <v>4.5625</v>
      </c>
      <c r="CD15">
        <f t="shared" si="42"/>
        <v>5.703125</v>
      </c>
    </row>
    <row r="16" spans="1:82" x14ac:dyDescent="0.3">
      <c r="A16" s="490" t="s">
        <v>684</v>
      </c>
      <c r="B16" s="5">
        <f>Vdd</f>
        <v>7.5</v>
      </c>
      <c r="C16" s="482" t="s">
        <v>0</v>
      </c>
      <c r="D16" s="482" t="s">
        <v>683</v>
      </c>
      <c r="G16">
        <v>7</v>
      </c>
      <c r="H16" s="610">
        <f t="shared" si="0"/>
        <v>5.5250000000000004</v>
      </c>
      <c r="I16" s="4" t="str">
        <f t="shared" si="1"/>
        <v>BOOST</v>
      </c>
      <c r="J16">
        <f t="shared" si="43"/>
        <v>2</v>
      </c>
      <c r="K16">
        <f t="shared" si="2"/>
        <v>10</v>
      </c>
      <c r="L16" s="4">
        <f t="shared" si="3"/>
        <v>96.530920060331823</v>
      </c>
      <c r="M16" s="4">
        <f t="shared" si="4"/>
        <v>109.02041203181132</v>
      </c>
      <c r="N16" s="386">
        <f t="shared" si="5"/>
        <v>1</v>
      </c>
      <c r="O16" s="386">
        <f t="shared" si="44"/>
        <v>0.90827405791603433</v>
      </c>
      <c r="P16" s="4">
        <f t="shared" si="6"/>
        <v>2.0075067966177049</v>
      </c>
      <c r="Q16" s="386">
        <f t="shared" si="7"/>
        <v>96.532659592435579</v>
      </c>
      <c r="R16" s="386">
        <f t="shared" si="8"/>
        <v>-15.463215510701241</v>
      </c>
      <c r="S16" s="386">
        <f t="shared" si="45"/>
        <v>0.16011380258722588</v>
      </c>
      <c r="T16" s="386">
        <f t="shared" si="46"/>
        <v>-15.303101708114015</v>
      </c>
      <c r="U16" s="4">
        <f t="shared" si="9"/>
        <v>31.520304959749769</v>
      </c>
      <c r="V16" s="386">
        <f t="shared" si="10"/>
        <v>1.9870592495112518</v>
      </c>
      <c r="W16" s="386">
        <f t="shared" si="47"/>
        <v>1.9870592495112518</v>
      </c>
      <c r="X16" s="386">
        <f t="shared" si="11"/>
        <v>0.57951729471361768</v>
      </c>
      <c r="Y16" s="386">
        <f t="shared" si="12"/>
        <v>6.7168058974438009E-4</v>
      </c>
      <c r="Z16" s="603">
        <f t="shared" si="48"/>
        <v>6.7168058974438009E-4</v>
      </c>
      <c r="AA16" s="386">
        <f t="shared" si="13"/>
        <v>96.532659592435579</v>
      </c>
      <c r="AB16" s="386">
        <f t="shared" si="14"/>
        <v>53.115759897537558</v>
      </c>
      <c r="AC16" s="386">
        <f t="shared" si="15"/>
        <v>0</v>
      </c>
      <c r="AD16">
        <f t="shared" si="16"/>
        <v>0</v>
      </c>
      <c r="AE16" s="386">
        <f t="shared" si="17"/>
        <v>-5.5195802800005129</v>
      </c>
      <c r="AF16" s="386">
        <f t="shared" si="18"/>
        <v>0</v>
      </c>
      <c r="AG16" s="386">
        <f t="shared" si="19"/>
        <v>0</v>
      </c>
      <c r="AH16" s="386">
        <f t="shared" si="20"/>
        <v>0</v>
      </c>
      <c r="AI16" s="386">
        <f t="shared" si="21"/>
        <v>0</v>
      </c>
      <c r="AJ16" s="386">
        <f t="shared" si="22"/>
        <v>91.998919503027835</v>
      </c>
      <c r="AK16" s="386">
        <f t="shared" si="23"/>
        <v>16.081222260476732</v>
      </c>
      <c r="AL16" s="386">
        <f t="shared" si="24"/>
        <v>8.4532495710681506</v>
      </c>
      <c r="AM16">
        <f t="shared" si="25"/>
        <v>0</v>
      </c>
      <c r="AN16" s="386">
        <f t="shared" si="26"/>
        <v>-11.070291369866165</v>
      </c>
      <c r="AO16" s="386">
        <f t="shared" si="27"/>
        <v>29.236162167159502</v>
      </c>
      <c r="AP16" s="386">
        <f t="shared" si="28"/>
        <v>1.6240310387024524</v>
      </c>
      <c r="AQ16" s="386">
        <f t="shared" si="29"/>
        <v>4.633484162895928</v>
      </c>
      <c r="AR16" s="386">
        <f t="shared" si="30"/>
        <v>9.2677321286646492</v>
      </c>
      <c r="AS16" s="386">
        <f t="shared" si="31"/>
        <v>53.115759897537558</v>
      </c>
      <c r="AT16" s="386">
        <f t="shared" si="32"/>
        <v>0</v>
      </c>
      <c r="AU16" s="386">
        <f t="shared" si="33"/>
        <v>0.95039999999999991</v>
      </c>
      <c r="AV16" s="386">
        <f t="shared" si="34"/>
        <v>25.391403569173789</v>
      </c>
      <c r="AW16" s="386">
        <f t="shared" si="35"/>
        <v>0.249</v>
      </c>
      <c r="AX16" s="386">
        <f t="shared" si="36"/>
        <v>0.14400000000000002</v>
      </c>
      <c r="AY16" s="386">
        <f t="shared" si="37"/>
        <v>1.2671999999999999</v>
      </c>
      <c r="AZ16" s="386">
        <f t="shared" si="38"/>
        <v>0.10439999999999998</v>
      </c>
      <c r="BA16" s="386">
        <f t="shared" si="56"/>
        <v>1.4112</v>
      </c>
      <c r="BB16" s="386">
        <f t="shared" si="57"/>
        <v>7.3644932699587438</v>
      </c>
      <c r="BC16">
        <f t="shared" si="39"/>
        <v>480</v>
      </c>
      <c r="BD16" s="604">
        <f t="shared" si="50"/>
        <v>0.98488914688768792</v>
      </c>
      <c r="BE16" s="614">
        <f t="shared" si="40"/>
        <v>-505.99456849330824</v>
      </c>
      <c r="BF16" s="614">
        <f t="shared" si="41"/>
        <v>463.38660643323249</v>
      </c>
      <c r="BG16" s="9"/>
      <c r="BH16" s="4">
        <f t="shared" si="51"/>
        <v>98.488914688768787</v>
      </c>
      <c r="BI16" s="386">
        <f t="shared" si="52"/>
        <v>-15.303101708114015</v>
      </c>
      <c r="BJ16" s="386">
        <f t="shared" si="53"/>
        <v>-6.3717395212020307</v>
      </c>
      <c r="BK16" s="386">
        <f t="shared" si="54"/>
        <v>0.31363199999999997</v>
      </c>
      <c r="BL16" s="386">
        <f t="shared" si="55"/>
        <v>25.391403569173789</v>
      </c>
      <c r="BP16" t="s">
        <v>141</v>
      </c>
      <c r="BQ16" s="18">
        <v>25</v>
      </c>
      <c r="BR16" s="18">
        <v>25</v>
      </c>
      <c r="BS16" s="18">
        <v>25</v>
      </c>
      <c r="BT16" s="19">
        <f>1000000*(12-Vdd)*BS16/1000000000+((1000000*BS9/1000000000*Vdd)*2.5/(2*4))</f>
        <v>0.27656249999999999</v>
      </c>
      <c r="BU16">
        <f t="shared" si="42"/>
        <v>22.125</v>
      </c>
      <c r="BV16">
        <f t="shared" si="42"/>
        <v>27.65625</v>
      </c>
      <c r="BW16">
        <f t="shared" si="42"/>
        <v>33.1875</v>
      </c>
      <c r="BX16">
        <f t="shared" si="42"/>
        <v>38.71875</v>
      </c>
      <c r="BY16">
        <f t="shared" si="42"/>
        <v>44.25</v>
      </c>
      <c r="BZ16">
        <f t="shared" si="42"/>
        <v>49.78125</v>
      </c>
      <c r="CA16">
        <f t="shared" si="42"/>
        <v>5.53125</v>
      </c>
      <c r="CB16">
        <f t="shared" si="42"/>
        <v>8.296875</v>
      </c>
      <c r="CC16">
        <f t="shared" si="42"/>
        <v>11.0625</v>
      </c>
      <c r="CD16">
        <f t="shared" si="42"/>
        <v>13.828125</v>
      </c>
    </row>
    <row r="17" spans="1:82" x14ac:dyDescent="0.3">
      <c r="A17" s="24" t="s">
        <v>62</v>
      </c>
      <c r="B17" s="16" t="s">
        <v>115</v>
      </c>
      <c r="C17" s="24" t="s">
        <v>80</v>
      </c>
      <c r="D17" s="17" t="s">
        <v>111</v>
      </c>
      <c r="G17">
        <v>8</v>
      </c>
      <c r="H17" s="610">
        <f t="shared" si="0"/>
        <v>5.6</v>
      </c>
      <c r="I17" s="4" t="str">
        <f t="shared" si="1"/>
        <v>BOOST</v>
      </c>
      <c r="J17">
        <f t="shared" si="43"/>
        <v>2</v>
      </c>
      <c r="K17">
        <f t="shared" si="2"/>
        <v>10</v>
      </c>
      <c r="L17" s="4">
        <f t="shared" si="3"/>
        <v>95.238095238095241</v>
      </c>
      <c r="M17" s="4">
        <f t="shared" si="4"/>
        <v>106.82302771855007</v>
      </c>
      <c r="N17" s="386">
        <f t="shared" si="5"/>
        <v>1</v>
      </c>
      <c r="O17" s="386">
        <f t="shared" si="44"/>
        <v>0.90638722554890216</v>
      </c>
      <c r="P17" s="4">
        <f t="shared" si="6"/>
        <v>2.0447119229554356</v>
      </c>
      <c r="Q17" s="386">
        <f t="shared" si="7"/>
        <v>95.239924341026693</v>
      </c>
      <c r="R17" s="386">
        <f t="shared" si="8"/>
        <v>-15.564055788237072</v>
      </c>
      <c r="S17" s="386">
        <f t="shared" si="45"/>
        <v>0.16703343563573367</v>
      </c>
      <c r="T17" s="386">
        <f t="shared" si="46"/>
        <v>-15.397022352601338</v>
      </c>
      <c r="U17" s="4">
        <f t="shared" si="9"/>
        <v>31.170557089516787</v>
      </c>
      <c r="V17" s="386">
        <f t="shared" si="10"/>
        <v>1.9432072585416507</v>
      </c>
      <c r="W17" s="386">
        <f t="shared" si="47"/>
        <v>1.9432072585416507</v>
      </c>
      <c r="X17" s="386">
        <f t="shared" si="11"/>
        <v>0.59025748956677904</v>
      </c>
      <c r="Y17" s="386">
        <f t="shared" si="12"/>
        <v>6.968078079793525E-4</v>
      </c>
      <c r="Z17" s="603">
        <f t="shared" si="48"/>
        <v>6.968078079793525E-4</v>
      </c>
      <c r="AA17" s="386">
        <f t="shared" si="13"/>
        <v>95.239924341026693</v>
      </c>
      <c r="AB17" s="386">
        <f t="shared" si="14"/>
        <v>51.702666174361596</v>
      </c>
      <c r="AC17" s="386">
        <f t="shared" si="15"/>
        <v>0</v>
      </c>
      <c r="AD17">
        <f t="shared" si="16"/>
        <v>0</v>
      </c>
      <c r="AE17" s="386">
        <f t="shared" si="17"/>
        <v>-5.5353013446098345</v>
      </c>
      <c r="AF17" s="386">
        <f t="shared" si="18"/>
        <v>0</v>
      </c>
      <c r="AG17" s="386">
        <f t="shared" si="19"/>
        <v>0</v>
      </c>
      <c r="AH17" s="386">
        <f t="shared" si="20"/>
        <v>0</v>
      </c>
      <c r="AI17" s="386">
        <f t="shared" si="21"/>
        <v>0</v>
      </c>
      <c r="AJ17" s="386">
        <f t="shared" si="22"/>
        <v>90.672570899663498</v>
      </c>
      <c r="AK17" s="386">
        <f t="shared" si="23"/>
        <v>15.620878715753557</v>
      </c>
      <c r="AL17" s="386">
        <f t="shared" si="24"/>
        <v>8.3400364071699169</v>
      </c>
      <c r="AM17">
        <f t="shared" si="25"/>
        <v>0</v>
      </c>
      <c r="AN17" s="386">
        <f t="shared" si="26"/>
        <v>-11.280100151874974</v>
      </c>
      <c r="AO17" s="386">
        <f t="shared" si="27"/>
        <v>29.139802245897027</v>
      </c>
      <c r="AP17" s="386">
        <f t="shared" si="28"/>
        <v>1.6133433423669721</v>
      </c>
      <c r="AQ17" s="386">
        <f t="shared" si="29"/>
        <v>4.5714285714285721</v>
      </c>
      <c r="AR17" s="386">
        <f t="shared" si="30"/>
        <v>9.1310878825817401</v>
      </c>
      <c r="AS17" s="386">
        <f t="shared" si="31"/>
        <v>51.702666174361596</v>
      </c>
      <c r="AT17" s="386">
        <f t="shared" si="32"/>
        <v>0</v>
      </c>
      <c r="AU17" s="386">
        <f t="shared" si="33"/>
        <v>0.95039999999999991</v>
      </c>
      <c r="AV17" s="386">
        <f t="shared" si="34"/>
        <v>24.664545340663512</v>
      </c>
      <c r="AW17" s="386">
        <f t="shared" si="35"/>
        <v>0.249</v>
      </c>
      <c r="AX17" s="386">
        <f t="shared" si="36"/>
        <v>0.14400000000000002</v>
      </c>
      <c r="AY17" s="386">
        <f t="shared" si="37"/>
        <v>1.2671999999999999</v>
      </c>
      <c r="AZ17" s="386">
        <f t="shared" si="38"/>
        <v>0.10439999999999998</v>
      </c>
      <c r="BA17" s="386">
        <f t="shared" si="56"/>
        <v>1.4112</v>
      </c>
      <c r="BB17" s="386">
        <f t="shared" si="57"/>
        <v>6.1377134405087306</v>
      </c>
      <c r="BC17">
        <f t="shared" si="39"/>
        <v>480</v>
      </c>
      <c r="BD17" s="604">
        <f t="shared" si="50"/>
        <v>0.9873745375624724</v>
      </c>
      <c r="BE17" s="614">
        <f t="shared" si="40"/>
        <v>-516.48500759374872</v>
      </c>
      <c r="BF17" s="614">
        <f t="shared" si="41"/>
        <v>456.55439412908703</v>
      </c>
      <c r="BG17" s="9"/>
      <c r="BH17" s="4">
        <f t="shared" si="51"/>
        <v>98.737453756247234</v>
      </c>
      <c r="BI17" s="386">
        <f t="shared" si="52"/>
        <v>-15.397022352601338</v>
      </c>
      <c r="BJ17" s="386">
        <f t="shared" si="53"/>
        <v>-6.73391361390307</v>
      </c>
      <c r="BK17" s="386">
        <f t="shared" si="54"/>
        <v>0.31363199999999997</v>
      </c>
      <c r="BL17" s="386">
        <f t="shared" si="55"/>
        <v>24.664545340663512</v>
      </c>
      <c r="BP17" t="s">
        <v>144</v>
      </c>
      <c r="BQ17" s="18">
        <v>50</v>
      </c>
      <c r="BR17" s="18">
        <v>50</v>
      </c>
      <c r="BS17" s="18">
        <v>50</v>
      </c>
      <c r="BT17" s="19">
        <f>500000*(18-Vdd)*BS17/1000000000+((500000*BS15/1000000000*Vdd)*2.5/(2*4))</f>
        <v>0.28593750000000001</v>
      </c>
      <c r="BU17">
        <f t="shared" si="42"/>
        <v>22.875</v>
      </c>
      <c r="BV17">
        <f t="shared" si="42"/>
        <v>28.59375</v>
      </c>
      <c r="BW17">
        <f t="shared" si="42"/>
        <v>34.3125</v>
      </c>
      <c r="BX17">
        <f t="shared" si="42"/>
        <v>40.03125</v>
      </c>
      <c r="BY17">
        <f t="shared" si="42"/>
        <v>45.75</v>
      </c>
      <c r="BZ17">
        <f t="shared" si="42"/>
        <v>51.46875</v>
      </c>
      <c r="CA17">
        <f t="shared" si="42"/>
        <v>5.71875</v>
      </c>
      <c r="CB17">
        <f t="shared" si="42"/>
        <v>8.578125</v>
      </c>
      <c r="CC17">
        <f t="shared" si="42"/>
        <v>11.4375</v>
      </c>
      <c r="CD17">
        <f t="shared" si="42"/>
        <v>14.296875</v>
      </c>
    </row>
    <row r="18" spans="1:82" x14ac:dyDescent="0.3">
      <c r="A18" s="35" t="s">
        <v>60</v>
      </c>
      <c r="B18" s="38">
        <f>Lf*1000000</f>
        <v>3.3</v>
      </c>
      <c r="C18" s="483" t="s">
        <v>11</v>
      </c>
      <c r="D18" s="482" t="s">
        <v>676</v>
      </c>
      <c r="G18">
        <v>9</v>
      </c>
      <c r="H18" s="610">
        <f t="shared" si="0"/>
        <v>5.6749999999999998</v>
      </c>
      <c r="I18" s="4" t="str">
        <f t="shared" si="1"/>
        <v>BOOST</v>
      </c>
      <c r="J18">
        <f t="shared" si="43"/>
        <v>2</v>
      </c>
      <c r="K18">
        <f t="shared" si="2"/>
        <v>10</v>
      </c>
      <c r="L18" s="4">
        <f t="shared" si="3"/>
        <v>93.979441997063148</v>
      </c>
      <c r="M18" s="4">
        <f t="shared" si="4"/>
        <v>104.72192905424473</v>
      </c>
      <c r="N18" s="386">
        <f t="shared" si="5"/>
        <v>1</v>
      </c>
      <c r="O18" s="386">
        <f t="shared" si="44"/>
        <v>0.9045090164943379</v>
      </c>
      <c r="P18" s="4">
        <f t="shared" si="6"/>
        <v>2.0815788697237925</v>
      </c>
      <c r="Q18" s="386">
        <f t="shared" si="7"/>
        <v>93.981363040562087</v>
      </c>
      <c r="R18" s="386">
        <f t="shared" si="8"/>
        <v>-15.66760580633593</v>
      </c>
      <c r="S18" s="386">
        <f t="shared" si="45"/>
        <v>0.17405406150571648</v>
      </c>
      <c r="T18" s="386">
        <f t="shared" si="46"/>
        <v>-15.493551744830214</v>
      </c>
      <c r="U18" s="4">
        <f t="shared" si="9"/>
        <v>30.832442626503713</v>
      </c>
      <c r="V18" s="386">
        <f t="shared" si="10"/>
        <v>1.9012790366332863</v>
      </c>
      <c r="W18" s="386">
        <f t="shared" si="47"/>
        <v>1.9012790366332863</v>
      </c>
      <c r="X18" s="386">
        <f t="shared" si="11"/>
        <v>0.60090006038723431</v>
      </c>
      <c r="Y18" s="386">
        <f t="shared" si="12"/>
        <v>7.2216176514676368E-4</v>
      </c>
      <c r="Z18" s="603">
        <f t="shared" si="48"/>
        <v>7.2216176514676368E-4</v>
      </c>
      <c r="AA18" s="386">
        <f t="shared" si="13"/>
        <v>93.981363040562087</v>
      </c>
      <c r="AB18" s="386">
        <f t="shared" si="14"/>
        <v>50.345230614082993</v>
      </c>
      <c r="AC18" s="386">
        <f t="shared" si="15"/>
        <v>0</v>
      </c>
      <c r="AD18">
        <f t="shared" si="16"/>
        <v>0</v>
      </c>
      <c r="AE18" s="386">
        <f t="shared" si="17"/>
        <v>-5.5513258982574376</v>
      </c>
      <c r="AF18" s="386">
        <f t="shared" si="18"/>
        <v>0</v>
      </c>
      <c r="AG18" s="386">
        <f t="shared" si="19"/>
        <v>0</v>
      </c>
      <c r="AH18" s="386">
        <f t="shared" si="20"/>
        <v>0</v>
      </c>
      <c r="AI18" s="386">
        <f t="shared" si="21"/>
        <v>0</v>
      </c>
      <c r="AJ18" s="386">
        <f t="shared" si="22"/>
        <v>89.381613388418089</v>
      </c>
      <c r="AK18" s="386">
        <f t="shared" si="23"/>
        <v>15.179238342641616</v>
      </c>
      <c r="AL18" s="386">
        <f t="shared" si="24"/>
        <v>8.2298156617007123</v>
      </c>
      <c r="AM18">
        <f t="shared" si="25"/>
        <v>0</v>
      </c>
      <c r="AN18" s="386">
        <f t="shared" si="26"/>
        <v>-11.498431030089939</v>
      </c>
      <c r="AO18" s="386">
        <f t="shared" si="27"/>
        <v>29.041759365528982</v>
      </c>
      <c r="AP18" s="386">
        <f t="shared" si="28"/>
        <v>1.6025051953860519</v>
      </c>
      <c r="AQ18" s="386">
        <f t="shared" si="29"/>
        <v>4.5110132158590313</v>
      </c>
      <c r="AR18" s="386">
        <f t="shared" si="30"/>
        <v>8.9970975127653698</v>
      </c>
      <c r="AS18" s="386">
        <f t="shared" si="31"/>
        <v>50.345230614082993</v>
      </c>
      <c r="AT18" s="386">
        <f t="shared" si="32"/>
        <v>0</v>
      </c>
      <c r="AU18" s="386">
        <f t="shared" si="33"/>
        <v>0.95039999999999991</v>
      </c>
      <c r="AV18" s="386">
        <f t="shared" si="34"/>
        <v>23.967218435749921</v>
      </c>
      <c r="AW18" s="386">
        <f t="shared" si="35"/>
        <v>0.249</v>
      </c>
      <c r="AX18" s="386">
        <f t="shared" si="36"/>
        <v>0.14400000000000002</v>
      </c>
      <c r="AY18" s="386">
        <f t="shared" si="37"/>
        <v>1.2671999999999999</v>
      </c>
      <c r="AZ18" s="386">
        <f t="shared" si="38"/>
        <v>0.10439999999999998</v>
      </c>
      <c r="BA18" s="386">
        <f t="shared" si="56"/>
        <v>1.4112</v>
      </c>
      <c r="BB18" s="386">
        <f t="shared" si="57"/>
        <v>4.9336084737361299</v>
      </c>
      <c r="BC18">
        <f t="shared" si="39"/>
        <v>480</v>
      </c>
      <c r="BD18" s="604">
        <f t="shared" si="50"/>
        <v>0.98982621870803311</v>
      </c>
      <c r="BE18" s="614">
        <f t="shared" si="40"/>
        <v>-527.40155150449698</v>
      </c>
      <c r="BF18" s="614">
        <f t="shared" si="41"/>
        <v>449.85487563826848</v>
      </c>
      <c r="BG18" s="9"/>
      <c r="BH18" s="4">
        <f t="shared" si="51"/>
        <v>98.982621870803314</v>
      </c>
      <c r="BI18" s="386">
        <f t="shared" si="52"/>
        <v>-15.493551744830214</v>
      </c>
      <c r="BJ18" s="386">
        <f t="shared" si="53"/>
        <v>-7.102259415582008</v>
      </c>
      <c r="BK18" s="386">
        <f t="shared" si="54"/>
        <v>0.31363199999999997</v>
      </c>
      <c r="BL18" s="386">
        <f t="shared" si="55"/>
        <v>23.967218435749921</v>
      </c>
      <c r="BP18" t="s">
        <v>145</v>
      </c>
      <c r="BR18" s="18"/>
      <c r="BS18" s="19"/>
    </row>
    <row r="19" spans="1:82" x14ac:dyDescent="0.3">
      <c r="A19" s="35" t="s">
        <v>12</v>
      </c>
      <c r="B19" s="39">
        <f>Rdcr*1000</f>
        <v>7</v>
      </c>
      <c r="C19" s="484" t="s">
        <v>674</v>
      </c>
      <c r="D19" s="482" t="s">
        <v>677</v>
      </c>
      <c r="G19">
        <v>10</v>
      </c>
      <c r="H19" s="610">
        <f t="shared" si="0"/>
        <v>5.75</v>
      </c>
      <c r="I19" s="4" t="str">
        <f t="shared" si="1"/>
        <v>BOOST</v>
      </c>
      <c r="J19">
        <f t="shared" si="43"/>
        <v>2</v>
      </c>
      <c r="K19">
        <f t="shared" si="2"/>
        <v>10</v>
      </c>
      <c r="L19" s="4">
        <f t="shared" si="3"/>
        <v>92.753623188405797</v>
      </c>
      <c r="M19" s="4">
        <f t="shared" si="4"/>
        <v>102.71062728095069</v>
      </c>
      <c r="N19" s="386">
        <f t="shared" si="5"/>
        <v>1</v>
      </c>
      <c r="O19" s="386">
        <f t="shared" si="44"/>
        <v>0.90263909135082598</v>
      </c>
      <c r="P19" s="4">
        <f t="shared" si="6"/>
        <v>2.1181164272885473</v>
      </c>
      <c r="Q19" s="386">
        <f t="shared" si="7"/>
        <v>92.755638549237176</v>
      </c>
      <c r="R19" s="386">
        <f t="shared" si="8"/>
        <v>-15.773947633475064</v>
      </c>
      <c r="S19" s="386">
        <f t="shared" si="45"/>
        <v>0.18117379963712918</v>
      </c>
      <c r="T19" s="386">
        <f t="shared" si="46"/>
        <v>-15.592773833837935</v>
      </c>
      <c r="U19" s="4">
        <f t="shared" si="9"/>
        <v>30.505285237418985</v>
      </c>
      <c r="V19" s="386">
        <f t="shared" si="10"/>
        <v>1.8611448548325853</v>
      </c>
      <c r="W19" s="386">
        <f t="shared" si="47"/>
        <v>1.8611448548325853</v>
      </c>
      <c r="X19" s="386">
        <f t="shared" si="11"/>
        <v>0.61144754473500562</v>
      </c>
      <c r="Y19" s="386">
        <f t="shared" si="12"/>
        <v>7.4773619992493342E-4</v>
      </c>
      <c r="Z19" s="603">
        <f t="shared" si="48"/>
        <v>7.4773619992493342E-4</v>
      </c>
      <c r="AA19" s="386">
        <f t="shared" si="13"/>
        <v>92.755638549237176</v>
      </c>
      <c r="AB19" s="386">
        <f t="shared" si="14"/>
        <v>49.040568351257377</v>
      </c>
      <c r="AC19" s="386">
        <f t="shared" si="15"/>
        <v>0</v>
      </c>
      <c r="AD19">
        <f t="shared" si="16"/>
        <v>0</v>
      </c>
      <c r="AE19" s="386">
        <f t="shared" si="17"/>
        <v>-5.5676584325752962</v>
      </c>
      <c r="AF19" s="386">
        <f t="shared" si="18"/>
        <v>0</v>
      </c>
      <c r="AG19" s="386">
        <f t="shared" si="19"/>
        <v>0</v>
      </c>
      <c r="AH19" s="386">
        <f t="shared" si="20"/>
        <v>0</v>
      </c>
      <c r="AI19" s="386">
        <f t="shared" si="21"/>
        <v>0</v>
      </c>
      <c r="AJ19" s="386">
        <f t="shared" si="22"/>
        <v>88.12464662704518</v>
      </c>
      <c r="AK19" s="386">
        <f t="shared" si="23"/>
        <v>14.755311351969013</v>
      </c>
      <c r="AL19" s="386">
        <f t="shared" si="24"/>
        <v>8.1224702400263542</v>
      </c>
      <c r="AM19">
        <f t="shared" si="25"/>
        <v>0</v>
      </c>
      <c r="AN19" s="386">
        <f t="shared" si="26"/>
        <v>-11.725808006823744</v>
      </c>
      <c r="AO19" s="386">
        <f t="shared" si="27"/>
        <v>28.942272535776251</v>
      </c>
      <c r="AP19" s="386">
        <f t="shared" si="28"/>
        <v>1.5915447651167816</v>
      </c>
      <c r="AQ19" s="386">
        <f t="shared" si="29"/>
        <v>4.4521739130434783</v>
      </c>
      <c r="AR19" s="386">
        <f t="shared" si="30"/>
        <v>8.8657738794790575</v>
      </c>
      <c r="AS19" s="386">
        <f t="shared" si="31"/>
        <v>49.040568351257377</v>
      </c>
      <c r="AT19" s="386">
        <f t="shared" si="32"/>
        <v>0</v>
      </c>
      <c r="AU19" s="386">
        <f t="shared" si="33"/>
        <v>0.95039999999999991</v>
      </c>
      <c r="AV19" s="386">
        <f t="shared" si="34"/>
        <v>23.297860029424758</v>
      </c>
      <c r="AW19" s="386">
        <f t="shared" si="35"/>
        <v>0.249</v>
      </c>
      <c r="AX19" s="386">
        <f t="shared" si="36"/>
        <v>0.14400000000000002</v>
      </c>
      <c r="AY19" s="386">
        <f t="shared" si="37"/>
        <v>1.2671999999999999</v>
      </c>
      <c r="AZ19" s="386">
        <f t="shared" si="38"/>
        <v>0.10439999999999998</v>
      </c>
      <c r="BA19" s="386">
        <f t="shared" si="56"/>
        <v>1.4112</v>
      </c>
      <c r="BB19" s="386">
        <f t="shared" si="57"/>
        <v>3.7498862266993469</v>
      </c>
      <c r="BC19">
        <f t="shared" si="39"/>
        <v>480</v>
      </c>
      <c r="BD19" s="604">
        <f t="shared" si="50"/>
        <v>0.99224829538266379</v>
      </c>
      <c r="BE19" s="614">
        <f t="shared" si="40"/>
        <v>-538.77040034118716</v>
      </c>
      <c r="BF19" s="614">
        <f t="shared" si="41"/>
        <v>443.28869397395289</v>
      </c>
      <c r="BG19" s="9"/>
      <c r="BH19" s="4">
        <f t="shared" si="51"/>
        <v>99.224829538266377</v>
      </c>
      <c r="BI19" s="386">
        <f t="shared" si="52"/>
        <v>-15.592773833837935</v>
      </c>
      <c r="BJ19" s="386">
        <f t="shared" si="53"/>
        <v>-7.4772925599199827</v>
      </c>
      <c r="BK19" s="386">
        <f t="shared" si="54"/>
        <v>0.31363199999999997</v>
      </c>
      <c r="BL19" s="386">
        <f t="shared" si="55"/>
        <v>23.297860029424758</v>
      </c>
      <c r="BP19" t="s">
        <v>146</v>
      </c>
      <c r="BR19" s="18"/>
      <c r="BS19" s="19"/>
    </row>
    <row r="20" spans="1:82" x14ac:dyDescent="0.3">
      <c r="A20" s="35" t="s">
        <v>86</v>
      </c>
      <c r="B20" s="39">
        <f>Ltc*1000000</f>
        <v>4000</v>
      </c>
      <c r="C20" s="483" t="s">
        <v>85</v>
      </c>
      <c r="D20" s="21" t="s">
        <v>101</v>
      </c>
      <c r="G20">
        <v>11</v>
      </c>
      <c r="H20" s="610">
        <f t="shared" si="0"/>
        <v>5.8250000000000002</v>
      </c>
      <c r="I20" s="4" t="str">
        <f t="shared" si="1"/>
        <v>BOOST</v>
      </c>
      <c r="J20">
        <f t="shared" si="43"/>
        <v>2</v>
      </c>
      <c r="K20">
        <f t="shared" si="2"/>
        <v>10</v>
      </c>
      <c r="L20" s="4">
        <f t="shared" si="3"/>
        <v>91.559370529327595</v>
      </c>
      <c r="M20" s="4">
        <f t="shared" si="4"/>
        <v>100.78321488183792</v>
      </c>
      <c r="N20" s="386">
        <f t="shared" si="5"/>
        <v>1</v>
      </c>
      <c r="O20" s="386">
        <f t="shared" si="44"/>
        <v>0.90077712829736201</v>
      </c>
      <c r="P20" s="4">
        <f t="shared" si="6"/>
        <v>2.1543329236202444</v>
      </c>
      <c r="Q20" s="386">
        <f t="shared" si="7"/>
        <v>91.56148259096463</v>
      </c>
      <c r="R20" s="386">
        <f t="shared" si="8"/>
        <v>-15.883167065941549</v>
      </c>
      <c r="S20" s="386">
        <f t="shared" si="45"/>
        <v>0.18839081368910565</v>
      </c>
      <c r="T20" s="386">
        <f t="shared" si="46"/>
        <v>-15.694776252252444</v>
      </c>
      <c r="U20" s="4">
        <f t="shared" si="9"/>
        <v>30.18846308433994</v>
      </c>
      <c r="V20" s="386">
        <f t="shared" si="10"/>
        <v>1.8226866067891105</v>
      </c>
      <c r="W20" s="386">
        <f t="shared" si="47"/>
        <v>1.8226866067891105</v>
      </c>
      <c r="X20" s="386">
        <f t="shared" si="11"/>
        <v>0.62190234668811084</v>
      </c>
      <c r="Y20" s="386">
        <f t="shared" si="12"/>
        <v>7.7352505763235847E-4</v>
      </c>
      <c r="Z20" s="603">
        <f t="shared" si="48"/>
        <v>7.7352505763235847E-4</v>
      </c>
      <c r="AA20" s="386">
        <f t="shared" si="13"/>
        <v>91.56148259096463</v>
      </c>
      <c r="AB20" s="386">
        <f t="shared" si="14"/>
        <v>47.78597903725646</v>
      </c>
      <c r="AC20" s="386">
        <f t="shared" si="15"/>
        <v>0</v>
      </c>
      <c r="AD20">
        <f t="shared" si="16"/>
        <v>0</v>
      </c>
      <c r="AE20" s="386">
        <f t="shared" si="17"/>
        <v>-5.5843035630487954</v>
      </c>
      <c r="AF20" s="386">
        <f t="shared" si="18"/>
        <v>0</v>
      </c>
      <c r="AG20" s="386">
        <f t="shared" si="19"/>
        <v>0</v>
      </c>
      <c r="AH20" s="386">
        <f t="shared" si="20"/>
        <v>0</v>
      </c>
      <c r="AI20" s="386">
        <f t="shared" si="21"/>
        <v>0</v>
      </c>
      <c r="AJ20" s="386">
        <f t="shared" si="22"/>
        <v>86.900343174637641</v>
      </c>
      <c r="AK20" s="386">
        <f t="shared" si="23"/>
        <v>14.348172323352603</v>
      </c>
      <c r="AL20" s="386">
        <f t="shared" si="24"/>
        <v>8.0178890781376033</v>
      </c>
      <c r="AM20">
        <f t="shared" si="25"/>
        <v>0</v>
      </c>
      <c r="AN20" s="386">
        <f t="shared" si="26"/>
        <v>-11.962799051969606</v>
      </c>
      <c r="AO20" s="386">
        <f t="shared" si="27"/>
        <v>28.841557696936679</v>
      </c>
      <c r="AP20" s="386">
        <f t="shared" si="28"/>
        <v>1.580487355732882</v>
      </c>
      <c r="AQ20" s="386">
        <f t="shared" si="29"/>
        <v>4.3948497854077244</v>
      </c>
      <c r="AR20" s="386">
        <f t="shared" si="30"/>
        <v>8.7371180673339222</v>
      </c>
      <c r="AS20" s="386">
        <f t="shared" si="31"/>
        <v>47.78597903725646</v>
      </c>
      <c r="AT20" s="386">
        <f t="shared" si="32"/>
        <v>0</v>
      </c>
      <c r="AU20" s="386">
        <f t="shared" si="33"/>
        <v>0.95039999999999991</v>
      </c>
      <c r="AV20" s="386">
        <f t="shared" si="34"/>
        <v>22.655008931609373</v>
      </c>
      <c r="AW20" s="386">
        <f t="shared" si="35"/>
        <v>0.249</v>
      </c>
      <c r="AX20" s="386">
        <f t="shared" si="36"/>
        <v>0.14400000000000002</v>
      </c>
      <c r="AY20" s="386">
        <f t="shared" si="37"/>
        <v>1.2671999999999999</v>
      </c>
      <c r="AZ20" s="386">
        <f t="shared" si="38"/>
        <v>0.10439999999999998</v>
      </c>
      <c r="BA20" s="386">
        <f t="shared" si="56"/>
        <v>1.4112</v>
      </c>
      <c r="BB20" s="386">
        <f t="shared" si="57"/>
        <v>2.5843082635191919</v>
      </c>
      <c r="BC20">
        <f t="shared" si="39"/>
        <v>480</v>
      </c>
      <c r="BD20" s="604">
        <f t="shared" si="50"/>
        <v>0.99464485641313483</v>
      </c>
      <c r="BE20" s="614">
        <f t="shared" si="40"/>
        <v>-550.61995259848027</v>
      </c>
      <c r="BF20" s="614">
        <f t="shared" si="41"/>
        <v>436.85590336669611</v>
      </c>
      <c r="BG20" s="9"/>
      <c r="BH20" s="4">
        <f t="shared" si="51"/>
        <v>99.464485641313487</v>
      </c>
      <c r="BI20" s="386">
        <f t="shared" si="52"/>
        <v>-15.694776252252444</v>
      </c>
      <c r="BJ20" s="386">
        <f t="shared" si="53"/>
        <v>-7.8595845476844808</v>
      </c>
      <c r="BK20" s="386">
        <f t="shared" si="54"/>
        <v>0.31363199999999997</v>
      </c>
      <c r="BL20" s="386">
        <f t="shared" si="55"/>
        <v>22.655008931609373</v>
      </c>
      <c r="BR20" s="18"/>
      <c r="BS20" s="19"/>
    </row>
    <row r="21" spans="1:82" x14ac:dyDescent="0.3">
      <c r="A21" s="25" t="s">
        <v>159</v>
      </c>
      <c r="B21" s="39">
        <f>ThetaCa</f>
        <v>20</v>
      </c>
      <c r="C21" s="483" t="s">
        <v>241</v>
      </c>
      <c r="D21" s="26" t="s">
        <v>160</v>
      </c>
      <c r="G21">
        <v>12</v>
      </c>
      <c r="H21" s="610">
        <f t="shared" si="0"/>
        <v>5.9</v>
      </c>
      <c r="I21" s="4" t="str">
        <f t="shared" si="1"/>
        <v>BOOST</v>
      </c>
      <c r="J21">
        <f t="shared" si="43"/>
        <v>2</v>
      </c>
      <c r="K21">
        <f t="shared" si="2"/>
        <v>10</v>
      </c>
      <c r="L21" s="4">
        <f t="shared" si="3"/>
        <v>90.395480225988692</v>
      </c>
      <c r="M21" s="4">
        <f t="shared" si="4"/>
        <v>98.934301440449701</v>
      </c>
      <c r="N21" s="386">
        <f t="shared" si="5"/>
        <v>1</v>
      </c>
      <c r="O21" s="386">
        <f t="shared" si="44"/>
        <v>0.89892282196969697</v>
      </c>
      <c r="P21" s="4">
        <f t="shared" si="6"/>
        <v>2.19023625429414</v>
      </c>
      <c r="Q21" s="386">
        <f t="shared" si="7"/>
        <v>90.397691378290077</v>
      </c>
      <c r="R21" s="386">
        <f t="shared" si="8"/>
        <v>-15.995353833413049</v>
      </c>
      <c r="S21" s="386">
        <f t="shared" si="45"/>
        <v>0.1957033084097641</v>
      </c>
      <c r="T21" s="386">
        <f t="shared" si="46"/>
        <v>-15.799650525003285</v>
      </c>
      <c r="U21" s="4">
        <f t="shared" si="9"/>
        <v>29.881403297774053</v>
      </c>
      <c r="V21" s="386">
        <f t="shared" si="10"/>
        <v>1.7857965260884441</v>
      </c>
      <c r="W21" s="386">
        <f t="shared" si="47"/>
        <v>1.7857965260884441</v>
      </c>
      <c r="X21" s="386">
        <f t="shared" si="11"/>
        <v>0.63226674550279971</v>
      </c>
      <c r="Y21" s="386">
        <f t="shared" si="12"/>
        <v>7.9952247493740428E-4</v>
      </c>
      <c r="Z21" s="603">
        <f t="shared" si="48"/>
        <v>7.9952247493740428E-4</v>
      </c>
      <c r="AA21" s="386">
        <f t="shared" si="13"/>
        <v>90.397691378290077</v>
      </c>
      <c r="AB21" s="386">
        <f t="shared" si="14"/>
        <v>46.578932857190111</v>
      </c>
      <c r="AC21" s="386">
        <f t="shared" si="15"/>
        <v>0</v>
      </c>
      <c r="AD21">
        <f t="shared" si="16"/>
        <v>0</v>
      </c>
      <c r="AE21" s="386">
        <f t="shared" si="17"/>
        <v>-5.6012660326292334</v>
      </c>
      <c r="AF21" s="386">
        <f t="shared" si="18"/>
        <v>0</v>
      </c>
      <c r="AG21" s="386">
        <f t="shared" si="19"/>
        <v>0</v>
      </c>
      <c r="AH21" s="386">
        <f t="shared" si="20"/>
        <v>0</v>
      </c>
      <c r="AI21" s="386">
        <f t="shared" si="21"/>
        <v>0</v>
      </c>
      <c r="AJ21" s="386">
        <f t="shared" si="22"/>
        <v>85.707443808966104</v>
      </c>
      <c r="AK21" s="386">
        <f t="shared" si="23"/>
        <v>13.956955256107456</v>
      </c>
      <c r="AL21" s="386">
        <f t="shared" si="24"/>
        <v>7.9159667593477172</v>
      </c>
      <c r="AM21">
        <f t="shared" si="25"/>
        <v>0</v>
      </c>
      <c r="AN21" s="386">
        <f t="shared" si="26"/>
        <v>-12.210020810665956</v>
      </c>
      <c r="AO21" s="386">
        <f t="shared" si="27"/>
        <v>28.739810059523659</v>
      </c>
      <c r="AP21" s="386">
        <f t="shared" si="28"/>
        <v>1.5693556962892448</v>
      </c>
      <c r="AQ21" s="386">
        <f t="shared" si="29"/>
        <v>4.3389830508474576</v>
      </c>
      <c r="AR21" s="386">
        <f t="shared" si="30"/>
        <v>8.61112115404379</v>
      </c>
      <c r="AS21" s="386">
        <f t="shared" si="31"/>
        <v>46.578932857190111</v>
      </c>
      <c r="AT21" s="386">
        <f t="shared" si="32"/>
        <v>0</v>
      </c>
      <c r="AU21" s="386">
        <f t="shared" si="33"/>
        <v>0.95039999999999991</v>
      </c>
      <c r="AV21" s="386">
        <f t="shared" si="34"/>
        <v>22.037297772801249</v>
      </c>
      <c r="AW21" s="386">
        <f t="shared" si="35"/>
        <v>0.249</v>
      </c>
      <c r="AX21" s="386">
        <f t="shared" si="36"/>
        <v>0.14400000000000002</v>
      </c>
      <c r="AY21" s="386">
        <f t="shared" si="37"/>
        <v>1.2671999999999999</v>
      </c>
      <c r="AZ21" s="386">
        <f t="shared" si="38"/>
        <v>0.10439999999999998</v>
      </c>
      <c r="BA21" s="386">
        <f t="shared" si="56"/>
        <v>1.4112</v>
      </c>
      <c r="BB21" s="386">
        <f t="shared" si="57"/>
        <v>1.4346776071099447</v>
      </c>
      <c r="BC21">
        <f t="shared" si="39"/>
        <v>480</v>
      </c>
      <c r="BD21" s="604">
        <f t="shared" si="50"/>
        <v>0.99701999528941121</v>
      </c>
      <c r="BE21" s="614">
        <f t="shared" si="40"/>
        <v>-562.9810405332978</v>
      </c>
      <c r="BF21" s="614">
        <f t="shared" si="41"/>
        <v>430.55605770218949</v>
      </c>
      <c r="BG21" s="9"/>
      <c r="BH21" s="4">
        <f t="shared" si="51"/>
        <v>99.701999528941116</v>
      </c>
      <c r="BI21" s="386">
        <f t="shared" si="52"/>
        <v>-15.799650525003285</v>
      </c>
      <c r="BJ21" s="386">
        <f t="shared" si="53"/>
        <v>-8.2497656892513991</v>
      </c>
      <c r="BK21" s="386">
        <f t="shared" si="54"/>
        <v>0.31363199999999997</v>
      </c>
      <c r="BL21" s="386">
        <f t="shared" si="55"/>
        <v>22.037297772801249</v>
      </c>
      <c r="BR21" s="18"/>
      <c r="BS21" s="19"/>
    </row>
    <row r="22" spans="1:82" x14ac:dyDescent="0.3">
      <c r="A22" s="36" t="s">
        <v>61</v>
      </c>
      <c r="B22" s="39">
        <f>Cin*1000000</f>
        <v>100</v>
      </c>
      <c r="C22" s="485" t="s">
        <v>675</v>
      </c>
      <c r="D22" s="482" t="s">
        <v>693</v>
      </c>
      <c r="G22">
        <v>13</v>
      </c>
      <c r="H22" s="610">
        <f t="shared" si="0"/>
        <v>5.9749999999999996</v>
      </c>
      <c r="I22" s="445" t="str">
        <f t="shared" si="1"/>
        <v>BOOST</v>
      </c>
      <c r="J22">
        <f t="shared" si="43"/>
        <v>2</v>
      </c>
      <c r="K22">
        <f t="shared" si="2"/>
        <v>10</v>
      </c>
      <c r="L22" s="4">
        <f t="shared" si="3"/>
        <v>89.260808926080898</v>
      </c>
      <c r="M22" s="4">
        <f t="shared" si="4"/>
        <v>97.158957835044916</v>
      </c>
      <c r="N22" s="386">
        <f t="shared" si="5"/>
        <v>1</v>
      </c>
      <c r="O22" s="386">
        <f t="shared" si="44"/>
        <v>0.89707588242169234</v>
      </c>
      <c r="P22" s="4">
        <f t="shared" si="6"/>
        <v>2.2258339101850799</v>
      </c>
      <c r="Q22" s="386">
        <f t="shared" si="7"/>
        <v>89.263121564962645</v>
      </c>
      <c r="R22" s="386">
        <f t="shared" si="8"/>
        <v>-16.110601818500029</v>
      </c>
      <c r="S22" s="386">
        <f t="shared" si="45"/>
        <v>0.20310952675875829</v>
      </c>
      <c r="T22" s="386">
        <f t="shared" si="46"/>
        <v>-15.907492291741271</v>
      </c>
      <c r="U22" s="4">
        <f t="shared" si="9"/>
        <v>29.583577118690609</v>
      </c>
      <c r="V22" s="386">
        <f t="shared" si="10"/>
        <v>1.7503760702750293</v>
      </c>
      <c r="W22" s="386">
        <f t="shared" si="47"/>
        <v>1.7503760702750293</v>
      </c>
      <c r="X22" s="386">
        <f t="shared" si="11"/>
        <v>0.64254290360837663</v>
      </c>
      <c r="Y22" s="386">
        <f t="shared" si="12"/>
        <v>8.2572276595496718E-4</v>
      </c>
      <c r="Z22" s="603">
        <f t="shared" si="48"/>
        <v>8.2572276595496718E-4</v>
      </c>
      <c r="AA22" s="386">
        <f t="shared" si="13"/>
        <v>89.263121564962645</v>
      </c>
      <c r="AB22" s="386">
        <f t="shared" si="14"/>
        <v>45.417057767671409</v>
      </c>
      <c r="AC22" s="386">
        <f t="shared" si="15"/>
        <v>0</v>
      </c>
      <c r="AD22">
        <f t="shared" si="16"/>
        <v>0</v>
      </c>
      <c r="AE22" s="386">
        <f t="shared" si="17"/>
        <v>-5.6185507154852052</v>
      </c>
      <c r="AF22" s="386">
        <f t="shared" si="18"/>
        <v>0</v>
      </c>
      <c r="AG22" s="386">
        <f t="shared" si="19"/>
        <v>0</v>
      </c>
      <c r="AH22" s="386">
        <f t="shared" si="20"/>
        <v>0</v>
      </c>
      <c r="AI22" s="386">
        <f t="shared" si="21"/>
        <v>0</v>
      </c>
      <c r="AJ22" s="386">
        <f t="shared" si="22"/>
        <v>84.544753200136981</v>
      </c>
      <c r="AK22" s="386">
        <f t="shared" si="23"/>
        <v>13.580849057976938</v>
      </c>
      <c r="AL22" s="386">
        <f t="shared" si="24"/>
        <v>7.8166031598579977</v>
      </c>
      <c r="AM22">
        <f t="shared" si="25"/>
        <v>0</v>
      </c>
      <c r="AN22" s="386">
        <f t="shared" si="26"/>
        <v>-12.468143929150818</v>
      </c>
      <c r="AO22" s="386">
        <f t="shared" si="27"/>
        <v>28.637206180932328</v>
      </c>
      <c r="AP22" s="386">
        <f t="shared" si="28"/>
        <v>1.5581701979135345</v>
      </c>
      <c r="AQ22" s="386">
        <f t="shared" si="29"/>
        <v>4.2845188284518834</v>
      </c>
      <c r="AR22" s="386">
        <f t="shared" si="30"/>
        <v>8.4877657559120614</v>
      </c>
      <c r="AS22" s="386">
        <f t="shared" si="31"/>
        <v>45.417057767671409</v>
      </c>
      <c r="AT22" s="386">
        <f t="shared" si="32"/>
        <v>0</v>
      </c>
      <c r="AU22" s="386">
        <f t="shared" si="33"/>
        <v>0.95039999999999991</v>
      </c>
      <c r="AV22" s="386">
        <f t="shared" si="34"/>
        <v>21.443445881016217</v>
      </c>
      <c r="AW22" s="386">
        <f t="shared" si="35"/>
        <v>0.249</v>
      </c>
      <c r="AX22" s="386">
        <f t="shared" si="36"/>
        <v>0.14400000000000002</v>
      </c>
      <c r="AY22" s="386">
        <f t="shared" si="37"/>
        <v>1.2671999999999999</v>
      </c>
      <c r="AZ22" s="386">
        <f t="shared" si="38"/>
        <v>0.10439999999999998</v>
      </c>
      <c r="BA22" s="386">
        <f t="shared" si="56"/>
        <v>1.4112</v>
      </c>
      <c r="BB22" s="386">
        <f t="shared" si="57"/>
        <v>0.298826493591965</v>
      </c>
      <c r="BC22">
        <f t="shared" si="39"/>
        <v>480</v>
      </c>
      <c r="BD22" s="604">
        <f t="shared" si="50"/>
        <v>0.9993778321388509</v>
      </c>
      <c r="BE22" s="614">
        <f t="shared" si="40"/>
        <v>-575.88719645754088</v>
      </c>
      <c r="BF22" s="614">
        <f t="shared" si="41"/>
        <v>424.38828779560305</v>
      </c>
      <c r="BG22" s="9"/>
      <c r="BH22" s="4">
        <f t="shared" si="51"/>
        <v>99.937783213885083</v>
      </c>
      <c r="BI22" s="386">
        <f t="shared" si="52"/>
        <v>-15.907492291741271</v>
      </c>
      <c r="BJ22" s="386">
        <f t="shared" si="53"/>
        <v>-8.6485288887239609</v>
      </c>
      <c r="BK22" s="386">
        <f t="shared" si="54"/>
        <v>0.31363199999999997</v>
      </c>
      <c r="BL22" s="386">
        <f t="shared" si="55"/>
        <v>21.443445881016217</v>
      </c>
      <c r="BR22" s="18"/>
      <c r="BS22" s="19"/>
    </row>
    <row r="23" spans="1:82" x14ac:dyDescent="0.3">
      <c r="A23" s="36" t="s">
        <v>90</v>
      </c>
      <c r="B23" s="39">
        <f>RCinEsr*1000</f>
        <v>2</v>
      </c>
      <c r="C23" s="484" t="s">
        <v>674</v>
      </c>
      <c r="D23" s="482" t="s">
        <v>689</v>
      </c>
      <c r="G23">
        <v>14</v>
      </c>
      <c r="H23" s="610">
        <f t="shared" si="0"/>
        <v>6.05</v>
      </c>
      <c r="I23" s="445" t="str">
        <f t="shared" si="1"/>
        <v>BOOST</v>
      </c>
      <c r="J23">
        <f t="shared" si="43"/>
        <v>2</v>
      </c>
      <c r="K23">
        <f t="shared" si="2"/>
        <v>10</v>
      </c>
      <c r="L23" s="4">
        <f t="shared" si="3"/>
        <v>88.154269972451786</v>
      </c>
      <c r="M23" s="4">
        <f t="shared" si="4"/>
        <v>95.45266752967747</v>
      </c>
      <c r="N23" s="386">
        <f t="shared" si="5"/>
        <v>1</v>
      </c>
      <c r="O23" s="386">
        <f t="shared" si="44"/>
        <v>0.89523603416435826</v>
      </c>
      <c r="P23" s="4">
        <f t="shared" si="6"/>
        <v>2.2611330030612846</v>
      </c>
      <c r="Q23" s="386">
        <f t="shared" si="7"/>
        <v>88.156686499554354</v>
      </c>
      <c r="R23" s="386">
        <f t="shared" si="8"/>
        <v>-16.22900929136231</v>
      </c>
      <c r="S23" s="386">
        <f t="shared" si="45"/>
        <v>0.21060774726096257</v>
      </c>
      <c r="T23" s="386">
        <f t="shared" si="46"/>
        <v>-16.018401544101348</v>
      </c>
      <c r="U23" s="4">
        <f t="shared" si="9"/>
        <v>29.294495616063561</v>
      </c>
      <c r="V23" s="386">
        <f t="shared" si="10"/>
        <v>1.7163349467991342</v>
      </c>
      <c r="W23" s="386">
        <f t="shared" si="47"/>
        <v>1.7163349467991342</v>
      </c>
      <c r="X23" s="386">
        <f t="shared" si="11"/>
        <v>0.65273287399548985</v>
      </c>
      <c r="Y23" s="386">
        <f t="shared" si="12"/>
        <v>8.5212040958882406E-4</v>
      </c>
      <c r="Z23" s="603">
        <f t="shared" si="48"/>
        <v>8.5212040958882406E-4</v>
      </c>
      <c r="AA23" s="386">
        <f t="shared" si="13"/>
        <v>88.156686499554354</v>
      </c>
      <c r="AB23" s="386">
        <f t="shared" si="14"/>
        <v>44.298127835110037</v>
      </c>
      <c r="AC23" s="386">
        <f t="shared" si="15"/>
        <v>0</v>
      </c>
      <c r="AD23">
        <f t="shared" si="16"/>
        <v>0</v>
      </c>
      <c r="AE23" s="386">
        <f t="shared" si="17"/>
        <v>-5.6361626208988076</v>
      </c>
      <c r="AF23" s="386">
        <f t="shared" si="18"/>
        <v>0</v>
      </c>
      <c r="AG23" s="386">
        <f t="shared" si="19"/>
        <v>0</v>
      </c>
      <c r="AH23" s="386">
        <f t="shared" si="20"/>
        <v>0</v>
      </c>
      <c r="AI23" s="386">
        <f t="shared" si="21"/>
        <v>0</v>
      </c>
      <c r="AJ23" s="386">
        <f t="shared" si="22"/>
        <v>83.411135909337119</v>
      </c>
      <c r="AK23" s="386">
        <f t="shared" si="23"/>
        <v>13.219093428003225</v>
      </c>
      <c r="AL23" s="386">
        <f t="shared" si="24"/>
        <v>7.7197031206862032</v>
      </c>
      <c r="AM23">
        <f t="shared" si="25"/>
        <v>0</v>
      </c>
      <c r="AN23" s="386">
        <f t="shared" si="26"/>
        <v>-12.737899095628345</v>
      </c>
      <c r="AO23" s="386">
        <f t="shared" si="27"/>
        <v>28.53390581211762</v>
      </c>
      <c r="AP23" s="386">
        <f t="shared" si="28"/>
        <v>1.5469491837001195</v>
      </c>
      <c r="AQ23" s="386">
        <f t="shared" si="29"/>
        <v>4.2314049586776861</v>
      </c>
      <c r="AR23" s="386">
        <f t="shared" si="30"/>
        <v>8.3670273763442697</v>
      </c>
      <c r="AS23" s="386">
        <f t="shared" si="31"/>
        <v>44.298127835110037</v>
      </c>
      <c r="AT23" s="386">
        <f t="shared" si="32"/>
        <v>0</v>
      </c>
      <c r="AU23" s="386">
        <f t="shared" si="33"/>
        <v>0.95039999999999991</v>
      </c>
      <c r="AV23" s="386">
        <f t="shared" si="34"/>
        <v>20.872252781057725</v>
      </c>
      <c r="AW23" s="386">
        <f t="shared" si="35"/>
        <v>0.249</v>
      </c>
      <c r="AX23" s="386">
        <f t="shared" si="36"/>
        <v>0.14400000000000002</v>
      </c>
      <c r="AY23" s="386">
        <f t="shared" si="37"/>
        <v>1.2671999999999999</v>
      </c>
      <c r="AZ23" s="386">
        <f t="shared" si="38"/>
        <v>0.10439999999999998</v>
      </c>
      <c r="BA23" s="386">
        <f t="shared" si="56"/>
        <v>1.4112</v>
      </c>
      <c r="BB23" s="386">
        <f t="shared" si="57"/>
        <v>-0.82539603601778444</v>
      </c>
      <c r="BC23">
        <f t="shared" si="39"/>
        <v>480</v>
      </c>
      <c r="BD23" s="604">
        <f t="shared" si="50"/>
        <v>1.0017225371069118</v>
      </c>
      <c r="BE23" s="614">
        <f t="shared" si="40"/>
        <v>-589.37495478141727</v>
      </c>
      <c r="BF23" s="614">
        <f t="shared" si="41"/>
        <v>418.35136881721348</v>
      </c>
      <c r="BG23" s="9"/>
      <c r="BH23" s="4">
        <f t="shared" si="51"/>
        <v>100.17225371069118</v>
      </c>
      <c r="BI23" s="386">
        <f t="shared" si="52"/>
        <v>-16.018401544101348</v>
      </c>
      <c r="BJ23" s="386">
        <f t="shared" si="53"/>
        <v>-9.0566343401828817</v>
      </c>
      <c r="BK23" s="386">
        <f t="shared" si="54"/>
        <v>0.31363199999999997</v>
      </c>
      <c r="BL23" s="386">
        <f t="shared" si="55"/>
        <v>20.872252781057725</v>
      </c>
      <c r="BR23" s="18"/>
      <c r="BS23" s="19"/>
    </row>
    <row r="24" spans="1:82" x14ac:dyDescent="0.3">
      <c r="A24" s="35" t="s">
        <v>27</v>
      </c>
      <c r="B24" s="39">
        <f>Cout*1000000</f>
        <v>600</v>
      </c>
      <c r="C24" s="483" t="s">
        <v>675</v>
      </c>
      <c r="D24" s="482" t="s">
        <v>692</v>
      </c>
      <c r="G24">
        <v>15</v>
      </c>
      <c r="H24" s="610">
        <f t="shared" si="0"/>
        <v>6.125</v>
      </c>
      <c r="I24" s="445" t="str">
        <f t="shared" si="1"/>
        <v>BOOST</v>
      </c>
      <c r="J24">
        <f t="shared" si="43"/>
        <v>2</v>
      </c>
      <c r="K24">
        <f t="shared" si="2"/>
        <v>10</v>
      </c>
      <c r="L24" s="4">
        <f t="shared" si="3"/>
        <v>87.074829931972786</v>
      </c>
      <c r="M24" s="4">
        <f t="shared" si="4"/>
        <v>93.81128392965762</v>
      </c>
      <c r="N24" s="386">
        <f t="shared" si="5"/>
        <v>1</v>
      </c>
      <c r="O24" s="386">
        <f t="shared" si="44"/>
        <v>0.89340301527587784</v>
      </c>
      <c r="P24" s="4">
        <f t="shared" si="6"/>
        <v>2.2961402892606224</v>
      </c>
      <c r="Q24" s="386">
        <f t="shared" si="7"/>
        <v>87.077352754324025</v>
      </c>
      <c r="R24" s="386">
        <f t="shared" si="8"/>
        <v>-16.350679160615574</v>
      </c>
      <c r="S24" s="386">
        <f t="shared" si="45"/>
        <v>0.21819628157162813</v>
      </c>
      <c r="T24" s="386">
        <f t="shared" si="46"/>
        <v>-16.132482879043945</v>
      </c>
      <c r="U24" s="4">
        <f t="shared" si="9"/>
        <v>29.013705901192374</v>
      </c>
      <c r="V24" s="386">
        <f t="shared" si="10"/>
        <v>1.6835902602417705</v>
      </c>
      <c r="W24" s="386">
        <f t="shared" si="47"/>
        <v>1.6835902602417705</v>
      </c>
      <c r="X24" s="386">
        <f t="shared" si="11"/>
        <v>0.66283860705088282</v>
      </c>
      <c r="Y24" s="386">
        <f t="shared" si="12"/>
        <v>8.787100379943093E-4</v>
      </c>
      <c r="Z24" s="603">
        <f t="shared" si="48"/>
        <v>8.787100379943093E-4</v>
      </c>
      <c r="AA24" s="386">
        <f t="shared" si="13"/>
        <v>87.077352754324025</v>
      </c>
      <c r="AB24" s="386">
        <f t="shared" si="14"/>
        <v>43.220052567395598</v>
      </c>
      <c r="AC24" s="386">
        <f t="shared" si="15"/>
        <v>0</v>
      </c>
      <c r="AD24">
        <f t="shared" si="16"/>
        <v>0</v>
      </c>
      <c r="AE24" s="386">
        <f t="shared" si="17"/>
        <v>-5.654106897313028</v>
      </c>
      <c r="AF24" s="386">
        <f t="shared" si="18"/>
        <v>0</v>
      </c>
      <c r="AG24" s="386">
        <f t="shared" si="19"/>
        <v>0</v>
      </c>
      <c r="AH24" s="386">
        <f t="shared" si="20"/>
        <v>0</v>
      </c>
      <c r="AI24" s="386">
        <f t="shared" si="21"/>
        <v>0</v>
      </c>
      <c r="AJ24" s="386">
        <f t="shared" si="22"/>
        <v>82.305512684521688</v>
      </c>
      <c r="AK24" s="386">
        <f t="shared" si="23"/>
        <v>12.870975094697725</v>
      </c>
      <c r="AL24" s="386">
        <f t="shared" si="24"/>
        <v>7.6251761436982104</v>
      </c>
      <c r="AM24">
        <f t="shared" si="25"/>
        <v>0</v>
      </c>
      <c r="AN24" s="386">
        <f t="shared" si="26"/>
        <v>-13.020083910698148</v>
      </c>
      <c r="AO24" s="386">
        <f t="shared" si="27"/>
        <v>28.430053542668926</v>
      </c>
      <c r="AP24" s="386">
        <f t="shared" si="28"/>
        <v>1.5357090944341416</v>
      </c>
      <c r="AQ24" s="386">
        <f t="shared" si="29"/>
        <v>4.1795918367346943</v>
      </c>
      <c r="AR24" s="386">
        <f t="shared" si="30"/>
        <v>8.2488755808388099</v>
      </c>
      <c r="AS24" s="386">
        <f t="shared" si="31"/>
        <v>43.220052567395598</v>
      </c>
      <c r="AT24" s="386">
        <f t="shared" si="32"/>
        <v>0</v>
      </c>
      <c r="AU24" s="386">
        <f t="shared" si="33"/>
        <v>0.95039999999999991</v>
      </c>
      <c r="AV24" s="386">
        <f t="shared" si="34"/>
        <v>20.322592254785881</v>
      </c>
      <c r="AW24" s="386">
        <f t="shared" si="35"/>
        <v>0.249</v>
      </c>
      <c r="AX24" s="386">
        <f t="shared" si="36"/>
        <v>0.14400000000000002</v>
      </c>
      <c r="AY24" s="386">
        <f t="shared" si="37"/>
        <v>1.2671999999999999</v>
      </c>
      <c r="AZ24" s="386">
        <f t="shared" si="38"/>
        <v>0.10439999999999998</v>
      </c>
      <c r="BA24" s="386">
        <f t="shared" si="56"/>
        <v>1.4112</v>
      </c>
      <c r="BB24" s="386">
        <f t="shared" si="57"/>
        <v>-1.9401368811506665</v>
      </c>
      <c r="BC24">
        <f t="shared" si="39"/>
        <v>480</v>
      </c>
      <c r="BD24" s="604">
        <f t="shared" si="50"/>
        <v>1.0040583555132474</v>
      </c>
      <c r="BE24" s="614">
        <f t="shared" si="40"/>
        <v>-603.48419553490737</v>
      </c>
      <c r="BF24" s="614">
        <f t="shared" si="41"/>
        <v>412.4437790419405</v>
      </c>
      <c r="BG24" s="9"/>
      <c r="BH24" s="4">
        <f t="shared" si="51"/>
        <v>100.40583555132474</v>
      </c>
      <c r="BI24" s="386">
        <f t="shared" si="52"/>
        <v>-16.132482879043945</v>
      </c>
      <c r="BJ24" s="386">
        <f t="shared" si="53"/>
        <v>-9.4749152271723656</v>
      </c>
      <c r="BK24" s="386">
        <f t="shared" si="54"/>
        <v>0.31363199999999997</v>
      </c>
      <c r="BL24" s="386">
        <f t="shared" si="55"/>
        <v>20.322592254785881</v>
      </c>
      <c r="BR24" s="18"/>
      <c r="BS24" s="19"/>
    </row>
    <row r="25" spans="1:82" x14ac:dyDescent="0.3">
      <c r="A25" s="35" t="s">
        <v>89</v>
      </c>
      <c r="B25" s="40">
        <f>CoutEsr*1000</f>
        <v>2</v>
      </c>
      <c r="C25" s="484" t="s">
        <v>674</v>
      </c>
      <c r="D25" s="482" t="s">
        <v>691</v>
      </c>
      <c r="G25">
        <v>16</v>
      </c>
      <c r="H25" s="610">
        <f t="shared" si="0"/>
        <v>6.2</v>
      </c>
      <c r="I25" s="445" t="str">
        <f t="shared" si="1"/>
        <v>BOOST</v>
      </c>
      <c r="J25">
        <f t="shared" si="43"/>
        <v>2</v>
      </c>
      <c r="K25">
        <f t="shared" si="2"/>
        <v>10</v>
      </c>
      <c r="L25" s="4">
        <f t="shared" si="3"/>
        <v>86.021505376344081</v>
      </c>
      <c r="M25" s="4">
        <f t="shared" si="4"/>
        <v>92.230992937266251</v>
      </c>
      <c r="N25" s="386">
        <f t="shared" si="5"/>
        <v>1</v>
      </c>
      <c r="O25" s="386">
        <f t="shared" si="44"/>
        <v>0.89157657657657652</v>
      </c>
      <c r="P25" s="4">
        <f t="shared" si="6"/>
        <v>2.3308621916148797</v>
      </c>
      <c r="Q25" s="386">
        <f t="shared" si="7"/>
        <v>86.024136906018526</v>
      </c>
      <c r="R25" s="386">
        <f t="shared" si="8"/>
        <v>-16.475719241857064</v>
      </c>
      <c r="S25" s="386">
        <f t="shared" si="45"/>
        <v>0.22587347223509616</v>
      </c>
      <c r="T25" s="386">
        <f t="shared" si="46"/>
        <v>-16.249845769621967</v>
      </c>
      <c r="U25" s="4">
        <f t="shared" si="9"/>
        <v>28.740787772222383</v>
      </c>
      <c r="V25" s="386">
        <f t="shared" si="10"/>
        <v>1.6520657635358553</v>
      </c>
      <c r="W25" s="386">
        <f t="shared" si="47"/>
        <v>1.6520657635358553</v>
      </c>
      <c r="X25" s="386">
        <f t="shared" si="11"/>
        <v>0.67286195688638595</v>
      </c>
      <c r="Y25" s="386">
        <f t="shared" si="12"/>
        <v>9.0548642604995351E-4</v>
      </c>
      <c r="Z25" s="603">
        <f t="shared" si="48"/>
        <v>9.0548642604995351E-4</v>
      </c>
      <c r="AA25" s="386">
        <f t="shared" si="13"/>
        <v>86.024136906018526</v>
      </c>
      <c r="AB25" s="386">
        <f t="shared" si="14"/>
        <v>42.180867143424884</v>
      </c>
      <c r="AC25" s="386">
        <f t="shared" si="15"/>
        <v>0</v>
      </c>
      <c r="AD25">
        <f t="shared" si="16"/>
        <v>0</v>
      </c>
      <c r="AE25" s="386">
        <f t="shared" si="17"/>
        <v>-5.6723888365368857</v>
      </c>
      <c r="AF25" s="386">
        <f t="shared" si="18"/>
        <v>0</v>
      </c>
      <c r="AG25" s="386">
        <f t="shared" si="19"/>
        <v>0</v>
      </c>
      <c r="AH25" s="386">
        <f t="shared" si="20"/>
        <v>0</v>
      </c>
      <c r="AI25" s="386">
        <f t="shared" si="21"/>
        <v>0</v>
      </c>
      <c r="AJ25" s="386">
        <f t="shared" si="22"/>
        <v>81.226857027651604</v>
      </c>
      <c r="AK25" s="386">
        <f t="shared" si="23"/>
        <v>12.535824374922054</v>
      </c>
      <c r="AL25" s="386">
        <f t="shared" si="24"/>
        <v>7.5329361097018612</v>
      </c>
      <c r="AM25">
        <f t="shared" si="25"/>
        <v>0</v>
      </c>
      <c r="AN25" s="386">
        <f t="shared" si="26"/>
        <v>-13.315570723363289</v>
      </c>
      <c r="AO25" s="386">
        <f t="shared" si="27"/>
        <v>28.325780268773965</v>
      </c>
      <c r="AP25" s="386">
        <f t="shared" si="28"/>
        <v>1.5244646728862423</v>
      </c>
      <c r="AQ25" s="386">
        <f t="shared" si="29"/>
        <v>4.129032258064516</v>
      </c>
      <c r="AR25" s="386">
        <f t="shared" si="30"/>
        <v>8.1332750193128938</v>
      </c>
      <c r="AS25" s="386">
        <f t="shared" si="31"/>
        <v>42.180867143424884</v>
      </c>
      <c r="AT25" s="386">
        <f t="shared" si="32"/>
        <v>0</v>
      </c>
      <c r="AU25" s="386">
        <f t="shared" si="33"/>
        <v>0.95039999999999991</v>
      </c>
      <c r="AV25" s="386">
        <f t="shared" si="34"/>
        <v>19.793406907771665</v>
      </c>
      <c r="AW25" s="386">
        <f t="shared" si="35"/>
        <v>0.249</v>
      </c>
      <c r="AX25" s="386">
        <f t="shared" si="36"/>
        <v>0.14400000000000002</v>
      </c>
      <c r="AY25" s="386">
        <f t="shared" si="37"/>
        <v>1.2671999999999999</v>
      </c>
      <c r="AZ25" s="386">
        <f t="shared" si="38"/>
        <v>0.10439999999999998</v>
      </c>
      <c r="BA25" s="386">
        <f t="shared" si="56"/>
        <v>1.4112</v>
      </c>
      <c r="BB25" s="386">
        <f t="shared" si="57"/>
        <v>-3.0475521524756801</v>
      </c>
      <c r="BC25">
        <f t="shared" si="39"/>
        <v>480</v>
      </c>
      <c r="BD25" s="604">
        <f t="shared" si="50"/>
        <v>1.0063896352062542</v>
      </c>
      <c r="BE25" s="614">
        <f t="shared" si="40"/>
        <v>-618.25853616816437</v>
      </c>
      <c r="BF25" s="614">
        <f t="shared" si="41"/>
        <v>406.66375096564468</v>
      </c>
      <c r="BG25" s="9"/>
      <c r="BH25" s="4">
        <f t="shared" si="51"/>
        <v>100.63896352062542</v>
      </c>
      <c r="BI25" s="386">
        <f t="shared" si="52"/>
        <v>-16.249845769621967</v>
      </c>
      <c r="BJ25" s="386">
        <f t="shared" si="53"/>
        <v>-9.9042845405872821</v>
      </c>
      <c r="BK25" s="386">
        <f t="shared" si="54"/>
        <v>0.31363199999999997</v>
      </c>
      <c r="BL25" s="386">
        <f t="shared" si="55"/>
        <v>19.793406907771665</v>
      </c>
      <c r="BP25" t="s">
        <v>151</v>
      </c>
      <c r="BQ25" t="s">
        <v>4</v>
      </c>
      <c r="BR25" t="s">
        <v>6</v>
      </c>
      <c r="BS25" t="s">
        <v>5</v>
      </c>
      <c r="BT25" t="s">
        <v>152</v>
      </c>
      <c r="BU25" t="s">
        <v>153</v>
      </c>
    </row>
    <row r="26" spans="1:82" x14ac:dyDescent="0.3">
      <c r="A26" s="24" t="s">
        <v>116</v>
      </c>
      <c r="B26" s="37" t="s">
        <v>115</v>
      </c>
      <c r="C26" s="24" t="s">
        <v>80</v>
      </c>
      <c r="D26" s="17" t="s">
        <v>111</v>
      </c>
      <c r="G26">
        <v>17</v>
      </c>
      <c r="H26" s="610">
        <f t="shared" si="0"/>
        <v>6.2750000000000004</v>
      </c>
      <c r="I26" s="445" t="str">
        <f t="shared" si="1"/>
        <v>BOOST</v>
      </c>
      <c r="J26">
        <f t="shared" si="43"/>
        <v>2</v>
      </c>
      <c r="K26">
        <f t="shared" si="2"/>
        <v>10</v>
      </c>
      <c r="L26" s="4">
        <f t="shared" si="3"/>
        <v>84.993359893758281</v>
      </c>
      <c r="M26" s="4">
        <f t="shared" si="4"/>
        <v>90.708279981581782</v>
      </c>
      <c r="N26" s="386">
        <f t="shared" si="5"/>
        <v>1</v>
      </c>
      <c r="O26" s="386">
        <f t="shared" si="44"/>
        <v>0.88975648086337333</v>
      </c>
      <c r="P26" s="4">
        <f t="shared" si="6"/>
        <v>2.3653048197713922</v>
      </c>
      <c r="Q26" s="386">
        <f t="shared" si="7"/>
        <v>84.996102547533255</v>
      </c>
      <c r="R26" s="386">
        <f t="shared" si="8"/>
        <v>-16.604242545265091</v>
      </c>
      <c r="S26" s="386">
        <f t="shared" si="45"/>
        <v>0.23363769062075404</v>
      </c>
      <c r="T26" s="386">
        <f t="shared" si="46"/>
        <v>-16.370604854644338</v>
      </c>
      <c r="U26" s="4">
        <f t="shared" si="9"/>
        <v>28.475350732357825</v>
      </c>
      <c r="V26" s="386">
        <f t="shared" si="10"/>
        <v>1.6216911986615825</v>
      </c>
      <c r="W26" s="386">
        <f t="shared" si="47"/>
        <v>1.6216911986615825</v>
      </c>
      <c r="X26" s="386">
        <f t="shared" si="11"/>
        <v>0.68280468720526633</v>
      </c>
      <c r="Y26" s="386">
        <f t="shared" si="12"/>
        <v>9.3244448173896322E-4</v>
      </c>
      <c r="Z26" s="603">
        <f t="shared" si="48"/>
        <v>9.3244448173896322E-4</v>
      </c>
      <c r="AA26" s="386">
        <f t="shared" si="13"/>
        <v>84.996102547533255</v>
      </c>
      <c r="AB26" s="386">
        <f t="shared" si="14"/>
        <v>41.178723455143498</v>
      </c>
      <c r="AC26" s="386">
        <f t="shared" si="15"/>
        <v>0</v>
      </c>
      <c r="AD26">
        <f t="shared" si="16"/>
        <v>0</v>
      </c>
      <c r="AE26" s="386">
        <f t="shared" si="17"/>
        <v>-5.6910138781153092</v>
      </c>
      <c r="AF26" s="386">
        <f t="shared" si="18"/>
        <v>0</v>
      </c>
      <c r="AG26" s="386">
        <f t="shared" si="19"/>
        <v>0</v>
      </c>
      <c r="AH26" s="386">
        <f t="shared" si="20"/>
        <v>0</v>
      </c>
      <c r="AI26" s="386">
        <f t="shared" si="21"/>
        <v>0</v>
      </c>
      <c r="AJ26" s="386">
        <f t="shared" si="22"/>
        <v>80.174192010539784</v>
      </c>
      <c r="AK26" s="386">
        <f t="shared" si="23"/>
        <v>12.213012022631514</v>
      </c>
      <c r="AL26" s="386">
        <f t="shared" si="24"/>
        <v>7.4429010167572152</v>
      </c>
      <c r="AM26">
        <f t="shared" si="25"/>
        <v>0</v>
      </c>
      <c r="AN26" s="386">
        <f t="shared" si="26"/>
        <v>-13.625315594731042</v>
      </c>
      <c r="AO26" s="386">
        <f t="shared" si="27"/>
        <v>28.221204505263227</v>
      </c>
      <c r="AP26" s="386">
        <f t="shared" si="28"/>
        <v>1.51322912908299</v>
      </c>
      <c r="AQ26" s="386">
        <f t="shared" si="29"/>
        <v>4.0796812749003974</v>
      </c>
      <c r="AR26" s="386">
        <f t="shared" si="30"/>
        <v>8.0201863142680043</v>
      </c>
      <c r="AS26" s="386">
        <f t="shared" si="31"/>
        <v>41.178723455143498</v>
      </c>
      <c r="AT26" s="386">
        <f t="shared" si="32"/>
        <v>0</v>
      </c>
      <c r="AU26" s="386">
        <f t="shared" si="33"/>
        <v>0.95039999999999991</v>
      </c>
      <c r="AV26" s="386">
        <f t="shared" si="34"/>
        <v>19.283703193628707</v>
      </c>
      <c r="AW26" s="386">
        <f t="shared" si="35"/>
        <v>0.249</v>
      </c>
      <c r="AX26" s="386">
        <f t="shared" si="36"/>
        <v>0.14400000000000002</v>
      </c>
      <c r="AY26" s="386">
        <f t="shared" si="37"/>
        <v>1.2671999999999999</v>
      </c>
      <c r="AZ26" s="386">
        <f t="shared" si="38"/>
        <v>0.10439999999999998</v>
      </c>
      <c r="BA26" s="386">
        <f t="shared" si="56"/>
        <v>1.4112</v>
      </c>
      <c r="BB26" s="386">
        <f t="shared" si="57"/>
        <v>-4.1498211764506534</v>
      </c>
      <c r="BC26">
        <f t="shared" si="39"/>
        <v>480</v>
      </c>
      <c r="BD26" s="604">
        <f t="shared" si="50"/>
        <v>1.0087208566080825</v>
      </c>
      <c r="BE26" s="614">
        <f t="shared" si="40"/>
        <v>-633.74577973655209</v>
      </c>
      <c r="BF26" s="614">
        <f t="shared" si="41"/>
        <v>401.00931571340021</v>
      </c>
      <c r="BG26" s="9"/>
      <c r="BH26" s="4">
        <f t="shared" si="51"/>
        <v>100.87208566080825</v>
      </c>
      <c r="BI26" s="386">
        <f t="shared" si="52"/>
        <v>-16.370604854644338</v>
      </c>
      <c r="BJ26" s="386">
        <f t="shared" si="53"/>
        <v>-10.345743158578347</v>
      </c>
      <c r="BK26" s="386">
        <f t="shared" si="54"/>
        <v>0.31363199999999997</v>
      </c>
      <c r="BL26" s="386">
        <f t="shared" si="55"/>
        <v>19.283703193628707</v>
      </c>
      <c r="BP26" t="s">
        <v>154</v>
      </c>
      <c r="BQ26">
        <v>9.9989640000000009</v>
      </c>
      <c r="BR26">
        <v>0.1027</v>
      </c>
      <c r="BS26">
        <v>5.1211359999999999</v>
      </c>
      <c r="BT26">
        <v>61.870683235325004</v>
      </c>
      <c r="BU26">
        <v>324.12365701136014</v>
      </c>
    </row>
    <row r="27" spans="1:82" x14ac:dyDescent="0.3">
      <c r="A27" s="22" t="s">
        <v>65</v>
      </c>
      <c r="B27" s="5">
        <f>RdsonDRT</f>
        <v>1.5</v>
      </c>
      <c r="C27" s="486" t="s">
        <v>120</v>
      </c>
      <c r="D27" s="482" t="s">
        <v>718</v>
      </c>
      <c r="G27">
        <v>18</v>
      </c>
      <c r="H27" s="610">
        <f t="shared" si="0"/>
        <v>6.35</v>
      </c>
      <c r="I27" s="445" t="str">
        <f t="shared" si="1"/>
        <v>BOOST</v>
      </c>
      <c r="J27">
        <f t="shared" si="43"/>
        <v>2</v>
      </c>
      <c r="K27">
        <f t="shared" si="2"/>
        <v>10</v>
      </c>
      <c r="L27" s="4">
        <f t="shared" si="3"/>
        <v>83.98950131233596</v>
      </c>
      <c r="M27" s="4">
        <f t="shared" si="4"/>
        <v>89.239900909960511</v>
      </c>
      <c r="N27" s="386">
        <f t="shared" si="5"/>
        <v>1</v>
      </c>
      <c r="O27" s="386">
        <f t="shared" si="44"/>
        <v>0.88794250219876869</v>
      </c>
      <c r="P27" s="4">
        <f t="shared" si="6"/>
        <v>2.3994739890470322</v>
      </c>
      <c r="Q27" s="386">
        <f t="shared" si="7"/>
        <v>83.992357511344807</v>
      </c>
      <c r="R27" s="386">
        <f t="shared" si="8"/>
        <v>-16.736367583866326</v>
      </c>
      <c r="S27" s="386">
        <f t="shared" si="45"/>
        <v>0.24148733502137745</v>
      </c>
      <c r="T27" s="386">
        <f t="shared" si="46"/>
        <v>-16.494880248844947</v>
      </c>
      <c r="U27" s="4">
        <f t="shared" si="9"/>
        <v>28.21703133364241</v>
      </c>
      <c r="V27" s="386">
        <f t="shared" si="10"/>
        <v>1.5924017145675153</v>
      </c>
      <c r="W27" s="386">
        <f t="shared" si="47"/>
        <v>1.5924017145675153</v>
      </c>
      <c r="X27" s="386">
        <f t="shared" si="11"/>
        <v>0.69266847674490462</v>
      </c>
      <c r="Y27" s="386">
        <f t="shared" si="12"/>
        <v>9.5957923735221298E-4</v>
      </c>
      <c r="Z27" s="603">
        <f t="shared" si="48"/>
        <v>9.5957923735221298E-4</v>
      </c>
      <c r="AA27" s="386">
        <f t="shared" si="13"/>
        <v>83.992357511344807</v>
      </c>
      <c r="AB27" s="386">
        <f t="shared" si="14"/>
        <v>40.211881885787292</v>
      </c>
      <c r="AC27" s="386">
        <f t="shared" si="15"/>
        <v>0</v>
      </c>
      <c r="AD27">
        <f t="shared" si="16"/>
        <v>0</v>
      </c>
      <c r="AE27" s="386">
        <f t="shared" si="17"/>
        <v>-5.7099876138710668</v>
      </c>
      <c r="AF27" s="386">
        <f t="shared" si="18"/>
        <v>0</v>
      </c>
      <c r="AG27" s="386">
        <f t="shared" si="19"/>
        <v>0</v>
      </c>
      <c r="AH27" s="386">
        <f t="shared" si="20"/>
        <v>0</v>
      </c>
      <c r="AI27" s="386">
        <f t="shared" si="21"/>
        <v>0</v>
      </c>
      <c r="AJ27" s="386">
        <f t="shared" si="22"/>
        <v>79.146587318552236</v>
      </c>
      <c r="AK27" s="386">
        <f t="shared" si="23"/>
        <v>11.901946339929106</v>
      </c>
      <c r="AL27" s="386">
        <f t="shared" si="24"/>
        <v>7.3549927370317381</v>
      </c>
      <c r="AM27">
        <f t="shared" si="25"/>
        <v>0</v>
      </c>
      <c r="AN27" s="386">
        <f t="shared" si="26"/>
        <v>-13.950368583391974</v>
      </c>
      <c r="AO27" s="386">
        <f t="shared" si="27"/>
        <v>28.116433560114768</v>
      </c>
      <c r="AP27" s="386">
        <f t="shared" si="28"/>
        <v>1.5020142886666612</v>
      </c>
      <c r="AQ27" s="386">
        <f t="shared" si="29"/>
        <v>4.0314960629921259</v>
      </c>
      <c r="AR27" s="386">
        <f t="shared" si="30"/>
        <v>7.9095668311771927</v>
      </c>
      <c r="AS27" s="386">
        <f t="shared" si="31"/>
        <v>40.211881885787292</v>
      </c>
      <c r="AT27" s="386">
        <f t="shared" si="32"/>
        <v>0</v>
      </c>
      <c r="AU27" s="386">
        <f t="shared" si="33"/>
        <v>0.95039999999999991</v>
      </c>
      <c r="AV27" s="386">
        <f t="shared" si="34"/>
        <v>18.792546852519642</v>
      </c>
      <c r="AW27" s="386">
        <f t="shared" si="35"/>
        <v>0.249</v>
      </c>
      <c r="AX27" s="386">
        <f t="shared" si="36"/>
        <v>0.14400000000000002</v>
      </c>
      <c r="AY27" s="386">
        <f t="shared" si="37"/>
        <v>1.2671999999999999</v>
      </c>
      <c r="AZ27" s="386">
        <f t="shared" si="38"/>
        <v>0.10439999999999998</v>
      </c>
      <c r="BA27" s="386">
        <f t="shared" si="56"/>
        <v>1.4112</v>
      </c>
      <c r="BB27" s="386">
        <f t="shared" si="57"/>
        <v>-5.2491614686062809</v>
      </c>
      <c r="BC27">
        <f t="shared" si="39"/>
        <v>480</v>
      </c>
      <c r="BD27" s="604">
        <f t="shared" si="50"/>
        <v>1.0110566660289515</v>
      </c>
      <c r="BE27" s="614">
        <f t="shared" si="40"/>
        <v>-649.99842916959869</v>
      </c>
      <c r="BF27" s="614">
        <f t="shared" si="41"/>
        <v>395.47834155885965</v>
      </c>
      <c r="BG27" s="9"/>
      <c r="BH27" s="4">
        <f t="shared" si="51"/>
        <v>101.10566660289516</v>
      </c>
      <c r="BI27" s="386">
        <f t="shared" si="52"/>
        <v>-16.494880248844947</v>
      </c>
      <c r="BJ27" s="386">
        <f t="shared" si="53"/>
        <v>-10.800389366085849</v>
      </c>
      <c r="BK27" s="386">
        <f t="shared" si="54"/>
        <v>0.31363199999999997</v>
      </c>
      <c r="BL27" s="386">
        <f t="shared" si="55"/>
        <v>18.792546852519642</v>
      </c>
      <c r="BP27" t="s">
        <v>155</v>
      </c>
      <c r="BQ27">
        <v>9.9986669999999993</v>
      </c>
      <c r="BR27">
        <v>0.1166</v>
      </c>
      <c r="BS27">
        <v>5.1212980000000003</v>
      </c>
      <c r="BT27">
        <v>64.729420570558148</v>
      </c>
      <c r="BU27">
        <v>325.37886459483997</v>
      </c>
    </row>
    <row r="28" spans="1:82" x14ac:dyDescent="0.3">
      <c r="A28" s="22" t="s">
        <v>150</v>
      </c>
      <c r="B28" s="5">
        <f>RdsonDRT2</f>
        <v>1</v>
      </c>
      <c r="C28" s="486" t="s">
        <v>120</v>
      </c>
      <c r="D28" s="482" t="s">
        <v>717</v>
      </c>
      <c r="G28">
        <v>19</v>
      </c>
      <c r="H28" s="610">
        <f t="shared" si="0"/>
        <v>6.4249999999999998</v>
      </c>
      <c r="I28" s="445" t="str">
        <f t="shared" si="1"/>
        <v>BOOST</v>
      </c>
      <c r="J28">
        <f t="shared" si="43"/>
        <v>2</v>
      </c>
      <c r="K28">
        <f t="shared" si="2"/>
        <v>10</v>
      </c>
      <c r="L28" s="4">
        <f t="shared" si="3"/>
        <v>83.009079118028538</v>
      </c>
      <c r="M28" s="4">
        <f t="shared" si="4"/>
        <v>87.822856222753671</v>
      </c>
      <c r="N28" s="386">
        <f t="shared" si="5"/>
        <v>1</v>
      </c>
      <c r="O28" s="386">
        <f t="shared" si="44"/>
        <v>0.88613442524989139</v>
      </c>
      <c r="P28" s="4">
        <f t="shared" si="6"/>
        <v>2.4333752379367204</v>
      </c>
      <c r="Q28" s="386">
        <f t="shared" si="7"/>
        <v>83.012051287411509</v>
      </c>
      <c r="R28" s="386">
        <f t="shared" si="8"/>
        <v>-16.872218704218987</v>
      </c>
      <c r="S28" s="386">
        <f t="shared" si="45"/>
        <v>0.24942082890033518</v>
      </c>
      <c r="T28" s="386">
        <f t="shared" si="46"/>
        <v>-16.622797875318653</v>
      </c>
      <c r="U28" s="4">
        <f t="shared" si="9"/>
        <v>27.965490805184274</v>
      </c>
      <c r="V28" s="386">
        <f t="shared" si="10"/>
        <v>1.5641373519496924</v>
      </c>
      <c r="W28" s="386">
        <f t="shared" si="47"/>
        <v>1.5641373519496924</v>
      </c>
      <c r="X28" s="386">
        <f t="shared" si="11"/>
        <v>0.7024549243310676</v>
      </c>
      <c r="Y28" s="386">
        <f t="shared" si="12"/>
        <v>9.8688584143393171E-4</v>
      </c>
      <c r="Z28" s="603">
        <f t="shared" si="48"/>
        <v>9.8688584143393171E-4</v>
      </c>
      <c r="AA28" s="386">
        <f t="shared" si="13"/>
        <v>83.012051287411509</v>
      </c>
      <c r="AB28" s="386">
        <f t="shared" si="14"/>
        <v>39.278703755979883</v>
      </c>
      <c r="AC28" s="386">
        <f t="shared" si="15"/>
        <v>0</v>
      </c>
      <c r="AD28">
        <f t="shared" si="16"/>
        <v>0</v>
      </c>
      <c r="AE28" s="386">
        <f t="shared" si="17"/>
        <v>-5.7293157926264575</v>
      </c>
      <c r="AF28" s="386">
        <f t="shared" si="18"/>
        <v>0</v>
      </c>
      <c r="AG28" s="386">
        <f t="shared" si="19"/>
        <v>0</v>
      </c>
      <c r="AH28" s="386">
        <f t="shared" si="20"/>
        <v>0</v>
      </c>
      <c r="AI28" s="386">
        <f t="shared" si="21"/>
        <v>0</v>
      </c>
      <c r="AJ28" s="386">
        <f t="shared" si="22"/>
        <v>78.14315650336772</v>
      </c>
      <c r="AK28" s="386">
        <f t="shared" si="23"/>
        <v>11.60207052578866</v>
      </c>
      <c r="AL28" s="386">
        <f t="shared" si="24"/>
        <v>7.2691367906850655</v>
      </c>
      <c r="AM28">
        <f t="shared" si="25"/>
        <v>0</v>
      </c>
      <c r="AN28" s="386">
        <f t="shared" si="26"/>
        <v>-14.291885585559873</v>
      </c>
      <c r="AO28" s="386">
        <f t="shared" si="27"/>
        <v>28.011564587398855</v>
      </c>
      <c r="AP28" s="386">
        <f t="shared" si="28"/>
        <v>1.4908307262046334</v>
      </c>
      <c r="AQ28" s="386">
        <f t="shared" si="29"/>
        <v>3.9844357976653697</v>
      </c>
      <c r="AR28" s="386">
        <f t="shared" si="30"/>
        <v>7.8013713455723241</v>
      </c>
      <c r="AS28" s="386">
        <f t="shared" si="31"/>
        <v>39.278703755979883</v>
      </c>
      <c r="AT28" s="386">
        <f t="shared" si="32"/>
        <v>0</v>
      </c>
      <c r="AU28" s="386">
        <f t="shared" si="33"/>
        <v>0.95039999999999991</v>
      </c>
      <c r="AV28" s="386">
        <f t="shared" si="34"/>
        <v>18.319058724929462</v>
      </c>
      <c r="AW28" s="386">
        <f t="shared" si="35"/>
        <v>0.249</v>
      </c>
      <c r="AX28" s="386">
        <f t="shared" si="36"/>
        <v>0.14400000000000002</v>
      </c>
      <c r="AY28" s="386">
        <f t="shared" si="37"/>
        <v>1.2671999999999999</v>
      </c>
      <c r="AZ28" s="386">
        <f t="shared" si="38"/>
        <v>0.10439999999999998</v>
      </c>
      <c r="BA28" s="386">
        <f t="shared" si="56"/>
        <v>1.4112</v>
      </c>
      <c r="BB28" s="386">
        <f t="shared" si="57"/>
        <v>-6.3478449452120698</v>
      </c>
      <c r="BC28">
        <f t="shared" si="39"/>
        <v>480</v>
      </c>
      <c r="BD28" s="604">
        <f t="shared" si="50"/>
        <v>1.0134019129385736</v>
      </c>
      <c r="BE28" s="614">
        <f t="shared" si="40"/>
        <v>-667.0742792779937</v>
      </c>
      <c r="BF28" s="614">
        <f t="shared" si="41"/>
        <v>390.06856727861623</v>
      </c>
      <c r="BG28" s="9"/>
      <c r="BH28" s="4">
        <f t="shared" si="51"/>
        <v>101.34019129385736</v>
      </c>
      <c r="BI28" s="386">
        <f t="shared" si="52"/>
        <v>-16.622797875318653</v>
      </c>
      <c r="BJ28" s="386">
        <f t="shared" si="53"/>
        <v>-11.269430032614006</v>
      </c>
      <c r="BK28" s="386">
        <f t="shared" si="54"/>
        <v>0.31363199999999997</v>
      </c>
      <c r="BL28" s="386">
        <f t="shared" si="55"/>
        <v>18.319058724929462</v>
      </c>
      <c r="BP28" t="s">
        <v>156</v>
      </c>
      <c r="BQ28">
        <v>9.9987659999999998</v>
      </c>
      <c r="BR28">
        <v>0.14660000000000001</v>
      </c>
      <c r="BS28">
        <v>5.1213230000000003</v>
      </c>
      <c r="BT28">
        <v>69.885376918691776</v>
      </c>
      <c r="BU28">
        <v>323.52446193379996</v>
      </c>
    </row>
    <row r="29" spans="1:82" x14ac:dyDescent="0.3">
      <c r="A29" s="24" t="s">
        <v>117</v>
      </c>
      <c r="B29" s="15" t="s">
        <v>115</v>
      </c>
      <c r="C29" s="24" t="s">
        <v>80</v>
      </c>
      <c r="D29" s="17" t="s">
        <v>111</v>
      </c>
      <c r="G29">
        <v>20</v>
      </c>
      <c r="H29" s="610">
        <f t="shared" si="0"/>
        <v>6.5</v>
      </c>
      <c r="I29" s="445" t="str">
        <f t="shared" si="1"/>
        <v>BOOST</v>
      </c>
      <c r="J29">
        <f t="shared" si="43"/>
        <v>2</v>
      </c>
      <c r="K29">
        <f t="shared" si="2"/>
        <v>10</v>
      </c>
      <c r="L29" s="4">
        <f t="shared" si="3"/>
        <v>82.051282051282044</v>
      </c>
      <c r="M29" s="4">
        <f t="shared" si="4"/>
        <v>86.454368210936707</v>
      </c>
      <c r="N29" s="386">
        <f t="shared" si="5"/>
        <v>1</v>
      </c>
      <c r="O29" s="386">
        <f t="shared" si="44"/>
        <v>0.88433204467353943</v>
      </c>
      <c r="P29" s="4">
        <f t="shared" si="6"/>
        <v>2.4670138443871261</v>
      </c>
      <c r="Q29" s="386">
        <f t="shared" si="7"/>
        <v>82.054372619835064</v>
      </c>
      <c r="R29" s="386">
        <f t="shared" si="8"/>
        <v>-17.01192644143109</v>
      </c>
      <c r="S29" s="386">
        <f t="shared" si="45"/>
        <v>0.25743661927531097</v>
      </c>
      <c r="T29" s="386">
        <f t="shared" si="46"/>
        <v>-16.754489822155779</v>
      </c>
      <c r="U29" s="4">
        <f t="shared" si="9"/>
        <v>27.720412930571872</v>
      </c>
      <c r="V29" s="386">
        <f t="shared" si="10"/>
        <v>1.5368425860828325</v>
      </c>
      <c r="W29" s="386">
        <f t="shared" si="47"/>
        <v>1.5368425860828325</v>
      </c>
      <c r="X29" s="386">
        <f t="shared" si="11"/>
        <v>0.71216555357572042</v>
      </c>
      <c r="Y29" s="386">
        <f t="shared" si="12"/>
        <v>1.0143595513996246E-3</v>
      </c>
      <c r="Z29" s="603">
        <f t="shared" si="48"/>
        <v>1.0143595513996246E-3</v>
      </c>
      <c r="AA29" s="386">
        <f t="shared" si="13"/>
        <v>82.054372619835064</v>
      </c>
      <c r="AB29" s="386">
        <f t="shared" si="14"/>
        <v>38.37764437639801</v>
      </c>
      <c r="AC29" s="386">
        <f t="shared" si="15"/>
        <v>0</v>
      </c>
      <c r="AD29">
        <f t="shared" si="16"/>
        <v>0</v>
      </c>
      <c r="AE29" s="386">
        <f t="shared" si="17"/>
        <v>-5.7490043251128284</v>
      </c>
      <c r="AF29" s="386">
        <f t="shared" si="18"/>
        <v>0</v>
      </c>
      <c r="AG29" s="386">
        <f t="shared" si="19"/>
        <v>0</v>
      </c>
      <c r="AH29" s="386">
        <f t="shared" si="20"/>
        <v>0</v>
      </c>
      <c r="AI29" s="386">
        <f t="shared" si="21"/>
        <v>0</v>
      </c>
      <c r="AJ29" s="386">
        <f t="shared" si="22"/>
        <v>77.163054427750609</v>
      </c>
      <c r="AK29" s="386">
        <f t="shared" si="23"/>
        <v>11.312860240378006</v>
      </c>
      <c r="AL29" s="386">
        <f t="shared" si="24"/>
        <v>7.1852621354079282</v>
      </c>
      <c r="AM29">
        <f t="shared" si="25"/>
        <v>0</v>
      </c>
      <c r="AN29" s="386">
        <f t="shared" si="26"/>
        <v>-14.651142011246463</v>
      </c>
      <c r="AO29" s="386">
        <f t="shared" si="27"/>
        <v>27.906685532587638</v>
      </c>
      <c r="AP29" s="386">
        <f t="shared" si="28"/>
        <v>1.4796878850879986</v>
      </c>
      <c r="AQ29" s="386">
        <f t="shared" si="29"/>
        <v>3.9384615384615382</v>
      </c>
      <c r="AR29" s="386">
        <f t="shared" si="30"/>
        <v>7.6955526196076747</v>
      </c>
      <c r="AS29" s="386">
        <f t="shared" si="31"/>
        <v>38.37764437639801</v>
      </c>
      <c r="AT29" s="386">
        <f t="shared" si="32"/>
        <v>0</v>
      </c>
      <c r="AU29" s="386">
        <f t="shared" si="33"/>
        <v>0.95039999999999991</v>
      </c>
      <c r="AV29" s="386">
        <f t="shared" si="34"/>
        <v>17.86241090586001</v>
      </c>
      <c r="AW29" s="386">
        <f t="shared" si="35"/>
        <v>0.249</v>
      </c>
      <c r="AX29" s="386">
        <f t="shared" si="36"/>
        <v>0.14400000000000002</v>
      </c>
      <c r="AY29" s="386">
        <f t="shared" si="37"/>
        <v>1.2671999999999999</v>
      </c>
      <c r="AZ29" s="386">
        <f t="shared" si="38"/>
        <v>0.10439999999999998</v>
      </c>
      <c r="BA29" s="386">
        <f t="shared" si="56"/>
        <v>1.4112</v>
      </c>
      <c r="BB29" s="386">
        <f t="shared" si="57"/>
        <v>-7.4482156874131595</v>
      </c>
      <c r="BC29">
        <f t="shared" si="39"/>
        <v>480</v>
      </c>
      <c r="BD29" s="604">
        <f t="shared" si="50"/>
        <v>1.0157616920191042</v>
      </c>
      <c r="BE29" s="614">
        <f t="shared" si="40"/>
        <v>-685.03710056232319</v>
      </c>
      <c r="BF29" s="614">
        <f t="shared" si="41"/>
        <v>384.77763098038372</v>
      </c>
      <c r="BG29" s="9"/>
      <c r="BH29" s="4">
        <f t="shared" si="51"/>
        <v>101.57616920191042</v>
      </c>
      <c r="BI29" s="386">
        <f t="shared" si="52"/>
        <v>-16.754489822155779</v>
      </c>
      <c r="BJ29" s="386">
        <f t="shared" si="53"/>
        <v>-11.754193716751617</v>
      </c>
      <c r="BK29" s="386">
        <f t="shared" si="54"/>
        <v>0.31363199999999997</v>
      </c>
      <c r="BL29" s="386">
        <f t="shared" si="55"/>
        <v>17.86241090586001</v>
      </c>
      <c r="BP29" t="s">
        <v>157</v>
      </c>
      <c r="BQ29">
        <v>9.9987899999999996</v>
      </c>
      <c r="BR29">
        <v>0.1958</v>
      </c>
      <c r="BS29">
        <v>5.1217600000000001</v>
      </c>
      <c r="BT29">
        <v>75.662516566515876</v>
      </c>
      <c r="BU29">
        <v>322.57199766699983</v>
      </c>
    </row>
    <row r="30" spans="1:82" x14ac:dyDescent="0.3">
      <c r="A30" s="22" t="s">
        <v>64</v>
      </c>
      <c r="B30" s="27">
        <f>RdsonDRB</f>
        <v>1.5</v>
      </c>
      <c r="C30" s="486" t="s">
        <v>120</v>
      </c>
      <c r="D30" s="482" t="s">
        <v>716</v>
      </c>
      <c r="G30">
        <v>21</v>
      </c>
      <c r="H30" s="610">
        <f t="shared" si="0"/>
        <v>6.5750000000000002</v>
      </c>
      <c r="I30" s="445" t="str">
        <f t="shared" si="1"/>
        <v>BOOST</v>
      </c>
      <c r="J30">
        <f t="shared" si="43"/>
        <v>2</v>
      </c>
      <c r="K30">
        <f t="shared" si="2"/>
        <v>10</v>
      </c>
      <c r="L30" s="4">
        <f t="shared" si="3"/>
        <v>81.115335868187572</v>
      </c>
      <c r="M30" s="4">
        <f t="shared" si="4"/>
        <v>85.131860621430889</v>
      </c>
      <c r="N30" s="386">
        <f t="shared" si="5"/>
        <v>1</v>
      </c>
      <c r="O30" s="386">
        <f t="shared" si="44"/>
        <v>0.88253516454352432</v>
      </c>
      <c r="P30" s="4">
        <f t="shared" si="6"/>
        <v>2.5003948409359626</v>
      </c>
      <c r="Q30" s="386">
        <f t="shared" si="7"/>
        <v>81.118547268009294</v>
      </c>
      <c r="R30" s="386">
        <f t="shared" si="8"/>
        <v>-17.155627900623553</v>
      </c>
      <c r="S30" s="386">
        <f t="shared" si="45"/>
        <v>0.26553317522731806</v>
      </c>
      <c r="T30" s="386">
        <f t="shared" si="46"/>
        <v>-16.890094725396235</v>
      </c>
      <c r="U30" s="4">
        <f t="shared" si="9"/>
        <v>27.48150214416733</v>
      </c>
      <c r="V30" s="386">
        <f t="shared" si="10"/>
        <v>1.510465920199747</v>
      </c>
      <c r="W30" s="386">
        <f t="shared" si="47"/>
        <v>1.510465920199747</v>
      </c>
      <c r="X30" s="386">
        <f t="shared" si="11"/>
        <v>0.72180181724736481</v>
      </c>
      <c r="Y30" s="386">
        <f t="shared" si="12"/>
        <v>1.0419957267631965E-3</v>
      </c>
      <c r="Z30" s="603">
        <f t="shared" si="48"/>
        <v>1.0419957267631965E-3</v>
      </c>
      <c r="AA30" s="386">
        <f t="shared" si="13"/>
        <v>81.118547268009294</v>
      </c>
      <c r="AB30" s="386">
        <f t="shared" si="14"/>
        <v>37.507246651971876</v>
      </c>
      <c r="AC30" s="386">
        <f t="shared" si="15"/>
        <v>0</v>
      </c>
      <c r="AD30">
        <f t="shared" si="16"/>
        <v>0</v>
      </c>
      <c r="AE30" s="386">
        <f t="shared" si="17"/>
        <v>-5.7690592890765027</v>
      </c>
      <c r="AF30" s="386">
        <f t="shared" si="18"/>
        <v>0</v>
      </c>
      <c r="AG30" s="386">
        <f t="shared" si="19"/>
        <v>0</v>
      </c>
      <c r="AH30" s="386">
        <f t="shared" si="20"/>
        <v>0</v>
      </c>
      <c r="AI30" s="386">
        <f t="shared" si="21"/>
        <v>0</v>
      </c>
      <c r="AJ30" s="386">
        <f t="shared" si="22"/>
        <v>76.205474886861154</v>
      </c>
      <c r="AK30" s="386">
        <f t="shared" si="23"/>
        <v>11.03382136519085</v>
      </c>
      <c r="AL30" s="386">
        <f t="shared" si="24"/>
        <v>7.103300970365253</v>
      </c>
      <c r="AM30">
        <f t="shared" si="25"/>
        <v>0</v>
      </c>
      <c r="AN30" s="386">
        <f t="shared" si="26"/>
        <v>-15.029548637443318</v>
      </c>
      <c r="AO30" s="386">
        <f t="shared" si="27"/>
        <v>27.80187598239069</v>
      </c>
      <c r="AP30" s="386">
        <f t="shared" si="28"/>
        <v>1.4685941854664415</v>
      </c>
      <c r="AQ30" s="386">
        <f t="shared" si="29"/>
        <v>3.8935361216730033</v>
      </c>
      <c r="AR30" s="386">
        <f t="shared" si="30"/>
        <v>7.5920618993596127</v>
      </c>
      <c r="AS30" s="386">
        <f t="shared" si="31"/>
        <v>37.507246651971876</v>
      </c>
      <c r="AT30" s="386">
        <f t="shared" si="32"/>
        <v>0</v>
      </c>
      <c r="AU30" s="386">
        <f t="shared" si="33"/>
        <v>0.95039999999999991</v>
      </c>
      <c r="AV30" s="386">
        <f t="shared" si="34"/>
        <v>17.421823208196077</v>
      </c>
      <c r="AW30" s="386">
        <f t="shared" si="35"/>
        <v>0.249</v>
      </c>
      <c r="AX30" s="386">
        <f t="shared" si="36"/>
        <v>0.14400000000000002</v>
      </c>
      <c r="AY30" s="386">
        <f t="shared" si="37"/>
        <v>1.2671999999999999</v>
      </c>
      <c r="AZ30" s="386">
        <f t="shared" si="38"/>
        <v>0.10439999999999998</v>
      </c>
      <c r="BA30" s="386">
        <f t="shared" si="56"/>
        <v>1.4112</v>
      </c>
      <c r="BB30" s="386">
        <f t="shared" si="57"/>
        <v>-8.5527096284338544</v>
      </c>
      <c r="BC30">
        <f t="shared" si="39"/>
        <v>480</v>
      </c>
      <c r="BD30" s="604">
        <f t="shared" si="50"/>
        <v>1.0181413909955725</v>
      </c>
      <c r="BE30" s="614">
        <f t="shared" si="40"/>
        <v>-703.9574318721659</v>
      </c>
      <c r="BF30" s="614">
        <f t="shared" si="41"/>
        <v>379.60309496798061</v>
      </c>
      <c r="BG30" s="9"/>
      <c r="BH30" s="4">
        <f t="shared" si="51"/>
        <v>101.81413909955725</v>
      </c>
      <c r="BI30" s="386">
        <f t="shared" si="52"/>
        <v>-16.890094725396235</v>
      </c>
      <c r="BJ30" s="386">
        <f t="shared" si="53"/>
        <v>-12.256146027160208</v>
      </c>
      <c r="BK30" s="386">
        <f t="shared" si="54"/>
        <v>0.31363199999999997</v>
      </c>
      <c r="BL30" s="386">
        <f t="shared" si="55"/>
        <v>17.421823208196077</v>
      </c>
      <c r="BQ30">
        <v>9.9987659999999998</v>
      </c>
      <c r="BR30">
        <v>0.2681</v>
      </c>
      <c r="BS30">
        <v>5.1224080000000001</v>
      </c>
      <c r="BT30">
        <v>80.957553445887683</v>
      </c>
      <c r="BU30">
        <v>323.02506068319997</v>
      </c>
    </row>
    <row r="31" spans="1:82" x14ac:dyDescent="0.3">
      <c r="A31" s="22" t="s">
        <v>149</v>
      </c>
      <c r="B31" s="27">
        <v>1</v>
      </c>
      <c r="C31" s="486" t="s">
        <v>120</v>
      </c>
      <c r="D31" s="482" t="s">
        <v>715</v>
      </c>
      <c r="G31">
        <v>22</v>
      </c>
      <c r="H31" s="610">
        <f t="shared" si="0"/>
        <v>6.65</v>
      </c>
      <c r="I31" s="445" t="str">
        <f t="shared" si="1"/>
        <v>BOOST</v>
      </c>
      <c r="J31">
        <f t="shared" si="43"/>
        <v>2</v>
      </c>
      <c r="K31">
        <f t="shared" si="2"/>
        <v>10</v>
      </c>
      <c r="L31" s="4">
        <f t="shared" si="3"/>
        <v>80.200501253132828</v>
      </c>
      <c r="M31" s="4">
        <f t="shared" si="4"/>
        <v>83.852940529361376</v>
      </c>
      <c r="N31" s="386">
        <f t="shared" si="5"/>
        <v>1</v>
      </c>
      <c r="O31" s="386">
        <f t="shared" si="44"/>
        <v>0.88074359781696065</v>
      </c>
      <c r="P31" s="4">
        <f t="shared" si="6"/>
        <v>2.5335230288080481</v>
      </c>
      <c r="Q31" s="386">
        <f t="shared" si="7"/>
        <v>80.203835919270219</v>
      </c>
      <c r="R31" s="386">
        <f t="shared" si="8"/>
        <v>-17.30346716715961</v>
      </c>
      <c r="S31" s="386">
        <f t="shared" si="45"/>
        <v>0.27370898652475079</v>
      </c>
      <c r="T31" s="386">
        <f t="shared" si="46"/>
        <v>-17.029758180634861</v>
      </c>
      <c r="U31" s="4">
        <f t="shared" si="9"/>
        <v>27.248481820133634</v>
      </c>
      <c r="V31" s="386">
        <f t="shared" si="10"/>
        <v>1.4849595230043062</v>
      </c>
      <c r="W31" s="386">
        <f t="shared" si="47"/>
        <v>1.4849595230043062</v>
      </c>
      <c r="X31" s="386">
        <f t="shared" si="11"/>
        <v>0.73136510134022137</v>
      </c>
      <c r="Y31" s="386">
        <f t="shared" si="12"/>
        <v>1.0697898229167847E-3</v>
      </c>
      <c r="Z31" s="603">
        <f t="shared" si="48"/>
        <v>1.0697898229167847E-3</v>
      </c>
      <c r="AA31" s="386">
        <f t="shared" si="13"/>
        <v>80.203835919270219</v>
      </c>
      <c r="AB31" s="386">
        <f t="shared" si="14"/>
        <v>36.666135188141752</v>
      </c>
      <c r="AC31" s="386">
        <f t="shared" si="15"/>
        <v>0</v>
      </c>
      <c r="AD31">
        <f t="shared" si="16"/>
        <v>0</v>
      </c>
      <c r="AE31" s="386">
        <f t="shared" si="17"/>
        <v>-5.7894869345900446</v>
      </c>
      <c r="AF31" s="386">
        <f t="shared" si="18"/>
        <v>0</v>
      </c>
      <c r="AG31" s="386">
        <f t="shared" si="19"/>
        <v>0</v>
      </c>
      <c r="AH31" s="386">
        <f t="shared" si="20"/>
        <v>0</v>
      </c>
      <c r="AI31" s="386">
        <f t="shared" si="21"/>
        <v>0</v>
      </c>
      <c r="AJ31" s="386">
        <f t="shared" si="22"/>
        <v>75.269648392037027</v>
      </c>
      <c r="AK31" s="386">
        <f t="shared" si="23"/>
        <v>10.764487941215677</v>
      </c>
      <c r="AL31" s="386">
        <f t="shared" si="24"/>
        <v>7.0231885534062464</v>
      </c>
      <c r="AM31">
        <f t="shared" si="25"/>
        <v>0</v>
      </c>
      <c r="AN31" s="386">
        <f t="shared" si="26"/>
        <v>-15.428670053623764</v>
      </c>
      <c r="AO31" s="386">
        <f t="shared" si="27"/>
        <v>27.697207929759589</v>
      </c>
      <c r="AP31" s="386">
        <f t="shared" si="28"/>
        <v>1.457557121498241</v>
      </c>
      <c r="AQ31" s="386">
        <f t="shared" si="29"/>
        <v>3.8496240601503757</v>
      </c>
      <c r="AR31" s="386">
        <f t="shared" si="30"/>
        <v>7.4908493427750571</v>
      </c>
      <c r="AS31" s="386">
        <f t="shared" si="31"/>
        <v>36.666135188141752</v>
      </c>
      <c r="AT31" s="386">
        <f t="shared" si="32"/>
        <v>0</v>
      </c>
      <c r="AU31" s="386">
        <f t="shared" si="33"/>
        <v>0.95039999999999991</v>
      </c>
      <c r="AV31" s="386">
        <f t="shared" si="34"/>
        <v>16.996559907182647</v>
      </c>
      <c r="AW31" s="386">
        <f t="shared" si="35"/>
        <v>0.249</v>
      </c>
      <c r="AX31" s="386">
        <f t="shared" si="36"/>
        <v>0.14400000000000002</v>
      </c>
      <c r="AY31" s="386">
        <f t="shared" si="37"/>
        <v>1.2671999999999999</v>
      </c>
      <c r="AZ31" s="386">
        <f t="shared" si="38"/>
        <v>0.10439999999999998</v>
      </c>
      <c r="BA31" s="386">
        <f t="shared" si="56"/>
        <v>1.4112</v>
      </c>
      <c r="BB31" s="386">
        <f t="shared" si="57"/>
        <v>-9.6638766060637398</v>
      </c>
      <c r="BC31">
        <f t="shared" si="39"/>
        <v>480</v>
      </c>
      <c r="BD31" s="604">
        <f t="shared" si="50"/>
        <v>1.0205467454558443</v>
      </c>
      <c r="BE31" s="614">
        <f t="shared" si="40"/>
        <v>-723.91350268118822</v>
      </c>
      <c r="BF31" s="614">
        <f t="shared" si="41"/>
        <v>374.54246713875284</v>
      </c>
      <c r="BG31" s="9"/>
      <c r="BH31" s="4">
        <f t="shared" si="51"/>
        <v>102.05467454558443</v>
      </c>
      <c r="BI31" s="386">
        <f t="shared" si="52"/>
        <v>-17.029758180634861</v>
      </c>
      <c r="BJ31" s="386">
        <f t="shared" si="53"/>
        <v>-12.776907645438749</v>
      </c>
      <c r="BK31" s="386">
        <f t="shared" si="54"/>
        <v>0.31363199999999997</v>
      </c>
      <c r="BL31" s="386">
        <f t="shared" si="55"/>
        <v>16.996559907182647</v>
      </c>
      <c r="BQ31">
        <v>9.998704</v>
      </c>
      <c r="BR31">
        <v>0.36549999999999999</v>
      </c>
      <c r="BS31">
        <v>5.123094</v>
      </c>
      <c r="BT31">
        <v>85.419022273213088</v>
      </c>
      <c r="BU31">
        <v>319.63300692320018</v>
      </c>
    </row>
    <row r="32" spans="1:82" x14ac:dyDescent="0.3">
      <c r="A32" s="24" t="s">
        <v>66</v>
      </c>
      <c r="B32" s="15" t="s">
        <v>115</v>
      </c>
      <c r="C32" s="24" t="s">
        <v>80</v>
      </c>
      <c r="D32" s="17" t="s">
        <v>111</v>
      </c>
      <c r="G32">
        <v>23</v>
      </c>
      <c r="H32" s="610">
        <f t="shared" si="0"/>
        <v>6.7249999999999996</v>
      </c>
      <c r="I32" s="445" t="str">
        <f t="shared" si="1"/>
        <v>BOOST</v>
      </c>
      <c r="J32">
        <f t="shared" si="43"/>
        <v>2</v>
      </c>
      <c r="K32">
        <f t="shared" si="2"/>
        <v>10</v>
      </c>
      <c r="L32" s="4">
        <f t="shared" si="3"/>
        <v>79.306071871127628</v>
      </c>
      <c r="M32" s="4">
        <f t="shared" si="4"/>
        <v>82.615382142225613</v>
      </c>
      <c r="N32" s="386">
        <f t="shared" si="5"/>
        <v>1</v>
      </c>
      <c r="O32" s="386">
        <f t="shared" si="44"/>
        <v>0.87895716583644667</v>
      </c>
      <c r="P32" s="4">
        <f t="shared" si="6"/>
        <v>2.566402991051028</v>
      </c>
      <c r="Q32" s="386">
        <f t="shared" si="7"/>
        <v>79.309532241220325</v>
      </c>
      <c r="R32" s="386">
        <f t="shared" si="8"/>
        <v>-17.455595748197869</v>
      </c>
      <c r="S32" s="386">
        <f t="shared" si="45"/>
        <v>0.28196256235312545</v>
      </c>
      <c r="T32" s="386">
        <f t="shared" si="46"/>
        <v>-17.173633185844743</v>
      </c>
      <c r="U32" s="4">
        <f t="shared" si="9"/>
        <v>27.021092731585327</v>
      </c>
      <c r="V32" s="386">
        <f t="shared" si="10"/>
        <v>1.4602789048178668</v>
      </c>
      <c r="W32" s="386">
        <f t="shared" si="47"/>
        <v>1.4602789048178668</v>
      </c>
      <c r="X32" s="386">
        <f t="shared" si="11"/>
        <v>0.74085672886618592</v>
      </c>
      <c r="Y32" s="386">
        <f t="shared" si="12"/>
        <v>1.0977373854126108E-3</v>
      </c>
      <c r="Z32" s="603">
        <f t="shared" si="48"/>
        <v>1.0977373854126108E-3</v>
      </c>
      <c r="AA32" s="386">
        <f t="shared" si="13"/>
        <v>79.309532241220325</v>
      </c>
      <c r="AB32" s="386">
        <f t="shared" si="14"/>
        <v>35.853010854630647</v>
      </c>
      <c r="AC32" s="386">
        <f t="shared" si="15"/>
        <v>0</v>
      </c>
      <c r="AD32">
        <f t="shared" si="16"/>
        <v>0</v>
      </c>
      <c r="AE32" s="386">
        <f t="shared" si="17"/>
        <v>-5.8102936895783639</v>
      </c>
      <c r="AF32" s="386">
        <f t="shared" si="18"/>
        <v>0</v>
      </c>
      <c r="AG32" s="386">
        <f t="shared" si="19"/>
        <v>0</v>
      </c>
      <c r="AH32" s="386">
        <f t="shared" si="20"/>
        <v>0</v>
      </c>
      <c r="AI32" s="386">
        <f t="shared" si="21"/>
        <v>0</v>
      </c>
      <c r="AJ32" s="386">
        <f t="shared" si="22"/>
        <v>74.354840104245966</v>
      </c>
      <c r="AK32" s="386">
        <f t="shared" si="23"/>
        <v>10.50442026916317</v>
      </c>
      <c r="AL32" s="386">
        <f t="shared" si="24"/>
        <v>6.9448630305058039</v>
      </c>
      <c r="AM32">
        <f t="shared" si="25"/>
        <v>0</v>
      </c>
      <c r="AN32" s="386">
        <f t="shared" si="26"/>
        <v>-15.850246207964208</v>
      </c>
      <c r="AO32" s="386">
        <f t="shared" si="27"/>
        <v>27.592746463394715</v>
      </c>
      <c r="AP32" s="386">
        <f t="shared" si="28"/>
        <v>1.446583349047045</v>
      </c>
      <c r="AQ32" s="386">
        <f t="shared" si="29"/>
        <v>3.8066914498141262</v>
      </c>
      <c r="AR32" s="386">
        <f t="shared" si="30"/>
        <v>7.3918643869870255</v>
      </c>
      <c r="AS32" s="386">
        <f t="shared" si="31"/>
        <v>35.853010854630647</v>
      </c>
      <c r="AT32" s="386">
        <f t="shared" si="32"/>
        <v>0</v>
      </c>
      <c r="AU32" s="386">
        <f t="shared" si="33"/>
        <v>0.95039999999999991</v>
      </c>
      <c r="AV32" s="386">
        <f t="shared" si="34"/>
        <v>16.585926740783954</v>
      </c>
      <c r="AW32" s="386">
        <f t="shared" si="35"/>
        <v>0.249</v>
      </c>
      <c r="AX32" s="386">
        <f t="shared" si="36"/>
        <v>0.14400000000000002</v>
      </c>
      <c r="AY32" s="386">
        <f t="shared" si="37"/>
        <v>1.2671999999999999</v>
      </c>
      <c r="AZ32" s="386">
        <f t="shared" si="38"/>
        <v>0.10439999999999998</v>
      </c>
      <c r="BA32" s="386">
        <f t="shared" si="56"/>
        <v>1.4112</v>
      </c>
      <c r="BB32" s="386">
        <f t="shared" si="57"/>
        <v>-10.784405313413059</v>
      </c>
      <c r="BC32">
        <f t="shared" si="39"/>
        <v>480</v>
      </c>
      <c r="BD32" s="604">
        <f t="shared" si="50"/>
        <v>1.0229839021454872</v>
      </c>
      <c r="BE32" s="614">
        <f t="shared" si="40"/>
        <v>-744.99231039821041</v>
      </c>
      <c r="BF32" s="614">
        <f t="shared" si="41"/>
        <v>369.59321934935127</v>
      </c>
      <c r="BG32" s="9"/>
      <c r="BH32" s="4">
        <f t="shared" si="51"/>
        <v>102.29839021454872</v>
      </c>
      <c r="BI32" s="386">
        <f t="shared" si="52"/>
        <v>-17.173633185844743</v>
      </c>
      <c r="BJ32" s="386">
        <f t="shared" si="53"/>
        <v>-13.318275510555544</v>
      </c>
      <c r="BK32" s="386">
        <f t="shared" si="54"/>
        <v>0.31363199999999997</v>
      </c>
      <c r="BL32" s="386">
        <f t="shared" si="55"/>
        <v>16.585926740783954</v>
      </c>
      <c r="BQ32">
        <v>9.9987290000000009</v>
      </c>
      <c r="BR32">
        <v>0.49059999999999998</v>
      </c>
      <c r="BS32">
        <v>5.1238169999999998</v>
      </c>
      <c r="BT32">
        <v>88.551850267052174</v>
      </c>
      <c r="BU32">
        <v>324.98153184230057</v>
      </c>
    </row>
    <row r="33" spans="1:73" x14ac:dyDescent="0.3">
      <c r="A33" s="22" t="s">
        <v>66</v>
      </c>
      <c r="B33" s="5">
        <f>Deadtime*1000000000</f>
        <v>50</v>
      </c>
      <c r="C33" s="482" t="s">
        <v>79</v>
      </c>
      <c r="D33" s="21" t="s">
        <v>102</v>
      </c>
      <c r="G33">
        <v>24</v>
      </c>
      <c r="H33" s="610">
        <f t="shared" si="0"/>
        <v>6.8</v>
      </c>
      <c r="I33" s="445" t="str">
        <f t="shared" si="1"/>
        <v>BOOST</v>
      </c>
      <c r="J33">
        <f t="shared" si="43"/>
        <v>2</v>
      </c>
      <c r="K33">
        <f t="shared" si="2"/>
        <v>10</v>
      </c>
      <c r="L33" s="4">
        <f t="shared" si="3"/>
        <v>78.431372549019613</v>
      </c>
      <c r="M33" s="4">
        <f t="shared" si="4"/>
        <v>81.417112299465202</v>
      </c>
      <c r="N33" s="386">
        <f t="shared" si="5"/>
        <v>1</v>
      </c>
      <c r="O33" s="386">
        <f t="shared" si="44"/>
        <v>0.87717569786535299</v>
      </c>
      <c r="P33" s="4">
        <f t="shared" si="6"/>
        <v>2.5990391047862311</v>
      </c>
      <c r="Q33" s="386">
        <f t="shared" si="7"/>
        <v>78.434961062943472</v>
      </c>
      <c r="R33" s="386">
        <f t="shared" si="8"/>
        <v>-17.612173048390083</v>
      </c>
      <c r="S33" s="386">
        <f t="shared" si="45"/>
        <v>0.29029243014198103</v>
      </c>
      <c r="T33" s="386">
        <f t="shared" si="46"/>
        <v>-17.321880618248102</v>
      </c>
      <c r="U33" s="4">
        <f t="shared" si="9"/>
        <v>26.79909166025412</v>
      </c>
      <c r="V33" s="386">
        <f t="shared" si="10"/>
        <v>1.4363826276294041</v>
      </c>
      <c r="W33" s="386">
        <f t="shared" si="47"/>
        <v>1.4363826276294041</v>
      </c>
      <c r="X33" s="386">
        <f t="shared" si="11"/>
        <v>0.75027796339134734</v>
      </c>
      <c r="Y33" s="386">
        <f t="shared" si="12"/>
        <v>1.125834044701336E-3</v>
      </c>
      <c r="Z33" s="603">
        <f t="shared" si="48"/>
        <v>1.125834044701336E-3</v>
      </c>
      <c r="AA33" s="386">
        <f t="shared" si="13"/>
        <v>78.434961062943472</v>
      </c>
      <c r="AB33" s="386">
        <f t="shared" si="14"/>
        <v>35.066645766589119</v>
      </c>
      <c r="AC33" s="386">
        <f t="shared" si="15"/>
        <v>0</v>
      </c>
      <c r="AD33">
        <f t="shared" si="16"/>
        <v>0</v>
      </c>
      <c r="AE33" s="386">
        <f t="shared" si="17"/>
        <v>-5.8314861655695784</v>
      </c>
      <c r="AF33" s="386">
        <f t="shared" si="18"/>
        <v>0</v>
      </c>
      <c r="AG33" s="386">
        <f t="shared" si="19"/>
        <v>0</v>
      </c>
      <c r="AH33" s="386">
        <f t="shared" si="20"/>
        <v>0</v>
      </c>
      <c r="AI33" s="386">
        <f t="shared" si="21"/>
        <v>0</v>
      </c>
      <c r="AJ33" s="386">
        <f t="shared" si="22"/>
        <v>73.460347905549526</v>
      </c>
      <c r="AK33" s="386">
        <f t="shared" si="23"/>
        <v>10.253203157368311</v>
      </c>
      <c r="AL33" s="386">
        <f t="shared" si="24"/>
        <v>6.868265276492874</v>
      </c>
      <c r="AM33">
        <f t="shared" si="25"/>
        <v>0</v>
      </c>
      <c r="AN33" s="386">
        <f t="shared" si="26"/>
        <v>-16.296217679917884</v>
      </c>
      <c r="AO33" s="386">
        <f t="shared" si="27"/>
        <v>27.488550389954806</v>
      </c>
      <c r="AP33" s="386">
        <f t="shared" si="28"/>
        <v>1.4356787648280607</v>
      </c>
      <c r="AQ33" s="386">
        <f t="shared" si="29"/>
        <v>3.7647058823529416</v>
      </c>
      <c r="AR33" s="386">
        <f t="shared" si="30"/>
        <v>7.2950560626589258</v>
      </c>
      <c r="AS33" s="386">
        <f t="shared" si="31"/>
        <v>35.066645766589119</v>
      </c>
      <c r="AT33" s="386">
        <f t="shared" si="32"/>
        <v>0</v>
      </c>
      <c r="AU33" s="386">
        <f t="shared" si="33"/>
        <v>0.95039999999999991</v>
      </c>
      <c r="AV33" s="386">
        <f t="shared" si="34"/>
        <v>16.189268143213123</v>
      </c>
      <c r="AW33" s="386">
        <f t="shared" si="35"/>
        <v>0.249</v>
      </c>
      <c r="AX33" s="386">
        <f t="shared" si="36"/>
        <v>0.14400000000000002</v>
      </c>
      <c r="AY33" s="386">
        <f t="shared" si="37"/>
        <v>1.2671999999999999</v>
      </c>
      <c r="AZ33" s="386">
        <f t="shared" si="38"/>
        <v>0.10439999999999998</v>
      </c>
      <c r="BA33" s="386">
        <f t="shared" si="56"/>
        <v>1.4112</v>
      </c>
      <c r="BB33" s="386">
        <f t="shared" si="57"/>
        <v>-11.917151796189414</v>
      </c>
      <c r="BC33">
        <f t="shared" si="39"/>
        <v>480</v>
      </c>
      <c r="BD33" s="604">
        <f t="shared" si="50"/>
        <v>1.0254594925704275</v>
      </c>
      <c r="BE33" s="614">
        <f t="shared" si="40"/>
        <v>-767.29088399589421</v>
      </c>
      <c r="BF33" s="614">
        <f t="shared" si="41"/>
        <v>364.75280313294627</v>
      </c>
      <c r="BG33" s="9"/>
      <c r="BH33" s="4">
        <f t="shared" si="51"/>
        <v>102.54594925704275</v>
      </c>
      <c r="BI33" s="386">
        <f t="shared" si="52"/>
        <v>-17.321880618248102</v>
      </c>
      <c r="BJ33" s="386">
        <f t="shared" si="53"/>
        <v>-13.882247782828538</v>
      </c>
      <c r="BK33" s="386">
        <f t="shared" si="54"/>
        <v>0.31363199999999997</v>
      </c>
      <c r="BL33" s="386">
        <f t="shared" si="55"/>
        <v>16.189268143213123</v>
      </c>
      <c r="BQ33">
        <v>9.9986420000000003</v>
      </c>
      <c r="BR33">
        <v>0.64549999999999996</v>
      </c>
      <c r="BS33">
        <v>5.1237300000000001</v>
      </c>
      <c r="BT33">
        <v>90.41893857119905</v>
      </c>
      <c r="BU33">
        <v>350.45848473660021</v>
      </c>
    </row>
    <row r="34" spans="1:73" x14ac:dyDescent="0.3">
      <c r="A34" s="24" t="s">
        <v>56</v>
      </c>
      <c r="B34" s="15" t="s">
        <v>115</v>
      </c>
      <c r="C34" s="24" t="s">
        <v>80</v>
      </c>
      <c r="D34" s="17" t="s">
        <v>111</v>
      </c>
      <c r="G34">
        <v>25</v>
      </c>
      <c r="H34" s="610">
        <f t="shared" si="0"/>
        <v>6.875</v>
      </c>
      <c r="I34" s="4" t="str">
        <f t="shared" si="1"/>
        <v>BOOST</v>
      </c>
      <c r="J34">
        <f t="shared" si="43"/>
        <v>2</v>
      </c>
      <c r="K34">
        <f t="shared" si="2"/>
        <v>10</v>
      </c>
      <c r="L34" s="4">
        <f t="shared" si="3"/>
        <v>77.575757575757578</v>
      </c>
      <c r="M34" s="4">
        <f t="shared" si="4"/>
        <v>80.256197463482209</v>
      </c>
      <c r="N34" s="386">
        <f t="shared" si="5"/>
        <v>1</v>
      </c>
      <c r="O34" s="386">
        <f t="shared" si="44"/>
        <v>0.87539903065367441</v>
      </c>
      <c r="P34" s="4">
        <f t="shared" si="6"/>
        <v>2.6314355526433864</v>
      </c>
      <c r="Q34" s="386">
        <f t="shared" si="7"/>
        <v>77.579476675267358</v>
      </c>
      <c r="R34" s="386">
        <f t="shared" si="8"/>
        <v>-17.773366882838666</v>
      </c>
      <c r="S34" s="386">
        <f t="shared" si="45"/>
        <v>0.29869713448114155</v>
      </c>
      <c r="T34" s="386">
        <f t="shared" si="46"/>
        <v>-17.474669748357524</v>
      </c>
      <c r="U34" s="4">
        <f t="shared" si="9"/>
        <v>26.582250139618647</v>
      </c>
      <c r="V34" s="386">
        <f t="shared" si="10"/>
        <v>1.4132320449705111</v>
      </c>
      <c r="W34" s="386">
        <f t="shared" si="47"/>
        <v>1.4132320449705111</v>
      </c>
      <c r="X34" s="386">
        <f t="shared" si="11"/>
        <v>0.75963001233690541</v>
      </c>
      <c r="Y34" s="386">
        <f t="shared" si="12"/>
        <v>1.1540755112859342E-3</v>
      </c>
      <c r="Z34" s="603">
        <f t="shared" si="48"/>
        <v>1.1540755112859342E-3</v>
      </c>
      <c r="AA34" s="386">
        <f t="shared" si="13"/>
        <v>77.579476675267358</v>
      </c>
      <c r="AB34" s="386">
        <f t="shared" si="14"/>
        <v>34.305878646887606</v>
      </c>
      <c r="AC34" s="386">
        <f t="shared" si="15"/>
        <v>0</v>
      </c>
      <c r="AD34">
        <f t="shared" si="16"/>
        <v>0</v>
      </c>
      <c r="AE34" s="386">
        <f t="shared" si="17"/>
        <v>-5.8530711636811859</v>
      </c>
      <c r="AF34" s="386">
        <f t="shared" si="18"/>
        <v>0</v>
      </c>
      <c r="AG34" s="386">
        <f t="shared" si="19"/>
        <v>0</v>
      </c>
      <c r="AH34" s="386">
        <f t="shared" si="20"/>
        <v>0</v>
      </c>
      <c r="AI34" s="386">
        <f t="shared" si="21"/>
        <v>0</v>
      </c>
      <c r="AJ34" s="386">
        <f t="shared" si="22"/>
        <v>72.585500597943351</v>
      </c>
      <c r="AK34" s="386">
        <f t="shared" si="23"/>
        <v>10.010444304402665</v>
      </c>
      <c r="AL34" s="386">
        <f t="shared" si="24"/>
        <v>6.7933387462038608</v>
      </c>
      <c r="AM34">
        <f t="shared" si="25"/>
        <v>0</v>
      </c>
      <c r="AN34" s="386">
        <f t="shared" si="26"/>
        <v>-16.76875545332485</v>
      </c>
      <c r="AO34" s="386">
        <f t="shared" si="27"/>
        <v>27.384672796188696</v>
      </c>
      <c r="AP34" s="386">
        <f t="shared" si="28"/>
        <v>1.4248485778932025</v>
      </c>
      <c r="AQ34" s="386">
        <f t="shared" si="29"/>
        <v>3.7236363636363636</v>
      </c>
      <c r="AR34" s="386">
        <f t="shared" si="30"/>
        <v>7.2003732620863659</v>
      </c>
      <c r="AS34" s="386">
        <f t="shared" si="31"/>
        <v>34.305878646887606</v>
      </c>
      <c r="AT34" s="386">
        <f t="shared" si="32"/>
        <v>0</v>
      </c>
      <c r="AU34" s="386">
        <f t="shared" si="33"/>
        <v>0.95039999999999991</v>
      </c>
      <c r="AV34" s="386">
        <f t="shared" si="34"/>
        <v>15.805964691162103</v>
      </c>
      <c r="AW34" s="386">
        <f t="shared" si="35"/>
        <v>0.249</v>
      </c>
      <c r="AX34" s="386">
        <f t="shared" si="36"/>
        <v>0.14400000000000002</v>
      </c>
      <c r="AY34" s="386">
        <f t="shared" si="37"/>
        <v>1.2671999999999999</v>
      </c>
      <c r="AZ34" s="386">
        <f t="shared" si="38"/>
        <v>0.10439999999999998</v>
      </c>
      <c r="BA34" s="386">
        <f t="shared" si="56"/>
        <v>1.4112</v>
      </c>
      <c r="BB34" s="386">
        <f t="shared" si="57"/>
        <v>-13.065172291633294</v>
      </c>
      <c r="BC34">
        <f t="shared" si="39"/>
        <v>480</v>
      </c>
      <c r="BD34" s="604">
        <f t="shared" si="50"/>
        <v>1.0279807191846342</v>
      </c>
      <c r="BE34" s="614">
        <f t="shared" si="40"/>
        <v>-790.91777266624251</v>
      </c>
      <c r="BF34" s="614">
        <f t="shared" si="41"/>
        <v>360.01866310431831</v>
      </c>
      <c r="BG34" s="9"/>
      <c r="BH34" s="4">
        <f t="shared" si="51"/>
        <v>102.79807191846342</v>
      </c>
      <c r="BI34" s="386">
        <f t="shared" si="52"/>
        <v>-17.474669748357524</v>
      </c>
      <c r="BJ34" s="386">
        <f t="shared" si="53"/>
        <v>-14.47105335491967</v>
      </c>
      <c r="BK34" s="386">
        <f t="shared" si="54"/>
        <v>0.31363199999999997</v>
      </c>
      <c r="BL34" s="386">
        <f t="shared" si="55"/>
        <v>15.805964691162103</v>
      </c>
      <c r="BQ34">
        <v>9.9986049999999995</v>
      </c>
      <c r="BR34">
        <v>0.83240000000000003</v>
      </c>
      <c r="BS34">
        <v>5.1231559999999998</v>
      </c>
      <c r="BT34">
        <v>91.678946361105133</v>
      </c>
      <c r="BU34">
        <v>387.05996035199956</v>
      </c>
    </row>
    <row r="35" spans="1:73" x14ac:dyDescent="0.3">
      <c r="A35" s="22" t="s">
        <v>158</v>
      </c>
      <c r="B35" s="5">
        <f>Iq*1000</f>
        <v>3</v>
      </c>
      <c r="C35" s="482" t="s">
        <v>68</v>
      </c>
      <c r="D35" s="21" t="s">
        <v>161</v>
      </c>
      <c r="G35">
        <v>26</v>
      </c>
      <c r="H35" s="610">
        <f t="shared" si="0"/>
        <v>6.95</v>
      </c>
      <c r="I35" s="4" t="str">
        <f t="shared" si="1"/>
        <v>BOOST</v>
      </c>
      <c r="J35">
        <f t="shared" si="43"/>
        <v>2</v>
      </c>
      <c r="K35">
        <f t="shared" si="2"/>
        <v>10</v>
      </c>
      <c r="L35" s="4">
        <f t="shared" si="3"/>
        <v>76.738609112709838</v>
      </c>
      <c r="M35" s="4">
        <f t="shared" si="4"/>
        <v>79.130832025741313</v>
      </c>
      <c r="N35" s="386">
        <f t="shared" si="5"/>
        <v>1</v>
      </c>
      <c r="O35" s="386">
        <f t="shared" si="44"/>
        <v>0.87362700803212845</v>
      </c>
      <c r="P35" s="4">
        <f t="shared" si="6"/>
        <v>2.6635963334419483</v>
      </c>
      <c r="Q35" s="386">
        <f t="shared" si="7"/>
        <v>76.742461241081529</v>
      </c>
      <c r="R35" s="386">
        <f t="shared" si="8"/>
        <v>-17.939354030758388</v>
      </c>
      <c r="S35" s="386">
        <f t="shared" si="45"/>
        <v>0.30717523611923331</v>
      </c>
      <c r="T35" s="386">
        <f t="shared" si="46"/>
        <v>-17.632178794639156</v>
      </c>
      <c r="U35" s="4">
        <f t="shared" si="9"/>
        <v>26.370353316635903</v>
      </c>
      <c r="V35" s="386">
        <f t="shared" si="10"/>
        <v>1.3907910680884203</v>
      </c>
      <c r="W35" s="386">
        <f t="shared" si="47"/>
        <v>1.3907910680884203</v>
      </c>
      <c r="X35" s="386">
        <f t="shared" si="11"/>
        <v>0.76891403006260461</v>
      </c>
      <c r="Y35" s="386">
        <f t="shared" si="12"/>
        <v>1.1824575712542321E-3</v>
      </c>
      <c r="Z35" s="603">
        <f t="shared" si="48"/>
        <v>1.1824575712542321E-3</v>
      </c>
      <c r="AA35" s="386">
        <f t="shared" si="13"/>
        <v>76.742461241081529</v>
      </c>
      <c r="AB35" s="386">
        <f t="shared" si="14"/>
        <v>33.569610536831739</v>
      </c>
      <c r="AC35" s="386">
        <f t="shared" si="15"/>
        <v>0</v>
      </c>
      <c r="AD35">
        <f t="shared" si="16"/>
        <v>0</v>
      </c>
      <c r="AE35" s="386">
        <f t="shared" si="17"/>
        <v>-5.8750556808525678</v>
      </c>
      <c r="AF35" s="386">
        <f t="shared" si="18"/>
        <v>0</v>
      </c>
      <c r="AG35" s="386">
        <f t="shared" si="19"/>
        <v>0</v>
      </c>
      <c r="AH35" s="386">
        <f t="shared" si="20"/>
        <v>0</v>
      </c>
      <c r="AI35" s="386">
        <f t="shared" si="21"/>
        <v>0</v>
      </c>
      <c r="AJ35" s="386">
        <f t="shared" si="22"/>
        <v>71.729656219867465</v>
      </c>
      <c r="AK35" s="386">
        <f t="shared" si="23"/>
        <v>9.7757728046987058</v>
      </c>
      <c r="AL35" s="386">
        <f t="shared" si="24"/>
        <v>6.7200293352736038</v>
      </c>
      <c r="AM35">
        <f t="shared" si="25"/>
        <v>0</v>
      </c>
      <c r="AN35" s="386">
        <f t="shared" si="26"/>
        <v>-17.270296153685013</v>
      </c>
      <c r="AO35" s="386">
        <f t="shared" si="27"/>
        <v>27.281161557355446</v>
      </c>
      <c r="AP35" s="386">
        <f t="shared" si="28"/>
        <v>1.4140973742452045</v>
      </c>
      <c r="AQ35" s="386">
        <f t="shared" si="29"/>
        <v>3.6834532374100721</v>
      </c>
      <c r="AR35" s="386">
        <f t="shared" si="30"/>
        <v>7.1077649669618328</v>
      </c>
      <c r="AS35" s="386">
        <f t="shared" si="31"/>
        <v>33.569610536831739</v>
      </c>
      <c r="AT35" s="386">
        <f t="shared" si="32"/>
        <v>0</v>
      </c>
      <c r="AU35" s="386">
        <f t="shared" si="33"/>
        <v>0.95039999999999991</v>
      </c>
      <c r="AV35" s="386">
        <f t="shared" si="34"/>
        <v>15.435430744261115</v>
      </c>
      <c r="AW35" s="386">
        <f t="shared" si="35"/>
        <v>0.249</v>
      </c>
      <c r="AX35" s="386">
        <f t="shared" si="36"/>
        <v>0.14400000000000002</v>
      </c>
      <c r="AY35" s="386">
        <f t="shared" si="37"/>
        <v>1.2671999999999999</v>
      </c>
      <c r="AZ35" s="386">
        <f t="shared" si="38"/>
        <v>0.10439999999999998</v>
      </c>
      <c r="BA35" s="386">
        <f t="shared" si="56"/>
        <v>1.4112</v>
      </c>
      <c r="BB35" s="386">
        <f t="shared" si="57"/>
        <v>-14.231761392294112</v>
      </c>
      <c r="BC35">
        <f t="shared" si="39"/>
        <v>480</v>
      </c>
      <c r="BD35" s="604">
        <f t="shared" si="50"/>
        <v>1.0305554570119171</v>
      </c>
      <c r="BE35" s="614">
        <f t="shared" si="40"/>
        <v>-815.99480768425076</v>
      </c>
      <c r="BF35" s="614">
        <f t="shared" si="41"/>
        <v>355.38824834809162</v>
      </c>
      <c r="BG35" s="9"/>
      <c r="BH35" s="4">
        <f t="shared" si="51"/>
        <v>103.0555457011917</v>
      </c>
      <c r="BI35" s="386">
        <f t="shared" si="52"/>
        <v>-17.632178794639156</v>
      </c>
      <c r="BJ35" s="386">
        <f t="shared" si="53"/>
        <v>-15.087186867575747</v>
      </c>
      <c r="BK35" s="386">
        <f t="shared" si="54"/>
        <v>0.31363199999999997</v>
      </c>
      <c r="BL35" s="386">
        <f t="shared" si="55"/>
        <v>15.435430744261115</v>
      </c>
      <c r="BQ35">
        <v>9.9986049999999995</v>
      </c>
      <c r="BR35">
        <v>1.0528999999999999</v>
      </c>
      <c r="BS35">
        <v>5.1218219999999999</v>
      </c>
      <c r="BT35">
        <v>92.889938966292178</v>
      </c>
      <c r="BU35">
        <v>412.77762981700039</v>
      </c>
    </row>
    <row r="36" spans="1:73" x14ac:dyDescent="0.3">
      <c r="A36" s="24" t="s">
        <v>766</v>
      </c>
      <c r="B36" s="15" t="s">
        <v>115</v>
      </c>
      <c r="C36" s="24" t="s">
        <v>80</v>
      </c>
      <c r="D36" s="17" t="s">
        <v>111</v>
      </c>
      <c r="G36">
        <v>27</v>
      </c>
      <c r="H36" s="610">
        <f t="shared" si="0"/>
        <v>7.0250000000000004</v>
      </c>
      <c r="I36" s="4" t="str">
        <f t="shared" si="1"/>
        <v>BOOST</v>
      </c>
      <c r="J36">
        <f t="shared" si="43"/>
        <v>2</v>
      </c>
      <c r="K36">
        <f t="shared" si="2"/>
        <v>10</v>
      </c>
      <c r="L36" s="4">
        <f t="shared" si="3"/>
        <v>75.919335705812571</v>
      </c>
      <c r="M36" s="4">
        <f t="shared" si="4"/>
        <v>78.039327775059476</v>
      </c>
      <c r="N36" s="386">
        <f t="shared" si="5"/>
        <v>1</v>
      </c>
      <c r="O36" s="386">
        <f t="shared" si="44"/>
        <v>0.87185948053237983</v>
      </c>
      <c r="P36" s="4">
        <f t="shared" si="6"/>
        <v>2.6955252721762908</v>
      </c>
      <c r="Q36" s="386">
        <f t="shared" si="7"/>
        <v>75.923323307485333</v>
      </c>
      <c r="R36" s="386">
        <f t="shared" si="8"/>
        <v>-18.110320833655663</v>
      </c>
      <c r="S36" s="386">
        <f t="shared" si="45"/>
        <v>0.31572531103793749</v>
      </c>
      <c r="T36" s="386">
        <f t="shared" si="46"/>
        <v>-17.794595522617726</v>
      </c>
      <c r="U36" s="4">
        <f t="shared" si="9"/>
        <v>26.163198919086252</v>
      </c>
      <c r="V36" s="386">
        <f t="shared" si="10"/>
        <v>1.3690259553593522</v>
      </c>
      <c r="W36" s="386">
        <f t="shared" si="47"/>
        <v>1.3690259553593522</v>
      </c>
      <c r="X36" s="386">
        <f t="shared" si="11"/>
        <v>0.77813112074921043</v>
      </c>
      <c r="Y36" s="386">
        <f t="shared" si="12"/>
        <v>1.2109760821568446E-3</v>
      </c>
      <c r="Z36" s="603">
        <f t="shared" si="48"/>
        <v>1.2109760821568446E-3</v>
      </c>
      <c r="AA36" s="386">
        <f t="shared" si="13"/>
        <v>75.923323307485333</v>
      </c>
      <c r="AB36" s="386">
        <f t="shared" si="14"/>
        <v>32.856800825701796</v>
      </c>
      <c r="AC36" s="386">
        <f t="shared" si="15"/>
        <v>0</v>
      </c>
      <c r="AD36">
        <f t="shared" si="16"/>
        <v>0</v>
      </c>
      <c r="AE36" s="386">
        <f t="shared" si="17"/>
        <v>-5.8974469163355616</v>
      </c>
      <c r="AF36" s="386">
        <f t="shared" si="18"/>
        <v>0</v>
      </c>
      <c r="AG36" s="386">
        <f t="shared" si="19"/>
        <v>0</v>
      </c>
      <c r="AH36" s="386">
        <f t="shared" si="20"/>
        <v>0</v>
      </c>
      <c r="AI36" s="386">
        <f t="shared" si="21"/>
        <v>0</v>
      </c>
      <c r="AJ36" s="386">
        <f t="shared" si="22"/>
        <v>70.8922004715143</v>
      </c>
      <c r="AK36" s="386">
        <f t="shared" si="23"/>
        <v>9.5488377666174085</v>
      </c>
      <c r="AL36" s="386">
        <f t="shared" si="24"/>
        <v>6.6482852498436351</v>
      </c>
      <c r="AM36">
        <f t="shared" si="25"/>
        <v>0</v>
      </c>
      <c r="AN36" s="386">
        <f t="shared" si="26"/>
        <v>-17.803583956463552</v>
      </c>
      <c r="AO36" s="386">
        <f t="shared" si="27"/>
        <v>27.178059797556774</v>
      </c>
      <c r="AP36" s="386">
        <f t="shared" si="28"/>
        <v>1.4034291752831864</v>
      </c>
      <c r="AQ36" s="386">
        <f t="shared" si="29"/>
        <v>3.6441281138790034</v>
      </c>
      <c r="AR36" s="386">
        <f t="shared" si="30"/>
        <v>7.0171804409824512</v>
      </c>
      <c r="AS36" s="386">
        <f t="shared" si="31"/>
        <v>32.856800825701796</v>
      </c>
      <c r="AT36" s="386">
        <f t="shared" si="32"/>
        <v>0</v>
      </c>
      <c r="AU36" s="386">
        <f t="shared" si="33"/>
        <v>0.95039999999999991</v>
      </c>
      <c r="AV36" s="386">
        <f t="shared" si="34"/>
        <v>15.077112263080117</v>
      </c>
      <c r="AW36" s="386">
        <f t="shared" si="35"/>
        <v>0.249</v>
      </c>
      <c r="AX36" s="386">
        <f t="shared" si="36"/>
        <v>0.14400000000000002</v>
      </c>
      <c r="AY36" s="386">
        <f t="shared" si="37"/>
        <v>1.2671999999999999</v>
      </c>
      <c r="AZ36" s="386">
        <f t="shared" si="38"/>
        <v>0.10439999999999998</v>
      </c>
      <c r="BA36" s="386">
        <f t="shared" si="56"/>
        <v>1.4112</v>
      </c>
      <c r="BB36" s="386">
        <f t="shared" si="57"/>
        <v>-15.42049675991276</v>
      </c>
      <c r="BC36">
        <f t="shared" si="39"/>
        <v>480</v>
      </c>
      <c r="BD36" s="604">
        <f t="shared" si="50"/>
        <v>1.0331923742919491</v>
      </c>
      <c r="BE36" s="614">
        <f t="shared" si="40"/>
        <v>-842.65919782317769</v>
      </c>
      <c r="BF36" s="614">
        <f t="shared" si="41"/>
        <v>350.85902204912259</v>
      </c>
      <c r="BG36" s="9"/>
      <c r="BH36" s="4">
        <f t="shared" si="51"/>
        <v>103.31923742919491</v>
      </c>
      <c r="BI36" s="386">
        <f t="shared" si="52"/>
        <v>-17.794595522617726</v>
      </c>
      <c r="BJ36" s="386">
        <f t="shared" si="53"/>
        <v>-15.733450431816662</v>
      </c>
      <c r="BK36" s="386">
        <f t="shared" si="54"/>
        <v>0.31363199999999997</v>
      </c>
      <c r="BL36" s="386">
        <f t="shared" si="55"/>
        <v>15.077112263080117</v>
      </c>
      <c r="BQ36">
        <v>9.9986669999999993</v>
      </c>
      <c r="BR36">
        <v>1.3092999999999999</v>
      </c>
      <c r="BS36">
        <v>5.1195649999999997</v>
      </c>
      <c r="BT36">
        <v>93.690364214923264</v>
      </c>
      <c r="BU36">
        <v>451.42072788069993</v>
      </c>
    </row>
    <row r="37" spans="1:73" x14ac:dyDescent="0.3">
      <c r="A37" s="23" t="s">
        <v>75</v>
      </c>
      <c r="B37" s="5">
        <f>Rdson1*1000</f>
        <v>5.7</v>
      </c>
      <c r="C37" s="484" t="s">
        <v>674</v>
      </c>
      <c r="D37" s="482" t="s">
        <v>769</v>
      </c>
      <c r="G37">
        <v>28</v>
      </c>
      <c r="H37" s="610">
        <f t="shared" si="0"/>
        <v>7.1</v>
      </c>
      <c r="I37" s="4" t="str">
        <f t="shared" si="1"/>
        <v>BOOST</v>
      </c>
      <c r="J37">
        <f t="shared" si="43"/>
        <v>2</v>
      </c>
      <c r="K37">
        <f t="shared" si="2"/>
        <v>10</v>
      </c>
      <c r="L37" s="4">
        <f t="shared" si="3"/>
        <v>75.117370892018783</v>
      </c>
      <c r="M37" s="4">
        <f t="shared" si="4"/>
        <v>76.980104395188675</v>
      </c>
      <c r="N37" s="386">
        <f t="shared" si="5"/>
        <v>1</v>
      </c>
      <c r="O37" s="386">
        <f t="shared" si="44"/>
        <v>0.87009630503144642</v>
      </c>
      <c r="P37" s="4">
        <f t="shared" si="6"/>
        <v>2.7272260293571136</v>
      </c>
      <c r="Q37" s="386">
        <f t="shared" si="7"/>
        <v>75.121496412236823</v>
      </c>
      <c r="R37" s="386">
        <f t="shared" si="8"/>
        <v>-18.286463842252715</v>
      </c>
      <c r="S37" s="386">
        <f t="shared" si="45"/>
        <v>0.32434594959603291</v>
      </c>
      <c r="T37" s="386">
        <f t="shared" si="46"/>
        <v>-17.962117892656682</v>
      </c>
      <c r="U37" s="4">
        <f t="shared" si="9"/>
        <v>25.960596317155233</v>
      </c>
      <c r="V37" s="386">
        <f t="shared" si="10"/>
        <v>1.3479051222845877</v>
      </c>
      <c r="W37" s="386">
        <f t="shared" si="47"/>
        <v>1.3479051222845877</v>
      </c>
      <c r="X37" s="386">
        <f t="shared" si="11"/>
        <v>0.78728234109514195</v>
      </c>
      <c r="Y37" s="386">
        <f t="shared" si="12"/>
        <v>1.239626969200495E-3</v>
      </c>
      <c r="Z37" s="603">
        <f t="shared" si="48"/>
        <v>1.239626969200495E-3</v>
      </c>
      <c r="AA37" s="386">
        <f t="shared" si="13"/>
        <v>75.121496412236823</v>
      </c>
      <c r="AB37" s="386">
        <f t="shared" si="14"/>
        <v>32.16646357231815</v>
      </c>
      <c r="AC37" s="386">
        <f t="shared" si="15"/>
        <v>0</v>
      </c>
      <c r="AD37">
        <f t="shared" si="16"/>
        <v>0</v>
      </c>
      <c r="AE37" s="386">
        <f t="shared" si="17"/>
        <v>-5.9202522784553482</v>
      </c>
      <c r="AF37" s="386">
        <f t="shared" si="18"/>
        <v>0</v>
      </c>
      <c r="AG37" s="386">
        <f t="shared" si="19"/>
        <v>0</v>
      </c>
      <c r="AH37" s="386">
        <f t="shared" si="20"/>
        <v>0</v>
      </c>
      <c r="AI37" s="386">
        <f t="shared" si="21"/>
        <v>0</v>
      </c>
      <c r="AJ37" s="386">
        <f t="shared" si="22"/>
        <v>70.072545240820091</v>
      </c>
      <c r="AK37" s="386">
        <f t="shared" si="23"/>
        <v>9.3293070334008785</v>
      </c>
      <c r="AL37" s="386">
        <f t="shared" si="24"/>
        <v>6.5780568845283867</v>
      </c>
      <c r="AM37">
        <f t="shared" si="25"/>
        <v>0</v>
      </c>
      <c r="AN37" s="386">
        <f t="shared" si="26"/>
        <v>-18.371720687864059</v>
      </c>
      <c r="AO37" s="386">
        <f t="shared" si="27"/>
        <v>27.075406306959291</v>
      </c>
      <c r="AP37" s="386">
        <f t="shared" si="28"/>
        <v>1.3928474907051687</v>
      </c>
      <c r="AQ37" s="386">
        <f t="shared" si="29"/>
        <v>3.6056338028169015</v>
      </c>
      <c r="AR37" s="386">
        <f t="shared" si="30"/>
        <v>6.9285693918431432</v>
      </c>
      <c r="AS37" s="386">
        <f t="shared" si="31"/>
        <v>32.16646357231815</v>
      </c>
      <c r="AT37" s="386">
        <f t="shared" si="32"/>
        <v>0</v>
      </c>
      <c r="AU37" s="386">
        <f t="shared" si="33"/>
        <v>0.95039999999999991</v>
      </c>
      <c r="AV37" s="386">
        <f t="shared" si="34"/>
        <v>14.730484789580336</v>
      </c>
      <c r="AW37" s="386">
        <f t="shared" si="35"/>
        <v>0.249</v>
      </c>
      <c r="AX37" s="386">
        <f t="shared" si="36"/>
        <v>0.14400000000000002</v>
      </c>
      <c r="AY37" s="386">
        <f t="shared" si="37"/>
        <v>1.2671999999999999</v>
      </c>
      <c r="AZ37" s="386">
        <f t="shared" si="38"/>
        <v>0.10439999999999998</v>
      </c>
      <c r="BA37" s="386">
        <f t="shared" si="56"/>
        <v>1.4112</v>
      </c>
      <c r="BB37" s="386">
        <f t="shared" si="57"/>
        <v>-16.635291928298823</v>
      </c>
      <c r="BC37">
        <f t="shared" si="39"/>
        <v>480</v>
      </c>
      <c r="BD37" s="604">
        <f t="shared" si="50"/>
        <v>1.0359010767080792</v>
      </c>
      <c r="BE37" s="614">
        <f t="shared" si="40"/>
        <v>-871.06603439320304</v>
      </c>
      <c r="BF37" s="614">
        <f t="shared" si="41"/>
        <v>346.42846959215717</v>
      </c>
      <c r="BG37" s="9"/>
      <c r="BH37" s="4">
        <f t="shared" si="51"/>
        <v>103.59010767080792</v>
      </c>
      <c r="BI37" s="386">
        <f t="shared" si="52"/>
        <v>-17.962117892656682</v>
      </c>
      <c r="BJ37" s="386">
        <f t="shared" si="53"/>
        <v>-16.413003574476264</v>
      </c>
      <c r="BK37" s="386">
        <f t="shared" si="54"/>
        <v>0.31363199999999997</v>
      </c>
      <c r="BL37" s="386">
        <f t="shared" si="55"/>
        <v>14.730484789580336</v>
      </c>
      <c r="BQ37">
        <v>9.9985429999999997</v>
      </c>
      <c r="BR37">
        <v>1.6020000000000001</v>
      </c>
      <c r="BS37">
        <v>5.1182809999999996</v>
      </c>
      <c r="BT37">
        <v>93.864473327748414</v>
      </c>
      <c r="BU37">
        <v>535.96589716749952</v>
      </c>
    </row>
    <row r="38" spans="1:73" x14ac:dyDescent="0.3">
      <c r="A38" s="22" t="s">
        <v>83</v>
      </c>
      <c r="B38" s="5">
        <f>RdsonTopTc*1000000</f>
        <v>4000</v>
      </c>
      <c r="C38" s="482" t="s">
        <v>85</v>
      </c>
      <c r="D38" s="21" t="s">
        <v>113</v>
      </c>
      <c r="G38">
        <v>29</v>
      </c>
      <c r="H38" s="610">
        <f t="shared" si="0"/>
        <v>7.1749999999999998</v>
      </c>
      <c r="I38" s="4" t="str">
        <f t="shared" si="1"/>
        <v>BOOST</v>
      </c>
      <c r="J38">
        <f t="shared" si="43"/>
        <v>2</v>
      </c>
      <c r="K38">
        <f t="shared" si="2"/>
        <v>10</v>
      </c>
      <c r="L38" s="4">
        <f t="shared" si="3"/>
        <v>74.332171893147503</v>
      </c>
      <c r="M38" s="4">
        <f t="shared" si="4"/>
        <v>75.951680875911052</v>
      </c>
      <c r="N38" s="386">
        <f t="shared" si="5"/>
        <v>1</v>
      </c>
      <c r="O38" s="386">
        <f t="shared" si="44"/>
        <v>0.86833734441851418</v>
      </c>
      <c r="P38" s="4">
        <f t="shared" si="6"/>
        <v>2.7587021097569799</v>
      </c>
      <c r="Q38" s="386">
        <f t="shared" si="7"/>
        <v>74.336437777602001</v>
      </c>
      <c r="R38" s="386">
        <f t="shared" si="8"/>
        <v>-18.467990516849298</v>
      </c>
      <c r="S38" s="386">
        <f t="shared" si="45"/>
        <v>0.33303575573778282</v>
      </c>
      <c r="T38" s="386">
        <f t="shared" si="46"/>
        <v>-18.134954761111516</v>
      </c>
      <c r="U38" s="4">
        <f t="shared" si="9"/>
        <v>25.762365669265257</v>
      </c>
      <c r="V38" s="386">
        <f t="shared" si="10"/>
        <v>1.3273989697538744</v>
      </c>
      <c r="W38" s="386">
        <f t="shared" si="47"/>
        <v>1.3273989697538744</v>
      </c>
      <c r="X38" s="386">
        <f t="shared" si="11"/>
        <v>0.79636870284109051</v>
      </c>
      <c r="Y38" s="386">
        <f t="shared" si="12"/>
        <v>1.2684062217296023E-3</v>
      </c>
      <c r="Z38" s="603">
        <f t="shared" si="48"/>
        <v>1.2684062217296023E-3</v>
      </c>
      <c r="AA38" s="386">
        <f t="shared" si="13"/>
        <v>74.336437777602001</v>
      </c>
      <c r="AB38" s="386">
        <f t="shared" si="14"/>
        <v>31.497664094340777</v>
      </c>
      <c r="AC38" s="386">
        <f t="shared" si="15"/>
        <v>0</v>
      </c>
      <c r="AD38">
        <f t="shared" si="16"/>
        <v>0</v>
      </c>
      <c r="AE38" s="386">
        <f t="shared" si="17"/>
        <v>-5.943479391654729</v>
      </c>
      <c r="AF38" s="386">
        <f t="shared" si="18"/>
        <v>0</v>
      </c>
      <c r="AG38" s="386">
        <f t="shared" si="19"/>
        <v>0</v>
      </c>
      <c r="AH38" s="386">
        <f t="shared" si="20"/>
        <v>0</v>
      </c>
      <c r="AI38" s="386">
        <f t="shared" si="21"/>
        <v>0</v>
      </c>
      <c r="AJ38" s="386">
        <f t="shared" si="22"/>
        <v>69.270127222708481</v>
      </c>
      <c r="AK38" s="386">
        <f t="shared" si="23"/>
        <v>9.116865998355415</v>
      </c>
      <c r="AL38" s="386">
        <f t="shared" si="24"/>
        <v>6.5092967080350563</v>
      </c>
      <c r="AM38">
        <f t="shared" si="25"/>
        <v>0</v>
      </c>
      <c r="AN38" s="386">
        <f t="shared" si="26"/>
        <v>-18.978226049418087</v>
      </c>
      <c r="AO38" s="386">
        <f t="shared" si="27"/>
        <v>26.973235920316903</v>
      </c>
      <c r="AP38" s="386">
        <f t="shared" si="28"/>
        <v>1.3823553664248407</v>
      </c>
      <c r="AQ38" s="386">
        <f t="shared" si="29"/>
        <v>3.5679442508710801</v>
      </c>
      <c r="AR38" s="386">
        <f t="shared" si="30"/>
        <v>6.8418821065956346</v>
      </c>
      <c r="AS38" s="386">
        <f t="shared" si="31"/>
        <v>31.497664094340777</v>
      </c>
      <c r="AT38" s="386">
        <f t="shared" si="32"/>
        <v>0</v>
      </c>
      <c r="AU38" s="386">
        <f t="shared" si="33"/>
        <v>0.95039999999999991</v>
      </c>
      <c r="AV38" s="386">
        <f t="shared" si="34"/>
        <v>14.395051576350657</v>
      </c>
      <c r="AW38" s="386">
        <f t="shared" si="35"/>
        <v>0.249</v>
      </c>
      <c r="AX38" s="386">
        <f t="shared" si="36"/>
        <v>0.14400000000000002</v>
      </c>
      <c r="AY38" s="386">
        <f t="shared" si="37"/>
        <v>1.2671999999999999</v>
      </c>
      <c r="AZ38" s="386">
        <f t="shared" si="38"/>
        <v>0.10439999999999998</v>
      </c>
      <c r="BA38" s="386">
        <f t="shared" si="56"/>
        <v>1.4112</v>
      </c>
      <c r="BB38" s="386">
        <f t="shared" si="57"/>
        <v>-17.880459143262435</v>
      </c>
      <c r="BC38">
        <f t="shared" si="39"/>
        <v>480</v>
      </c>
      <c r="BD38" s="604">
        <f t="shared" si="50"/>
        <v>1.0386922810277905</v>
      </c>
      <c r="BE38" s="614">
        <f t="shared" si="40"/>
        <v>-901.39130247090441</v>
      </c>
      <c r="BF38" s="614">
        <f t="shared" si="41"/>
        <v>342.09410532978171</v>
      </c>
      <c r="BG38" s="9"/>
      <c r="BH38" s="4">
        <f t="shared" si="51"/>
        <v>103.86922810277906</v>
      </c>
      <c r="BI38" s="386">
        <f t="shared" si="52"/>
        <v>-18.134954761111516</v>
      </c>
      <c r="BJ38" s="386">
        <f t="shared" si="53"/>
        <v>-17.129423334477185</v>
      </c>
      <c r="BK38" s="386">
        <f t="shared" si="54"/>
        <v>0.31363199999999997</v>
      </c>
      <c r="BL38" s="386">
        <f t="shared" si="55"/>
        <v>14.395051576350657</v>
      </c>
      <c r="BQ38">
        <v>9.9985429999999997</v>
      </c>
      <c r="BR38">
        <v>1.9350000000000001</v>
      </c>
      <c r="BS38">
        <v>5.117146</v>
      </c>
      <c r="BT38">
        <v>94.224527198076927</v>
      </c>
      <c r="BU38">
        <v>606.92116405899924</v>
      </c>
    </row>
    <row r="39" spans="1:73" x14ac:dyDescent="0.3">
      <c r="A39" s="23" t="s">
        <v>74</v>
      </c>
      <c r="B39" s="5">
        <f>Qg_Q1*1000000000</f>
        <v>11</v>
      </c>
      <c r="C39" s="482" t="s">
        <v>69</v>
      </c>
      <c r="D39" s="21" t="s">
        <v>103</v>
      </c>
      <c r="G39">
        <v>30</v>
      </c>
      <c r="H39" s="610">
        <f t="shared" si="0"/>
        <v>7.25</v>
      </c>
      <c r="I39" s="4" t="str">
        <f t="shared" si="1"/>
        <v>BOOST</v>
      </c>
      <c r="J39">
        <f t="shared" si="43"/>
        <v>2</v>
      </c>
      <c r="K39">
        <f t="shared" si="2"/>
        <v>10</v>
      </c>
      <c r="L39" s="4">
        <f t="shared" si="3"/>
        <v>73.563218390804593</v>
      </c>
      <c r="M39" s="4">
        <f t="shared" si="4"/>
        <v>74.952667736526053</v>
      </c>
      <c r="N39" s="386">
        <f t="shared" si="5"/>
        <v>1</v>
      </c>
      <c r="O39" s="386">
        <f t="shared" si="44"/>
        <v>0.86658246728252497</v>
      </c>
      <c r="P39" s="4">
        <f t="shared" si="6"/>
        <v>2.7899568706038291</v>
      </c>
      <c r="Q39" s="386">
        <f t="shared" si="7"/>
        <v>73.567627085275745</v>
      </c>
      <c r="R39" s="386">
        <f t="shared" si="8"/>
        <v>-18.655119986338267</v>
      </c>
      <c r="S39" s="386">
        <f t="shared" si="45"/>
        <v>0.34179334626067576</v>
      </c>
      <c r="T39" s="386">
        <f t="shared" si="46"/>
        <v>-18.313326640077591</v>
      </c>
      <c r="U39" s="4">
        <f t="shared" si="9"/>
        <v>25.568337143369185</v>
      </c>
      <c r="V39" s="386">
        <f t="shared" si="10"/>
        <v>1.3074797285539845</v>
      </c>
      <c r="W39" s="386">
        <f t="shared" si="47"/>
        <v>1.3074797285539845</v>
      </c>
      <c r="X39" s="386">
        <f t="shared" si="11"/>
        <v>0.80539117513528335</v>
      </c>
      <c r="Y39" s="386">
        <f t="shared" si="12"/>
        <v>1.2973098899715853E-3</v>
      </c>
      <c r="Z39" s="603">
        <f t="shared" si="48"/>
        <v>1.2973098899715853E-3</v>
      </c>
      <c r="AA39" s="386">
        <f t="shared" si="13"/>
        <v>73.567627085275745</v>
      </c>
      <c r="AB39" s="386">
        <f t="shared" si="14"/>
        <v>30.849515803261728</v>
      </c>
      <c r="AC39" s="386">
        <f t="shared" si="15"/>
        <v>0</v>
      </c>
      <c r="AD39">
        <f t="shared" si="16"/>
        <v>0</v>
      </c>
      <c r="AE39" s="386">
        <f t="shared" si="17"/>
        <v>-5.9671361038354709</v>
      </c>
      <c r="AF39" s="386">
        <f t="shared" si="18"/>
        <v>0</v>
      </c>
      <c r="AG39" s="386">
        <f t="shared" si="19"/>
        <v>0</v>
      </c>
      <c r="AH39" s="386">
        <f t="shared" si="20"/>
        <v>0</v>
      </c>
      <c r="AI39" s="386">
        <f t="shared" si="21"/>
        <v>0</v>
      </c>
      <c r="AJ39" s="386">
        <f t="shared" si="22"/>
        <v>68.484406624776142</v>
      </c>
      <c r="AK39" s="386">
        <f t="shared" si="23"/>
        <v>8.9112165064205957</v>
      </c>
      <c r="AL39" s="386">
        <f t="shared" si="24"/>
        <v>6.4419591558829703</v>
      </c>
      <c r="AM39">
        <f t="shared" si="25"/>
        <v>0</v>
      </c>
      <c r="AN39" s="386">
        <f t="shared" si="26"/>
        <v>-19.627110436228751</v>
      </c>
      <c r="AO39" s="386">
        <f t="shared" si="27"/>
        <v>26.871579860709989</v>
      </c>
      <c r="AP39" s="386">
        <f t="shared" si="28"/>
        <v>1.3719554279999777</v>
      </c>
      <c r="AQ39" s="386">
        <f t="shared" si="29"/>
        <v>3.5310344827586206</v>
      </c>
      <c r="AR39" s="386">
        <f t="shared" si="30"/>
        <v>6.7570695638611467</v>
      </c>
      <c r="AS39" s="386">
        <f t="shared" si="31"/>
        <v>30.849515803261728</v>
      </c>
      <c r="AT39" s="386">
        <f t="shared" si="32"/>
        <v>0</v>
      </c>
      <c r="AU39" s="386">
        <f t="shared" si="33"/>
        <v>0.95039999999999991</v>
      </c>
      <c r="AV39" s="386">
        <f t="shared" si="34"/>
        <v>14.070341852243047</v>
      </c>
      <c r="AW39" s="386">
        <f t="shared" si="35"/>
        <v>0.249</v>
      </c>
      <c r="AX39" s="386">
        <f t="shared" si="36"/>
        <v>0.14400000000000002</v>
      </c>
      <c r="AY39" s="386">
        <f t="shared" si="37"/>
        <v>1.2671999999999999</v>
      </c>
      <c r="AZ39" s="386">
        <f t="shared" si="38"/>
        <v>0.10439999999999998</v>
      </c>
      <c r="BA39" s="386">
        <f t="shared" si="56"/>
        <v>1.4112</v>
      </c>
      <c r="BB39" s="386">
        <f t="shared" si="57"/>
        <v>-19.160784725593668</v>
      </c>
      <c r="BC39">
        <f t="shared" si="39"/>
        <v>480</v>
      </c>
      <c r="BD39" s="604">
        <f t="shared" si="50"/>
        <v>1.0415780256768825</v>
      </c>
      <c r="BE39" s="614">
        <f t="shared" si="40"/>
        <v>-933.83552181143762</v>
      </c>
      <c r="BF39" s="614">
        <f t="shared" si="41"/>
        <v>337.85347819305736</v>
      </c>
      <c r="BG39" s="9"/>
      <c r="BH39" s="4">
        <f t="shared" si="51"/>
        <v>104.15780256768825</v>
      </c>
      <c r="BI39" s="386">
        <f t="shared" si="52"/>
        <v>-18.313326640077591</v>
      </c>
      <c r="BJ39" s="386">
        <f t="shared" si="53"/>
        <v>-17.886776976203077</v>
      </c>
      <c r="BK39" s="386">
        <f t="shared" si="54"/>
        <v>0.31363199999999997</v>
      </c>
      <c r="BL39" s="386">
        <f t="shared" si="55"/>
        <v>14.070341852243047</v>
      </c>
      <c r="BQ39">
        <v>9.9985060000000008</v>
      </c>
      <c r="BR39">
        <v>2.31</v>
      </c>
      <c r="BS39">
        <v>5.1166349999999996</v>
      </c>
      <c r="BT39">
        <v>94.492663502717292</v>
      </c>
      <c r="BU39">
        <v>688.87413060200208</v>
      </c>
    </row>
    <row r="40" spans="1:73" x14ac:dyDescent="0.3">
      <c r="A40" s="23" t="s">
        <v>130</v>
      </c>
      <c r="B40" s="5">
        <f>Qgd_Q1*1000000000</f>
        <v>2.9</v>
      </c>
      <c r="C40" s="482" t="s">
        <v>69</v>
      </c>
      <c r="D40" s="21" t="s">
        <v>131</v>
      </c>
      <c r="G40">
        <v>31</v>
      </c>
      <c r="H40" s="610">
        <f t="shared" si="0"/>
        <v>7.3250000000000002</v>
      </c>
      <c r="I40" s="4" t="str">
        <f t="shared" si="1"/>
        <v>BOOST</v>
      </c>
      <c r="J40">
        <f t="shared" si="43"/>
        <v>2</v>
      </c>
      <c r="K40">
        <f t="shared" si="2"/>
        <v>10</v>
      </c>
      <c r="L40" s="4">
        <f t="shared" si="3"/>
        <v>72.810011376564276</v>
      </c>
      <c r="M40" s="4">
        <f t="shared" si="4"/>
        <v>73.981759973225678</v>
      </c>
      <c r="N40" s="386">
        <f t="shared" si="5"/>
        <v>1</v>
      </c>
      <c r="O40" s="386">
        <f t="shared" si="44"/>
        <v>0.86483154761904768</v>
      </c>
      <c r="P40" s="4">
        <f t="shared" si="6"/>
        <v>2.8209935292627097</v>
      </c>
      <c r="Q40" s="386">
        <f t="shared" si="7"/>
        <v>72.814565326563823</v>
      </c>
      <c r="R40" s="386">
        <f t="shared" si="8"/>
        <v>-18.848083871681446</v>
      </c>
      <c r="S40" s="386">
        <f t="shared" si="45"/>
        <v>0.35061735013794443</v>
      </c>
      <c r="T40" s="386">
        <f t="shared" si="46"/>
        <v>-18.497466521543501</v>
      </c>
      <c r="U40" s="4">
        <f t="shared" si="9"/>
        <v>25.378350205958508</v>
      </c>
      <c r="V40" s="386">
        <f t="shared" si="10"/>
        <v>1.2881213183525486</v>
      </c>
      <c r="W40" s="386">
        <f t="shared" si="47"/>
        <v>1.2881213183525486</v>
      </c>
      <c r="X40" s="386">
        <f t="shared" si="11"/>
        <v>0.81435068675100897</v>
      </c>
      <c r="Y40" s="386">
        <f t="shared" si="12"/>
        <v>1.3263340820236799E-3</v>
      </c>
      <c r="Z40" s="603">
        <f t="shared" si="48"/>
        <v>1.3263340820236799E-3</v>
      </c>
      <c r="AA40" s="386">
        <f t="shared" si="13"/>
        <v>72.814565326563823</v>
      </c>
      <c r="AB40" s="386">
        <f t="shared" si="14"/>
        <v>30.221177265069656</v>
      </c>
      <c r="AC40" s="386">
        <f t="shared" si="15"/>
        <v>0</v>
      </c>
      <c r="AD40">
        <f t="shared" si="16"/>
        <v>0</v>
      </c>
      <c r="AE40" s="386">
        <f t="shared" si="17"/>
        <v>-5.9912304940112389</v>
      </c>
      <c r="AF40" s="386">
        <f t="shared" si="18"/>
        <v>0</v>
      </c>
      <c r="AG40" s="386">
        <f t="shared" si="19"/>
        <v>0</v>
      </c>
      <c r="AH40" s="386">
        <f t="shared" si="20"/>
        <v>0</v>
      </c>
      <c r="AI40" s="386">
        <f t="shared" si="21"/>
        <v>0</v>
      </c>
      <c r="AJ40" s="386">
        <f t="shared" si="22"/>
        <v>67.71486595317235</v>
      </c>
      <c r="AK40" s="386">
        <f t="shared" si="23"/>
        <v>8.7120758350065888</v>
      </c>
      <c r="AL40" s="386">
        <f t="shared" si="24"/>
        <v>6.3760005297135205</v>
      </c>
      <c r="AM40">
        <f t="shared" si="25"/>
        <v>0</v>
      </c>
      <c r="AN40" s="386">
        <f t="shared" si="26"/>
        <v>-20.322963532200205</v>
      </c>
      <c r="AO40" s="386">
        <f t="shared" si="27"/>
        <v>26.77046605198219</v>
      </c>
      <c r="AP40" s="386">
        <f t="shared" si="28"/>
        <v>1.3616499200166288</v>
      </c>
      <c r="AQ40" s="386">
        <f t="shared" si="29"/>
        <v>3.4948805460750854</v>
      </c>
      <c r="AR40" s="386">
        <f t="shared" si="30"/>
        <v>6.6740835259507385</v>
      </c>
      <c r="AS40" s="386">
        <f t="shared" si="31"/>
        <v>30.221177265069656</v>
      </c>
      <c r="AT40" s="386">
        <f t="shared" si="32"/>
        <v>0</v>
      </c>
      <c r="AU40" s="386">
        <f t="shared" si="33"/>
        <v>0.95039999999999991</v>
      </c>
      <c r="AV40" s="386">
        <f t="shared" si="34"/>
        <v>13.7559092131683</v>
      </c>
      <c r="AW40" s="386">
        <f t="shared" si="35"/>
        <v>0.249</v>
      </c>
      <c r="AX40" s="386">
        <f t="shared" si="36"/>
        <v>0.14400000000000002</v>
      </c>
      <c r="AY40" s="386">
        <f t="shared" si="37"/>
        <v>1.2671999999999999</v>
      </c>
      <c r="AZ40" s="386">
        <f t="shared" si="38"/>
        <v>0.10439999999999998</v>
      </c>
      <c r="BA40" s="386">
        <f t="shared" si="56"/>
        <v>1.4112</v>
      </c>
      <c r="BB40" s="386">
        <f t="shared" si="57"/>
        <v>-20.481620156201327</v>
      </c>
      <c r="BC40">
        <f t="shared" si="39"/>
        <v>480</v>
      </c>
      <c r="BD40" s="604">
        <f t="shared" si="50"/>
        <v>1.0445719280329189</v>
      </c>
      <c r="BE40" s="614">
        <f t="shared" si="40"/>
        <v>-968.62817661001031</v>
      </c>
      <c r="BF40" s="614">
        <f t="shared" si="41"/>
        <v>333.70417629753695</v>
      </c>
      <c r="BG40" s="9"/>
      <c r="BH40" s="4">
        <f t="shared" si="51"/>
        <v>104.45719280329189</v>
      </c>
      <c r="BI40" s="386">
        <f t="shared" si="52"/>
        <v>-18.497466521543501</v>
      </c>
      <c r="BJ40" s="386">
        <f t="shared" si="53"/>
        <v>-18.689710500260709</v>
      </c>
      <c r="BK40" s="386">
        <f t="shared" si="54"/>
        <v>0.31363199999999997</v>
      </c>
      <c r="BL40" s="386">
        <f t="shared" si="55"/>
        <v>13.7559092131683</v>
      </c>
      <c r="BQ40">
        <v>9.9984319999999993</v>
      </c>
      <c r="BR40">
        <v>2.7269999999999999</v>
      </c>
      <c r="BS40">
        <v>5.115812</v>
      </c>
      <c r="BT40">
        <v>94.558770424517263</v>
      </c>
      <c r="BU40">
        <v>802.77694931200062</v>
      </c>
    </row>
    <row r="41" spans="1:73" x14ac:dyDescent="0.3">
      <c r="A41" s="23" t="s">
        <v>148</v>
      </c>
      <c r="B41" s="5">
        <f>Qgs_Q1*1000000000</f>
        <v>3.3</v>
      </c>
      <c r="C41" s="482" t="s">
        <v>69</v>
      </c>
      <c r="D41" s="21"/>
      <c r="G41">
        <v>32</v>
      </c>
      <c r="H41" s="610">
        <f t="shared" si="0"/>
        <v>7.4</v>
      </c>
      <c r="I41" s="4" t="str">
        <f t="shared" si="1"/>
        <v>BOOST</v>
      </c>
      <c r="J41">
        <f t="shared" si="43"/>
        <v>2</v>
      </c>
      <c r="K41">
        <f t="shared" si="2"/>
        <v>10</v>
      </c>
      <c r="L41" s="4">
        <f t="shared" si="3"/>
        <v>72.072072072072075</v>
      </c>
      <c r="M41" s="4">
        <f t="shared" si="4"/>
        <v>73.037730652712838</v>
      </c>
      <c r="N41" s="386">
        <f t="shared" si="5"/>
        <v>1</v>
      </c>
      <c r="O41" s="386">
        <f t="shared" si="44"/>
        <v>0.86308446455505294</v>
      </c>
      <c r="P41" s="4">
        <f t="shared" si="6"/>
        <v>2.851815170442622</v>
      </c>
      <c r="Q41" s="386">
        <f t="shared" si="7"/>
        <v>72.076773722486237</v>
      </c>
      <c r="R41" s="386">
        <f t="shared" si="8"/>
        <v>-19.047127180319091</v>
      </c>
      <c r="S41" s="386">
        <f t="shared" si="45"/>
        <v>0.35950640789168614</v>
      </c>
      <c r="T41" s="386">
        <f t="shared" si="46"/>
        <v>-18.687620772427405</v>
      </c>
      <c r="U41" s="4">
        <f t="shared" si="9"/>
        <v>25.192252971940036</v>
      </c>
      <c r="V41" s="386">
        <f t="shared" si="10"/>
        <v>1.2692992196044433</v>
      </c>
      <c r="W41" s="386">
        <f t="shared" si="47"/>
        <v>1.2692992196044433</v>
      </c>
      <c r="X41" s="386">
        <f t="shared" si="11"/>
        <v>0.82324812816705317</v>
      </c>
      <c r="Y41" s="386">
        <f t="shared" si="12"/>
        <v>1.3554749610611137E-3</v>
      </c>
      <c r="Z41" s="603">
        <f t="shared" si="48"/>
        <v>1.3554749610611137E-3</v>
      </c>
      <c r="AA41" s="386">
        <f t="shared" si="13"/>
        <v>72.076773722486237</v>
      </c>
      <c r="AB41" s="386">
        <f t="shared" si="14"/>
        <v>29.61184946838215</v>
      </c>
      <c r="AC41" s="386">
        <f t="shared" si="15"/>
        <v>0</v>
      </c>
      <c r="AD41">
        <f t="shared" si="16"/>
        <v>0</v>
      </c>
      <c r="AE41" s="386">
        <f t="shared" si="17"/>
        <v>-6.0157708802874197</v>
      </c>
      <c r="AF41" s="386">
        <f t="shared" si="18"/>
        <v>0</v>
      </c>
      <c r="AG41" s="386">
        <f t="shared" si="19"/>
        <v>0</v>
      </c>
      <c r="AH41" s="386">
        <f t="shared" si="20"/>
        <v>0</v>
      </c>
      <c r="AI41" s="386">
        <f t="shared" si="21"/>
        <v>0</v>
      </c>
      <c r="AJ41" s="386">
        <f t="shared" si="22"/>
        <v>66.961008872935196</v>
      </c>
      <c r="AK41" s="386">
        <f t="shared" si="23"/>
        <v>8.5191757476344829</v>
      </c>
      <c r="AL41" s="386">
        <f t="shared" si="24"/>
        <v>6.311378902723181</v>
      </c>
      <c r="AM41">
        <f t="shared" si="25"/>
        <v>0</v>
      </c>
      <c r="AN41" s="386">
        <f t="shared" si="26"/>
        <v>-21.071062819648123</v>
      </c>
      <c r="AO41" s="386">
        <f t="shared" si="27"/>
        <v>26.669919402974912</v>
      </c>
      <c r="AP41" s="386">
        <f t="shared" si="28"/>
        <v>1.3514407418262377</v>
      </c>
      <c r="AQ41" s="386">
        <f t="shared" si="29"/>
        <v>3.4594594594594597</v>
      </c>
      <c r="AR41" s="386">
        <f t="shared" si="30"/>
        <v>6.5928766135673635</v>
      </c>
      <c r="AS41" s="386">
        <f t="shared" si="31"/>
        <v>29.61184946838215</v>
      </c>
      <c r="AT41" s="386">
        <f t="shared" si="32"/>
        <v>0</v>
      </c>
      <c r="AU41" s="386">
        <f t="shared" si="33"/>
        <v>0.95039999999999991</v>
      </c>
      <c r="AV41" s="386">
        <f t="shared" si="34"/>
        <v>13.451330127843919</v>
      </c>
      <c r="AW41" s="386">
        <f t="shared" si="35"/>
        <v>0.249</v>
      </c>
      <c r="AX41" s="386">
        <f t="shared" si="36"/>
        <v>0.14400000000000002</v>
      </c>
      <c r="AY41" s="386">
        <f t="shared" si="37"/>
        <v>1.2671999999999999</v>
      </c>
      <c r="AZ41" s="386">
        <f t="shared" si="38"/>
        <v>0.10439999999999998</v>
      </c>
      <c r="BA41" s="386">
        <f t="shared" si="56"/>
        <v>1.4112</v>
      </c>
      <c r="BB41" s="386">
        <f t="shared" si="57"/>
        <v>-21.848993036386158</v>
      </c>
      <c r="BC41">
        <f t="shared" si="39"/>
        <v>480</v>
      </c>
      <c r="BD41" s="604">
        <f t="shared" si="50"/>
        <v>1.0476895012873373</v>
      </c>
      <c r="BE41" s="614">
        <f t="shared" si="40"/>
        <v>-1006.0331409824063</v>
      </c>
      <c r="BF41" s="614">
        <f t="shared" si="41"/>
        <v>329.6438306783682</v>
      </c>
      <c r="BG41" s="9"/>
      <c r="BH41" s="4">
        <f t="shared" si="51"/>
        <v>104.76895012873374</v>
      </c>
      <c r="BI41" s="386">
        <f t="shared" si="52"/>
        <v>-18.687620772427405</v>
      </c>
      <c r="BJ41" s="386">
        <f t="shared" si="53"/>
        <v>-19.543557086368182</v>
      </c>
      <c r="BK41" s="386">
        <f t="shared" si="54"/>
        <v>0.31363199999999997</v>
      </c>
      <c r="BL41" s="386">
        <f t="shared" si="55"/>
        <v>13.451330127843919</v>
      </c>
      <c r="BQ41">
        <v>9.9985180000000007</v>
      </c>
      <c r="BR41">
        <v>3.1859999999999999</v>
      </c>
      <c r="BS41">
        <v>5.1148889999999998</v>
      </c>
      <c r="BT41">
        <v>94.58411932633652</v>
      </c>
      <c r="BU41">
        <v>933.10990806000302</v>
      </c>
    </row>
    <row r="42" spans="1:73" x14ac:dyDescent="0.3">
      <c r="A42" s="23" t="s">
        <v>94</v>
      </c>
      <c r="B42" s="5">
        <f>Rgate1</f>
        <v>1.5</v>
      </c>
      <c r="C42" s="486" t="s">
        <v>120</v>
      </c>
      <c r="D42" s="21" t="s">
        <v>104</v>
      </c>
      <c r="G42">
        <v>33</v>
      </c>
      <c r="H42" s="610">
        <f t="shared" si="0"/>
        <v>7.4749999999999996</v>
      </c>
      <c r="I42" s="4" t="str">
        <f t="shared" si="1"/>
        <v>BOOST</v>
      </c>
      <c r="J42">
        <f t="shared" si="43"/>
        <v>2</v>
      </c>
      <c r="K42">
        <f t="shared" si="2"/>
        <v>10</v>
      </c>
      <c r="L42" s="4">
        <f t="shared" si="3"/>
        <v>71.348940914158305</v>
      </c>
      <c r="M42" s="4">
        <f t="shared" si="4"/>
        <v>72.119425083810398</v>
      </c>
      <c r="N42" s="386">
        <f t="shared" si="5"/>
        <v>1</v>
      </c>
      <c r="O42" s="386">
        <f t="shared" ref="O42:O73" si="58">CHOOSE(J42,0,(Vout+(Rdson3+Rdcr)*L42-H42)/(Vout+(Rdson3-Rdson4-Rs)*L42),IF(H42&gt;Vout,D_min_boost_exitBB_to_buck, (Vout-H42*D_max_buck_BB)/Vout))</f>
        <v>0.86134110209033221</v>
      </c>
      <c r="P42" s="4">
        <f t="shared" si="6"/>
        <v>2.8824247529623648</v>
      </c>
      <c r="Q42" s="386">
        <f t="shared" si="7"/>
        <v>71.353792708891291</v>
      </c>
      <c r="R42" s="386">
        <f t="shared" si="8"/>
        <v>-19.252509278739854</v>
      </c>
      <c r="S42" s="386">
        <f t="shared" si="45"/>
        <v>0.36845917101272779</v>
      </c>
      <c r="T42" s="386">
        <f t="shared" si="46"/>
        <v>-18.884050107727127</v>
      </c>
      <c r="U42" s="4">
        <f t="shared" si="9"/>
        <v>25.009901609321297</v>
      </c>
      <c r="V42" s="386">
        <f t="shared" si="10"/>
        <v>1.250990357015864</v>
      </c>
      <c r="W42" s="386">
        <f t="shared" si="47"/>
        <v>1.250990357015864</v>
      </c>
      <c r="X42" s="386">
        <f t="shared" si="11"/>
        <v>0.83208435352083099</v>
      </c>
      <c r="Y42" s="386">
        <f t="shared" si="12"/>
        <v>1.3847287427483585E-3</v>
      </c>
      <c r="Z42" s="603">
        <f t="shared" si="48"/>
        <v>1.3847287427483585E-3</v>
      </c>
      <c r="AA42" s="386">
        <f t="shared" si="13"/>
        <v>71.353792708891291</v>
      </c>
      <c r="AB42" s="386">
        <f t="shared" si="14"/>
        <v>29.020773283477542</v>
      </c>
      <c r="AC42" s="386">
        <f t="shared" si="15"/>
        <v>0</v>
      </c>
      <c r="AD42">
        <f t="shared" si="16"/>
        <v>0</v>
      </c>
      <c r="AE42" s="386">
        <f t="shared" si="17"/>
        <v>-6.0407658281840586</v>
      </c>
      <c r="AF42" s="386">
        <f t="shared" si="18"/>
        <v>0</v>
      </c>
      <c r="AG42" s="386">
        <f t="shared" si="19"/>
        <v>0</v>
      </c>
      <c r="AH42" s="386">
        <f t="shared" si="20"/>
        <v>0</v>
      </c>
      <c r="AI42" s="386">
        <f t="shared" si="21"/>
        <v>0</v>
      </c>
      <c r="AJ42" s="386">
        <f t="shared" si="22"/>
        <v>66.222359137511717</v>
      </c>
      <c r="AK42" s="386">
        <f t="shared" si="23"/>
        <v>8.3322616145014052</v>
      </c>
      <c r="AL42" s="386">
        <f t="shared" si="24"/>
        <v>6.2480540307895032</v>
      </c>
      <c r="AM42">
        <f t="shared" si="25"/>
        <v>0</v>
      </c>
      <c r="AN42" s="386">
        <f t="shared" si="26"/>
        <v>-21.87750742894854</v>
      </c>
      <c r="AO42" s="386">
        <f t="shared" si="27"/>
        <v>26.569962066323068</v>
      </c>
      <c r="AP42" s="386">
        <f t="shared" si="28"/>
        <v>1.3413294799911089</v>
      </c>
      <c r="AQ42" s="386">
        <f t="shared" si="29"/>
        <v>3.4247491638795986</v>
      </c>
      <c r="AR42" s="386">
        <f t="shared" si="30"/>
        <v>6.5134023654296218</v>
      </c>
      <c r="AS42" s="386">
        <f t="shared" si="31"/>
        <v>29.020773283477542</v>
      </c>
      <c r="AT42" s="386">
        <f t="shared" si="32"/>
        <v>0</v>
      </c>
      <c r="AU42" s="386">
        <f t="shared" si="33"/>
        <v>0.95039999999999991</v>
      </c>
      <c r="AV42" s="386">
        <f t="shared" si="34"/>
        <v>13.156202549212745</v>
      </c>
      <c r="AW42" s="386">
        <f t="shared" si="35"/>
        <v>0.249</v>
      </c>
      <c r="AX42" s="386">
        <f t="shared" si="36"/>
        <v>0.14400000000000002</v>
      </c>
      <c r="AY42" s="386">
        <f t="shared" si="37"/>
        <v>1.2671999999999999</v>
      </c>
      <c r="AZ42" s="386">
        <f t="shared" si="38"/>
        <v>0.10439999999999998</v>
      </c>
      <c r="BA42" s="386">
        <f t="shared" si="56"/>
        <v>1.4112</v>
      </c>
      <c r="BB42" s="386">
        <f t="shared" si="57"/>
        <v>-23.269743364458744</v>
      </c>
      <c r="BC42">
        <f t="shared" si="39"/>
        <v>480</v>
      </c>
      <c r="BD42" s="604">
        <f t="shared" si="50"/>
        <v>1.0509485479150715</v>
      </c>
      <c r="BE42" s="614">
        <f t="shared" si="40"/>
        <v>-1046.3553714474272</v>
      </c>
      <c r="BF42" s="614">
        <f t="shared" si="41"/>
        <v>325.6701182714811</v>
      </c>
      <c r="BG42" s="9"/>
      <c r="BH42" s="4">
        <f t="shared" si="51"/>
        <v>105.09485479150715</v>
      </c>
      <c r="BI42" s="386">
        <f t="shared" si="52"/>
        <v>-18.884050107727127</v>
      </c>
      <c r="BJ42" s="386">
        <f t="shared" si="53"/>
        <v>-20.454470891702979</v>
      </c>
      <c r="BK42" s="386">
        <f t="shared" si="54"/>
        <v>0.31363199999999997</v>
      </c>
      <c r="BL42" s="386">
        <f t="shared" si="55"/>
        <v>13.156202549212745</v>
      </c>
      <c r="BQ42">
        <v>9.9984190000000002</v>
      </c>
      <c r="BR42">
        <v>3.6920000000000002</v>
      </c>
      <c r="BS42">
        <v>5.1137540000000001</v>
      </c>
      <c r="BT42">
        <v>94.441363374789603</v>
      </c>
      <c r="BU42">
        <v>1111.2391205219994</v>
      </c>
    </row>
    <row r="43" spans="1:73" x14ac:dyDescent="0.3">
      <c r="A43" s="23" t="s">
        <v>73</v>
      </c>
      <c r="B43" s="5">
        <f>Gfs_Q1</f>
        <v>60</v>
      </c>
      <c r="C43" s="482" t="s">
        <v>70</v>
      </c>
      <c r="D43" s="21" t="s">
        <v>105</v>
      </c>
      <c r="G43">
        <v>34</v>
      </c>
      <c r="H43" s="610">
        <f t="shared" si="0"/>
        <v>7.5500000000000007</v>
      </c>
      <c r="I43" s="4" t="str">
        <f t="shared" si="1"/>
        <v>BOOST</v>
      </c>
      <c r="J43">
        <f t="shared" si="43"/>
        <v>2</v>
      </c>
      <c r="K43">
        <f t="shared" si="2"/>
        <v>10</v>
      </c>
      <c r="L43" s="4">
        <f t="shared" si="3"/>
        <v>70.640176600441492</v>
      </c>
      <c r="M43" s="4">
        <f t="shared" si="4"/>
        <v>71.22575550693405</v>
      </c>
      <c r="N43" s="386">
        <f t="shared" si="5"/>
        <v>1</v>
      </c>
      <c r="O43" s="386">
        <f t="shared" si="58"/>
        <v>0.85960134885439765</v>
      </c>
      <c r="P43" s="4">
        <f t="shared" si="6"/>
        <v>2.9128251161065557</v>
      </c>
      <c r="Q43" s="386">
        <f t="shared" si="7"/>
        <v>70.64518098205977</v>
      </c>
      <c r="R43" s="386">
        <f t="shared" si="8"/>
        <v>-19.464504951292422</v>
      </c>
      <c r="S43" s="386">
        <f t="shared" si="45"/>
        <v>0.37747430142371186</v>
      </c>
      <c r="T43" s="386">
        <f t="shared" si="46"/>
        <v>-19.087030649868712</v>
      </c>
      <c r="U43" s="4">
        <f t="shared" si="9"/>
        <v>24.831159793329054</v>
      </c>
      <c r="V43" s="386">
        <f t="shared" si="10"/>
        <v>1.2331729933636828</v>
      </c>
      <c r="W43" s="386">
        <f t="shared" si="47"/>
        <v>1.2331729933636828</v>
      </c>
      <c r="X43" s="386">
        <f t="shared" si="11"/>
        <v>0.84086018244321148</v>
      </c>
      <c r="Y43" s="386">
        <f t="shared" si="12"/>
        <v>1.4140916928368618E-3</v>
      </c>
      <c r="Z43" s="603">
        <f t="shared" si="48"/>
        <v>1.4140916928368618E-3</v>
      </c>
      <c r="AA43" s="386">
        <f t="shared" si="13"/>
        <v>70.64518098205977</v>
      </c>
      <c r="AB43" s="386">
        <f t="shared" si="14"/>
        <v>28.447227097131481</v>
      </c>
      <c r="AC43" s="386">
        <f t="shared" si="15"/>
        <v>0</v>
      </c>
      <c r="AD43">
        <f t="shared" si="16"/>
        <v>0</v>
      </c>
      <c r="AE43" s="386">
        <f t="shared" si="17"/>
        <v>-6.0662241593189705</v>
      </c>
      <c r="AF43" s="386">
        <f t="shared" si="18"/>
        <v>0</v>
      </c>
      <c r="AG43" s="386">
        <f t="shared" si="19"/>
        <v>0</v>
      </c>
      <c r="AH43" s="386">
        <f t="shared" si="20"/>
        <v>0</v>
      </c>
      <c r="AI43" s="386">
        <f t="shared" si="21"/>
        <v>0</v>
      </c>
      <c r="AJ43" s="386">
        <f t="shared" si="22"/>
        <v>65.498459582611687</v>
      </c>
      <c r="AK43" s="386">
        <f t="shared" si="23"/>
        <v>8.1510915946205316</v>
      </c>
      <c r="AL43" s="386">
        <f t="shared" si="24"/>
        <v>6.1859872688942428</v>
      </c>
      <c r="AM43">
        <f t="shared" si="25"/>
        <v>0</v>
      </c>
      <c r="AN43" s="386">
        <f t="shared" si="26"/>
        <v>-22.749384511689048</v>
      </c>
      <c r="AO43" s="386">
        <f t="shared" si="27"/>
        <v>26.47061367427969</v>
      </c>
      <c r="AP43" s="386">
        <f t="shared" si="28"/>
        <v>1.3313174377566295</v>
      </c>
      <c r="AQ43" s="386">
        <f t="shared" si="29"/>
        <v>3.3907284768211916</v>
      </c>
      <c r="AR43" s="386">
        <f t="shared" si="30"/>
        <v>6.4356152848644488</v>
      </c>
      <c r="AS43" s="386">
        <f t="shared" si="31"/>
        <v>28.447227097131481</v>
      </c>
      <c r="AT43" s="386">
        <f t="shared" si="32"/>
        <v>0</v>
      </c>
      <c r="AU43" s="386">
        <f t="shared" si="33"/>
        <v>0.95039999999999991</v>
      </c>
      <c r="AV43" s="386">
        <f t="shared" si="34"/>
        <v>12.87014462308505</v>
      </c>
      <c r="AW43" s="386">
        <f t="shared" si="35"/>
        <v>0.249</v>
      </c>
      <c r="AX43" s="386">
        <f t="shared" si="36"/>
        <v>0.14400000000000002</v>
      </c>
      <c r="AY43" s="386">
        <f t="shared" si="37"/>
        <v>1.2671999999999999</v>
      </c>
      <c r="AZ43" s="386">
        <f t="shared" si="38"/>
        <v>0.10439999999999998</v>
      </c>
      <c r="BA43" s="386">
        <f t="shared" si="56"/>
        <v>1.4112</v>
      </c>
      <c r="BB43" s="386">
        <f t="shared" si="57"/>
        <v>-24.751692327870714</v>
      </c>
      <c r="BC43">
        <f t="shared" si="39"/>
        <v>480</v>
      </c>
      <c r="BD43" s="604">
        <f t="shared" si="50"/>
        <v>1.054369652584622</v>
      </c>
      <c r="BE43" s="614">
        <f t="shared" si="40"/>
        <v>-1089.9492255844525</v>
      </c>
      <c r="BF43" s="614">
        <f t="shared" si="41"/>
        <v>321.78076424322245</v>
      </c>
      <c r="BG43" s="9"/>
      <c r="BH43" s="4">
        <f t="shared" si="51"/>
        <v>105.43696525846219</v>
      </c>
      <c r="BI43" s="386">
        <f t="shared" si="52"/>
        <v>-19.087030649868712</v>
      </c>
      <c r="BJ43" s="386">
        <f t="shared" si="53"/>
        <v>-21.429593386143569</v>
      </c>
      <c r="BK43" s="386">
        <f t="shared" si="54"/>
        <v>0.31363199999999997</v>
      </c>
      <c r="BL43" s="386">
        <f t="shared" si="55"/>
        <v>12.87014462308505</v>
      </c>
      <c r="BQ43">
        <v>9.998246</v>
      </c>
      <c r="BR43">
        <v>4.2430000000000003</v>
      </c>
      <c r="BS43">
        <v>5.1120590000000004</v>
      </c>
      <c r="BT43">
        <v>94.267178615859891</v>
      </c>
      <c r="BU43">
        <v>1319.0970775599953</v>
      </c>
    </row>
    <row r="44" spans="1:73" x14ac:dyDescent="0.3">
      <c r="A44" s="23" t="s">
        <v>96</v>
      </c>
      <c r="B44" s="5">
        <f>Vth_Q1</f>
        <v>4</v>
      </c>
      <c r="C44" s="482" t="s">
        <v>0</v>
      </c>
      <c r="D44" s="21" t="s">
        <v>106</v>
      </c>
      <c r="G44">
        <v>35</v>
      </c>
      <c r="H44" s="610">
        <f t="shared" si="0"/>
        <v>7.625</v>
      </c>
      <c r="I44" s="4" t="str">
        <f t="shared" si="1"/>
        <v>BOOST</v>
      </c>
      <c r="J44">
        <f t="shared" si="43"/>
        <v>2</v>
      </c>
      <c r="K44">
        <f t="shared" si="2"/>
        <v>10</v>
      </c>
      <c r="L44" s="4">
        <f t="shared" si="3"/>
        <v>69.945355191256837</v>
      </c>
      <c r="M44" s="4">
        <f t="shared" si="4"/>
        <v>70.355696248355812</v>
      </c>
      <c r="N44" s="386">
        <f t="shared" si="5"/>
        <v>1</v>
      </c>
      <c r="O44" s="386">
        <f t="shared" si="58"/>
        <v>0.85786509787778986</v>
      </c>
      <c r="P44" s="4">
        <f t="shared" si="6"/>
        <v>2.9430189856004754</v>
      </c>
      <c r="Q44" s="386">
        <f t="shared" si="7"/>
        <v>69.950514600634264</v>
      </c>
      <c r="R44" s="386">
        <f t="shared" si="8"/>
        <v>-19.683405554289141</v>
      </c>
      <c r="S44" s="386">
        <f t="shared" si="45"/>
        <v>0.38655047098216344</v>
      </c>
      <c r="T44" s="386">
        <f t="shared" si="46"/>
        <v>-19.296855083306976</v>
      </c>
      <c r="U44" s="4">
        <f t="shared" si="9"/>
        <v>24.655898205184013</v>
      </c>
      <c r="V44" s="386">
        <f t="shared" si="10"/>
        <v>1.2158266326087923</v>
      </c>
      <c r="W44" s="386">
        <f t="shared" si="47"/>
        <v>1.2158266326087923</v>
      </c>
      <c r="X44" s="386">
        <f t="shared" si="11"/>
        <v>0.84957640178330696</v>
      </c>
      <c r="Y44" s="386">
        <f t="shared" si="12"/>
        <v>1.4435601249341422E-3</v>
      </c>
      <c r="Z44" s="603">
        <f t="shared" si="48"/>
        <v>1.4435601249341422E-3</v>
      </c>
      <c r="AA44" s="386">
        <f t="shared" si="13"/>
        <v>69.950514600634264</v>
      </c>
      <c r="AB44" s="386">
        <f t="shared" si="14"/>
        <v>27.89052460949322</v>
      </c>
      <c r="AC44" s="386">
        <f t="shared" si="15"/>
        <v>0</v>
      </c>
      <c r="AD44">
        <f t="shared" si="16"/>
        <v>0</v>
      </c>
      <c r="AE44" s="386">
        <f t="shared" si="17"/>
        <v>-6.0921549604691858</v>
      </c>
      <c r="AF44" s="386">
        <f t="shared" si="18"/>
        <v>0</v>
      </c>
      <c r="AG44" s="386">
        <f t="shared" si="19"/>
        <v>0</v>
      </c>
      <c r="AH44" s="386">
        <f t="shared" si="20"/>
        <v>0</v>
      </c>
      <c r="AI44" s="386">
        <f t="shared" si="21"/>
        <v>0</v>
      </c>
      <c r="AJ44" s="386">
        <f t="shared" si="22"/>
        <v>64.788871179929046</v>
      </c>
      <c r="AK44" s="386">
        <f t="shared" si="23"/>
        <v>7.9754358746619376</v>
      </c>
      <c r="AL44" s="386">
        <f t="shared" si="24"/>
        <v>6.1251414924788907</v>
      </c>
      <c r="AM44">
        <f t="shared" si="25"/>
        <v>0</v>
      </c>
      <c r="AN44" s="386">
        <f t="shared" si="26"/>
        <v>-23.694977746315747</v>
      </c>
      <c r="AO44" s="386">
        <f t="shared" si="27"/>
        <v>26.371891553775725</v>
      </c>
      <c r="AP44" s="386">
        <f t="shared" si="28"/>
        <v>1.3214056618358041</v>
      </c>
      <c r="AQ44" s="386">
        <f t="shared" si="29"/>
        <v>3.3573770491803283</v>
      </c>
      <c r="AR44" s="386">
        <f t="shared" si="30"/>
        <v>6.3594708751591789</v>
      </c>
      <c r="AS44" s="386">
        <f t="shared" si="31"/>
        <v>27.89052460949322</v>
      </c>
      <c r="AT44" s="386">
        <f t="shared" si="32"/>
        <v>0</v>
      </c>
      <c r="AU44" s="386">
        <f t="shared" si="33"/>
        <v>0.95039999999999991</v>
      </c>
      <c r="AV44" s="386">
        <f t="shared" si="34"/>
        <v>12.592793486308322</v>
      </c>
      <c r="AW44" s="386">
        <f t="shared" si="35"/>
        <v>0.249</v>
      </c>
      <c r="AX44" s="386">
        <f t="shared" si="36"/>
        <v>0.14400000000000002</v>
      </c>
      <c r="AY44" s="386">
        <f t="shared" si="37"/>
        <v>1.2671999999999999</v>
      </c>
      <c r="AZ44" s="386">
        <f t="shared" si="38"/>
        <v>0.10439999999999998</v>
      </c>
      <c r="BA44" s="386">
        <f t="shared" si="56"/>
        <v>1.4112</v>
      </c>
      <c r="BB44" s="386">
        <f t="shared" si="57"/>
        <v>-26.303853235890688</v>
      </c>
      <c r="BC44">
        <f t="shared" si="39"/>
        <v>480</v>
      </c>
      <c r="BD44" s="604">
        <f t="shared" si="50"/>
        <v>1.0579768054533796</v>
      </c>
      <c r="BE44" s="614">
        <f t="shared" si="40"/>
        <v>-1137.2288873157875</v>
      </c>
      <c r="BF44" s="614">
        <f t="shared" si="41"/>
        <v>317.97354375795896</v>
      </c>
      <c r="BG44" s="9"/>
      <c r="BH44" s="4">
        <f t="shared" si="51"/>
        <v>105.79768054533795</v>
      </c>
      <c r="BI44" s="386">
        <f t="shared" si="52"/>
        <v>-19.296855083306976</v>
      </c>
      <c r="BJ44" s="386">
        <f t="shared" si="53"/>
        <v>-22.477261831625754</v>
      </c>
      <c r="BK44" s="386">
        <f t="shared" si="54"/>
        <v>0.31363199999999997</v>
      </c>
      <c r="BL44" s="386">
        <f t="shared" si="55"/>
        <v>12.592793486308322</v>
      </c>
      <c r="BQ44">
        <v>9.9981469999999995</v>
      </c>
      <c r="BR44">
        <v>4.8490000000000002</v>
      </c>
      <c r="BS44">
        <v>5.1107740000000002</v>
      </c>
      <c r="BT44">
        <v>93.953815994681278</v>
      </c>
      <c r="BU44">
        <v>1594.7983209009985</v>
      </c>
    </row>
    <row r="45" spans="1:73" x14ac:dyDescent="0.3">
      <c r="A45" s="28" t="s">
        <v>147</v>
      </c>
      <c r="B45" s="489">
        <f>Vsp_Q1</f>
        <v>4.166666666666667</v>
      </c>
      <c r="C45" s="487" t="s">
        <v>0</v>
      </c>
      <c r="G45">
        <v>36</v>
      </c>
      <c r="H45" s="610">
        <f t="shared" si="0"/>
        <v>7.6999999999999993</v>
      </c>
      <c r="I45" s="4" t="str">
        <f t="shared" si="1"/>
        <v>BOOST</v>
      </c>
      <c r="J45">
        <f t="shared" si="43"/>
        <v>2</v>
      </c>
      <c r="K45">
        <f t="shared" si="2"/>
        <v>10</v>
      </c>
      <c r="L45" s="4">
        <f t="shared" si="3"/>
        <v>69.264069264069263</v>
      </c>
      <c r="M45" s="4">
        <f t="shared" si="4"/>
        <v>69.508279292325142</v>
      </c>
      <c r="N45" s="386">
        <f t="shared" si="5"/>
        <v>1</v>
      </c>
      <c r="O45" s="386">
        <f t="shared" si="58"/>
        <v>0.85613224637681162</v>
      </c>
      <c r="P45" s="4">
        <f t="shared" si="6"/>
        <v>2.9730089792301584</v>
      </c>
      <c r="Q45" s="386">
        <f t="shared" si="7"/>
        <v>69.269386140033021</v>
      </c>
      <c r="R45" s="386">
        <f t="shared" si="8"/>
        <v>-19.909520275554542</v>
      </c>
      <c r="S45" s="386">
        <f t="shared" si="45"/>
        <v>0.39568636102055676</v>
      </c>
      <c r="T45" s="386">
        <f t="shared" si="46"/>
        <v>-19.513833914533986</v>
      </c>
      <c r="U45" s="4">
        <f t="shared" si="9"/>
        <v>24.483994071279355</v>
      </c>
      <c r="V45" s="386">
        <f t="shared" si="10"/>
        <v>1.1989319313648852</v>
      </c>
      <c r="W45" s="386">
        <f t="shared" si="47"/>
        <v>1.1989319313648852</v>
      </c>
      <c r="X45" s="386">
        <f t="shared" si="11"/>
        <v>0.85823376723085332</v>
      </c>
      <c r="Y45" s="386">
        <f t="shared" si="12"/>
        <v>1.4731303984305251E-3</v>
      </c>
      <c r="Z45" s="603">
        <f t="shared" si="48"/>
        <v>1.4731303984305251E-3</v>
      </c>
      <c r="AA45" s="386">
        <f t="shared" si="13"/>
        <v>69.269386140033021</v>
      </c>
      <c r="AB45" s="386">
        <f t="shared" si="14"/>
        <v>27.350012780436895</v>
      </c>
      <c r="AC45" s="386">
        <f t="shared" si="15"/>
        <v>0</v>
      </c>
      <c r="AD45">
        <f t="shared" si="16"/>
        <v>0</v>
      </c>
      <c r="AE45" s="386">
        <f t="shared" si="17"/>
        <v>-6.1185675930298649</v>
      </c>
      <c r="AF45" s="386">
        <f t="shared" si="18"/>
        <v>0</v>
      </c>
      <c r="AG45" s="386">
        <f t="shared" si="19"/>
        <v>0</v>
      </c>
      <c r="AH45" s="386">
        <f t="shared" si="20"/>
        <v>0</v>
      </c>
      <c r="AI45" s="386">
        <f t="shared" si="21"/>
        <v>0</v>
      </c>
      <c r="AJ45" s="386">
        <f t="shared" si="22"/>
        <v>64.093172146616212</v>
      </c>
      <c r="AK45" s="386">
        <f t="shared" si="23"/>
        <v>7.8050759600499813</v>
      </c>
      <c r="AL45" s="386">
        <f t="shared" si="24"/>
        <v>6.0654810233963037</v>
      </c>
      <c r="AM45">
        <f t="shared" si="25"/>
        <v>0</v>
      </c>
      <c r="AN45" s="386">
        <f t="shared" si="26"/>
        <v>-24.724030972763995</v>
      </c>
      <c r="AO45" s="386">
        <f t="shared" si="27"/>
        <v>26.273810922689137</v>
      </c>
      <c r="AP45" s="386">
        <f t="shared" si="28"/>
        <v>1.3115949667623161</v>
      </c>
      <c r="AQ45" s="386">
        <f t="shared" si="29"/>
        <v>3.3246753246753249</v>
      </c>
      <c r="AR45" s="386">
        <f t="shared" si="30"/>
        <v>6.2849256652379095</v>
      </c>
      <c r="AS45" s="386">
        <f t="shared" si="31"/>
        <v>27.350012780436895</v>
      </c>
      <c r="AT45" s="386">
        <f t="shared" si="32"/>
        <v>0</v>
      </c>
      <c r="AU45" s="386">
        <f t="shared" si="33"/>
        <v>0.95039999999999991</v>
      </c>
      <c r="AV45" s="386">
        <f t="shared" si="34"/>
        <v>12.323804147447339</v>
      </c>
      <c r="AW45" s="386">
        <f t="shared" si="35"/>
        <v>0.249</v>
      </c>
      <c r="AX45" s="386">
        <f t="shared" si="36"/>
        <v>0.14400000000000002</v>
      </c>
      <c r="AY45" s="386">
        <f t="shared" si="37"/>
        <v>1.2671999999999999</v>
      </c>
      <c r="AZ45" s="386">
        <f t="shared" si="38"/>
        <v>0.10439999999999998</v>
      </c>
      <c r="BA45" s="386">
        <f t="shared" si="56"/>
        <v>1.4112</v>
      </c>
      <c r="BB45" s="386">
        <f t="shared" si="57"/>
        <v>-27.936697605879285</v>
      </c>
      <c r="BC45">
        <f t="shared" si="39"/>
        <v>480</v>
      </c>
      <c r="BD45" s="604">
        <f t="shared" si="50"/>
        <v>1.0617981983008284</v>
      </c>
      <c r="BE45" s="614">
        <f t="shared" si="40"/>
        <v>-1188.6815486381997</v>
      </c>
      <c r="BF45" s="614">
        <f t="shared" si="41"/>
        <v>314.24628326189548</v>
      </c>
      <c r="BG45" s="9"/>
      <c r="BH45" s="4">
        <f t="shared" si="51"/>
        <v>106.17981983008285</v>
      </c>
      <c r="BI45" s="386">
        <f t="shared" si="52"/>
        <v>-19.513833914533986</v>
      </c>
      <c r="BJ45" s="386">
        <f t="shared" si="53"/>
        <v>-23.607272900555952</v>
      </c>
      <c r="BK45" s="386">
        <f t="shared" si="54"/>
        <v>0.31363199999999997</v>
      </c>
      <c r="BL45" s="386">
        <f t="shared" si="55"/>
        <v>12.323804147447339</v>
      </c>
      <c r="BQ45">
        <v>9.9979859999999992</v>
      </c>
      <c r="BR45">
        <v>5.4960000000000004</v>
      </c>
      <c r="BS45">
        <v>5.1097890000000001</v>
      </c>
      <c r="BT45">
        <v>93.599771362833366</v>
      </c>
      <c r="BU45">
        <v>1920.3056923499939</v>
      </c>
    </row>
    <row r="46" spans="1:73" x14ac:dyDescent="0.3">
      <c r="A46" s="77" t="s">
        <v>239</v>
      </c>
      <c r="B46" s="5">
        <f>Vsd_Q1</f>
        <v>0.8</v>
      </c>
      <c r="C46" s="487" t="s">
        <v>0</v>
      </c>
      <c r="G46">
        <v>37</v>
      </c>
      <c r="H46" s="610">
        <f t="shared" si="0"/>
        <v>7.7750000000000004</v>
      </c>
      <c r="I46" s="4" t="str">
        <f t="shared" si="1"/>
        <v>BOOST</v>
      </c>
      <c r="J46">
        <f t="shared" si="43"/>
        <v>2</v>
      </c>
      <c r="K46">
        <f t="shared" si="2"/>
        <v>10</v>
      </c>
      <c r="L46" s="4">
        <f t="shared" si="3"/>
        <v>68.59592711682744</v>
      </c>
      <c r="M46" s="4">
        <f t="shared" si="4"/>
        <v>68.682590229457944</v>
      </c>
      <c r="N46" s="386">
        <f t="shared" si="5"/>
        <v>1</v>
      </c>
      <c r="O46" s="386">
        <f t="shared" si="58"/>
        <v>0.85440269555077142</v>
      </c>
      <c r="P46" s="4">
        <f t="shared" si="6"/>
        <v>3.0027976121320363</v>
      </c>
      <c r="Q46" s="386">
        <f t="shared" si="7"/>
        <v>68.60140389580512</v>
      </c>
      <c r="R46" s="386">
        <f t="shared" si="8"/>
        <v>-20.14317751082638</v>
      </c>
      <c r="S46" s="386">
        <f t="shared" si="45"/>
        <v>0.40488066192064215</v>
      </c>
      <c r="T46" s="386">
        <f t="shared" si="46"/>
        <v>-19.738296848905737</v>
      </c>
      <c r="U46" s="4">
        <f t="shared" si="9"/>
        <v>24.315330738970008</v>
      </c>
      <c r="V46" s="386">
        <f t="shared" si="10"/>
        <v>1.1824706178909996</v>
      </c>
      <c r="W46" s="386">
        <f t="shared" si="47"/>
        <v>1.1824706178909996</v>
      </c>
      <c r="X46" s="386">
        <f t="shared" si="11"/>
        <v>0.86683300484319836</v>
      </c>
      <c r="Y46" s="386">
        <f t="shared" si="12"/>
        <v>1.5027989165709767E-3</v>
      </c>
      <c r="Z46" s="603">
        <f t="shared" si="48"/>
        <v>1.5027989165709767E-3</v>
      </c>
      <c r="AA46" s="386">
        <f t="shared" si="13"/>
        <v>68.60140389580512</v>
      </c>
      <c r="AB46" s="386">
        <f t="shared" si="14"/>
        <v>26.825069913909701</v>
      </c>
      <c r="AC46" s="386">
        <f t="shared" si="15"/>
        <v>0</v>
      </c>
      <c r="AD46">
        <f t="shared" si="16"/>
        <v>0</v>
      </c>
      <c r="AE46" s="386">
        <f t="shared" si="17"/>
        <v>-6.1454717028909407</v>
      </c>
      <c r="AF46" s="386">
        <f t="shared" si="18"/>
        <v>0</v>
      </c>
      <c r="AG46" s="386">
        <f t="shared" si="19"/>
        <v>0</v>
      </c>
      <c r="AH46" s="386">
        <f t="shared" si="20"/>
        <v>0</v>
      </c>
      <c r="AI46" s="386">
        <f t="shared" si="21"/>
        <v>0</v>
      </c>
      <c r="AJ46" s="386">
        <f t="shared" si="22"/>
        <v>63.410957106716857</v>
      </c>
      <c r="AK46" s="386">
        <f t="shared" si="23"/>
        <v>7.6398040142607817</v>
      </c>
      <c r="AL46" s="386">
        <f t="shared" si="24"/>
        <v>6.0069715601481075</v>
      </c>
      <c r="AM46">
        <f t="shared" si="25"/>
        <v>0</v>
      </c>
      <c r="AN46" s="386">
        <f t="shared" si="26"/>
        <v>-25.848084745469951</v>
      </c>
      <c r="AO46" s="386">
        <f t="shared" si="27"/>
        <v>26.176385069094252</v>
      </c>
      <c r="AP46" s="386">
        <f t="shared" si="28"/>
        <v>1.3018859570424508</v>
      </c>
      <c r="AQ46" s="386">
        <f t="shared" si="29"/>
        <v>3.292604501607717</v>
      </c>
      <c r="AR46" s="386">
        <f t="shared" si="30"/>
        <v>6.2119372270301136</v>
      </c>
      <c r="AS46" s="386">
        <f t="shared" si="31"/>
        <v>26.825069913909701</v>
      </c>
      <c r="AT46" s="386">
        <f t="shared" si="32"/>
        <v>0</v>
      </c>
      <c r="AU46" s="386">
        <f t="shared" si="33"/>
        <v>0.95039999999999991</v>
      </c>
      <c r="AV46" s="386">
        <f t="shared" si="34"/>
        <v>12.062848443569656</v>
      </c>
      <c r="AW46" s="386">
        <f t="shared" si="35"/>
        <v>0.249</v>
      </c>
      <c r="AX46" s="386">
        <f t="shared" si="36"/>
        <v>0.14400000000000002</v>
      </c>
      <c r="AY46" s="386">
        <f t="shared" si="37"/>
        <v>1.2671999999999999</v>
      </c>
      <c r="AZ46" s="386">
        <f t="shared" si="38"/>
        <v>0.10439999999999998</v>
      </c>
      <c r="BA46" s="386">
        <f t="shared" si="56"/>
        <v>1.4112</v>
      </c>
      <c r="BB46" s="386">
        <f t="shared" si="57"/>
        <v>-29.662494209859286</v>
      </c>
      <c r="BC46">
        <f t="shared" si="39"/>
        <v>480</v>
      </c>
      <c r="BD46" s="604">
        <f t="shared" si="50"/>
        <v>1.0658672525127901</v>
      </c>
      <c r="BE46" s="614">
        <f t="shared" si="40"/>
        <v>-1244.8842372734975</v>
      </c>
      <c r="BF46" s="614">
        <f t="shared" si="41"/>
        <v>310.59686135150571</v>
      </c>
      <c r="BG46" s="9"/>
      <c r="BH46" s="4">
        <f t="shared" si="51"/>
        <v>106.58672525127901</v>
      </c>
      <c r="BI46" s="386">
        <f t="shared" si="52"/>
        <v>-19.738296848905737</v>
      </c>
      <c r="BJ46" s="386">
        <f t="shared" si="53"/>
        <v>-24.83121922133078</v>
      </c>
      <c r="BK46" s="386">
        <f t="shared" si="54"/>
        <v>0.31363199999999997</v>
      </c>
      <c r="BL46" s="386">
        <f t="shared" si="55"/>
        <v>12.062848443569656</v>
      </c>
      <c r="BQ46">
        <v>9.9978999999999996</v>
      </c>
      <c r="BR46">
        <v>6.1950000000000003</v>
      </c>
      <c r="BS46">
        <v>5.109191</v>
      </c>
      <c r="BT46">
        <v>93.156651672159526</v>
      </c>
      <c r="BU46">
        <v>2325.1351758999972</v>
      </c>
    </row>
    <row r="47" spans="1:73" ht="14.15" x14ac:dyDescent="0.4">
      <c r="A47" s="488" t="s">
        <v>680</v>
      </c>
      <c r="B47" s="5">
        <f>ThetaJA_Q1</f>
        <v>50</v>
      </c>
      <c r="C47" s="483" t="s">
        <v>241</v>
      </c>
      <c r="D47" s="21" t="s">
        <v>107</v>
      </c>
      <c r="G47">
        <v>38</v>
      </c>
      <c r="H47" s="610">
        <f t="shared" si="0"/>
        <v>7.85</v>
      </c>
      <c r="I47" s="4" t="str">
        <f t="shared" si="1"/>
        <v>BOOST</v>
      </c>
      <c r="J47">
        <f t="shared" si="43"/>
        <v>2</v>
      </c>
      <c r="K47">
        <f t="shared" si="2"/>
        <v>10</v>
      </c>
      <c r="L47" s="4">
        <f t="shared" si="3"/>
        <v>67.940552016985137</v>
      </c>
      <c r="M47" s="4">
        <f t="shared" si="4"/>
        <v>67.877764544481451</v>
      </c>
      <c r="N47" s="386">
        <f t="shared" si="5"/>
        <v>1</v>
      </c>
      <c r="O47" s="386">
        <f t="shared" si="58"/>
        <v>0.85267635039090262</v>
      </c>
      <c r="P47" s="4">
        <f t="shared" si="6"/>
        <v>3.032387301774591</v>
      </c>
      <c r="Q47" s="386">
        <f t="shared" si="7"/>
        <v>67.946191132652856</v>
      </c>
      <c r="R47" s="386">
        <f t="shared" si="8"/>
        <v>-20.384726369850615</v>
      </c>
      <c r="S47" s="386">
        <f t="shared" si="45"/>
        <v>0.41413207271951408</v>
      </c>
      <c r="T47" s="386">
        <f t="shared" si="46"/>
        <v>-19.9705942971311</v>
      </c>
      <c r="U47" s="4">
        <f t="shared" si="9"/>
        <v>24.149797285585226</v>
      </c>
      <c r="V47" s="386">
        <f t="shared" si="10"/>
        <v>1.1664254178697191</v>
      </c>
      <c r="W47" s="386">
        <f t="shared" si="47"/>
        <v>1.1664254178697191</v>
      </c>
      <c r="X47" s="386">
        <f t="shared" si="11"/>
        <v>0.87537481248338156</v>
      </c>
      <c r="Y47" s="386">
        <f t="shared" si="12"/>
        <v>1.5325621246606309E-3</v>
      </c>
      <c r="Z47" s="603">
        <f t="shared" si="48"/>
        <v>1.5325621246606309E-3</v>
      </c>
      <c r="AA47" s="386">
        <f t="shared" si="13"/>
        <v>67.946191132652856</v>
      </c>
      <c r="AB47" s="386">
        <f t="shared" si="14"/>
        <v>26.315103869779463</v>
      </c>
      <c r="AC47" s="386">
        <f t="shared" si="15"/>
        <v>0</v>
      </c>
      <c r="AD47">
        <f t="shared" si="16"/>
        <v>0</v>
      </c>
      <c r="AE47" s="386">
        <f t="shared" si="17"/>
        <v>-6.1728772307530244</v>
      </c>
      <c r="AF47" s="386">
        <f t="shared" si="18"/>
        <v>0</v>
      </c>
      <c r="AG47" s="386">
        <f t="shared" si="19"/>
        <v>0</v>
      </c>
      <c r="AH47" s="386">
        <f t="shared" si="20"/>
        <v>0</v>
      </c>
      <c r="AI47" s="386">
        <f t="shared" si="21"/>
        <v>0</v>
      </c>
      <c r="AJ47" s="386">
        <f t="shared" si="22"/>
        <v>62.741836301054008</v>
      </c>
      <c r="AK47" s="386">
        <f t="shared" si="23"/>
        <v>7.4794222426136914</v>
      </c>
      <c r="AL47" s="386">
        <f t="shared" si="24"/>
        <v>5.9495801121212155</v>
      </c>
      <c r="AM47">
        <f t="shared" si="25"/>
        <v>0</v>
      </c>
      <c r="AN47" s="386">
        <f t="shared" si="26"/>
        <v>-27.080910471664314</v>
      </c>
      <c r="AO47" s="386">
        <f t="shared" si="27"/>
        <v>26.07962551507854</v>
      </c>
      <c r="AP47" s="386">
        <f t="shared" si="28"/>
        <v>1.2922790473127976</v>
      </c>
      <c r="AQ47" s="386">
        <f t="shared" si="29"/>
        <v>3.2611464968152868</v>
      </c>
      <c r="AR47" s="386">
        <f t="shared" si="30"/>
        <v>6.1404641857256692</v>
      </c>
      <c r="AS47" s="386">
        <f t="shared" si="31"/>
        <v>26.315103869779463</v>
      </c>
      <c r="AT47" s="386">
        <f t="shared" si="32"/>
        <v>0</v>
      </c>
      <c r="AU47" s="386">
        <f t="shared" si="33"/>
        <v>0.95039999999999991</v>
      </c>
      <c r="AV47" s="386">
        <f t="shared" si="34"/>
        <v>11.809614067284775</v>
      </c>
      <c r="AW47" s="386">
        <f t="shared" si="35"/>
        <v>0.249</v>
      </c>
      <c r="AX47" s="386">
        <f t="shared" si="36"/>
        <v>0.14400000000000002</v>
      </c>
      <c r="AY47" s="386">
        <f t="shared" si="37"/>
        <v>1.2671999999999999</v>
      </c>
      <c r="AZ47" s="386">
        <f t="shared" si="38"/>
        <v>0.10439999999999998</v>
      </c>
      <c r="BA47" s="386">
        <f t="shared" si="56"/>
        <v>1.4112</v>
      </c>
      <c r="BB47" s="386">
        <f t="shared" si="57"/>
        <v>-31.49574576654361</v>
      </c>
      <c r="BC47">
        <f t="shared" si="39"/>
        <v>480</v>
      </c>
      <c r="BD47" s="604">
        <f t="shared" si="50"/>
        <v>1.0702239621347034</v>
      </c>
      <c r="BE47" s="614">
        <f t="shared" si="40"/>
        <v>-1306.5255235832158</v>
      </c>
      <c r="BF47" s="614">
        <f t="shared" si="41"/>
        <v>307.02320928628347</v>
      </c>
      <c r="BG47" s="9"/>
      <c r="BH47" s="4">
        <f t="shared" si="51"/>
        <v>107.02239621347034</v>
      </c>
      <c r="BI47" s="386">
        <f t="shared" si="52"/>
        <v>-19.9705942971311</v>
      </c>
      <c r="BJ47" s="386">
        <f t="shared" si="53"/>
        <v>-26.162923516691674</v>
      </c>
      <c r="BK47" s="386">
        <f t="shared" si="54"/>
        <v>0.31363199999999997</v>
      </c>
      <c r="BL47" s="386">
        <f t="shared" si="55"/>
        <v>11.809614067284775</v>
      </c>
      <c r="BQ47">
        <v>9.9976269999999996</v>
      </c>
      <c r="BR47">
        <v>6.9470000000000001</v>
      </c>
      <c r="BS47">
        <v>5.1086669999999996</v>
      </c>
      <c r="BT47">
        <v>92.656807634751772</v>
      </c>
      <c r="BU47">
        <v>2812.6290012010018</v>
      </c>
    </row>
    <row r="48" spans="1:73" x14ac:dyDescent="0.3">
      <c r="A48" s="24" t="s">
        <v>767</v>
      </c>
      <c r="B48" s="15" t="s">
        <v>115</v>
      </c>
      <c r="C48" s="24" t="s">
        <v>80</v>
      </c>
      <c r="D48" s="17" t="s">
        <v>111</v>
      </c>
      <c r="G48">
        <v>39</v>
      </c>
      <c r="H48" s="610">
        <f t="shared" si="0"/>
        <v>7.9250000000000007</v>
      </c>
      <c r="I48" s="4" t="str">
        <f t="shared" si="1"/>
        <v>BOOST</v>
      </c>
      <c r="J48">
        <f t="shared" si="43"/>
        <v>2</v>
      </c>
      <c r="K48">
        <f t="shared" si="2"/>
        <v>10</v>
      </c>
      <c r="L48" s="4">
        <f t="shared" si="3"/>
        <v>67.297581493165083</v>
      </c>
      <c r="M48" s="4">
        <f t="shared" si="4"/>
        <v>67.09298421050687</v>
      </c>
      <c r="N48" s="386">
        <f t="shared" si="5"/>
        <v>1</v>
      </c>
      <c r="O48" s="386">
        <f t="shared" si="58"/>
        <v>0.85095311950017594</v>
      </c>
      <c r="P48" s="4">
        <f t="shared" si="6"/>
        <v>3.0617803726527399</v>
      </c>
      <c r="Q48" s="386">
        <f t="shared" si="7"/>
        <v>67.303385376096742</v>
      </c>
      <c r="R48" s="386">
        <f t="shared" si="8"/>
        <v>-20.634538326649494</v>
      </c>
      <c r="S48" s="386">
        <f t="shared" si="45"/>
        <v>0.42343930074510239</v>
      </c>
      <c r="T48" s="386">
        <f t="shared" si="46"/>
        <v>-20.211099025904392</v>
      </c>
      <c r="U48" s="4">
        <f t="shared" si="9"/>
        <v>23.98728815763187</v>
      </c>
      <c r="V48" s="386">
        <f t="shared" si="10"/>
        <v>1.1507799863145325</v>
      </c>
      <c r="W48" s="386">
        <f t="shared" si="47"/>
        <v>1.1507799863145325</v>
      </c>
      <c r="X48" s="386">
        <f t="shared" si="11"/>
        <v>0.88385986117528614</v>
      </c>
      <c r="Y48" s="386">
        <f t="shared" si="12"/>
        <v>1.5624165083935923E-3</v>
      </c>
      <c r="Z48" s="603">
        <f t="shared" si="48"/>
        <v>1.5624165083935923E-3</v>
      </c>
      <c r="AA48" s="386">
        <f t="shared" si="13"/>
        <v>67.303385376096742</v>
      </c>
      <c r="AB48" s="386">
        <f t="shared" si="14"/>
        <v>25.819550393575337</v>
      </c>
      <c r="AC48" s="386">
        <f t="shared" si="15"/>
        <v>0</v>
      </c>
      <c r="AD48">
        <f t="shared" si="16"/>
        <v>0</v>
      </c>
      <c r="AE48" s="386">
        <f t="shared" si="17"/>
        <v>-6.2007944229052461</v>
      </c>
      <c r="AF48" s="386">
        <f t="shared" si="18"/>
        <v>0</v>
      </c>
      <c r="AG48" s="386">
        <f t="shared" si="19"/>
        <v>0</v>
      </c>
      <c r="AH48" s="386">
        <f t="shared" si="20"/>
        <v>0</v>
      </c>
      <c r="AI48" s="386">
        <f t="shared" si="21"/>
        <v>0</v>
      </c>
      <c r="AJ48" s="386">
        <f t="shared" si="22"/>
        <v>62.085434842338579</v>
      </c>
      <c r="AK48" s="386">
        <f t="shared" si="23"/>
        <v>7.3237423171683114</v>
      </c>
      <c r="AL48" s="386">
        <f t="shared" si="24"/>
        <v>5.8932749375585534</v>
      </c>
      <c r="AM48">
        <f t="shared" si="25"/>
        <v>0</v>
      </c>
      <c r="AN48" s="386">
        <f t="shared" si="26"/>
        <v>-28.439076822495938</v>
      </c>
      <c r="AO48" s="386">
        <f t="shared" si="27"/>
        <v>25.983542166554667</v>
      </c>
      <c r="AP48" s="386">
        <f t="shared" si="28"/>
        <v>1.2827744806901364</v>
      </c>
      <c r="AQ48" s="386">
        <f t="shared" si="29"/>
        <v>3.2302839116719242</v>
      </c>
      <c r="AR48" s="386">
        <f t="shared" si="30"/>
        <v>6.0704662239593556</v>
      </c>
      <c r="AS48" s="386">
        <f t="shared" si="31"/>
        <v>25.819550393575337</v>
      </c>
      <c r="AT48" s="386">
        <f t="shared" si="32"/>
        <v>0</v>
      </c>
      <c r="AU48" s="386">
        <f t="shared" si="33"/>
        <v>0.95039999999999991</v>
      </c>
      <c r="AV48" s="386">
        <f t="shared" si="34"/>
        <v>11.563803658686808</v>
      </c>
      <c r="AW48" s="386">
        <f t="shared" si="35"/>
        <v>0.249</v>
      </c>
      <c r="AX48" s="386">
        <f t="shared" si="36"/>
        <v>0.14400000000000002</v>
      </c>
      <c r="AY48" s="386">
        <f t="shared" si="37"/>
        <v>1.2671999999999999</v>
      </c>
      <c r="AZ48" s="386">
        <f t="shared" si="38"/>
        <v>0.10439999999999998</v>
      </c>
      <c r="BA48" s="386">
        <f t="shared" si="56"/>
        <v>1.4112</v>
      </c>
      <c r="BB48" s="386">
        <f t="shared" si="57"/>
        <v>-33.453757985836482</v>
      </c>
      <c r="BC48">
        <f t="shared" si="39"/>
        <v>480</v>
      </c>
      <c r="BD48" s="604">
        <f t="shared" si="50"/>
        <v>1.0749166711938769</v>
      </c>
      <c r="BE48" s="614">
        <f t="shared" si="40"/>
        <v>-1374.433841124797</v>
      </c>
      <c r="BF48" s="614">
        <f t="shared" si="41"/>
        <v>303.52331119796776</v>
      </c>
      <c r="BG48" s="9"/>
      <c r="BH48" s="4">
        <f t="shared" si="51"/>
        <v>107.49166711938769</v>
      </c>
      <c r="BI48" s="386">
        <f t="shared" si="52"/>
        <v>-20.211099025904392</v>
      </c>
      <c r="BJ48" s="386">
        <f t="shared" si="53"/>
        <v>-27.619005021441826</v>
      </c>
      <c r="BK48" s="386">
        <f t="shared" si="54"/>
        <v>0.31363199999999997</v>
      </c>
      <c r="BL48" s="386">
        <f t="shared" si="55"/>
        <v>11.563803658686808</v>
      </c>
      <c r="BQ48">
        <v>9.9975280000000009</v>
      </c>
      <c r="BR48">
        <v>7.7530000000000001</v>
      </c>
      <c r="BS48">
        <v>5.10853</v>
      </c>
      <c r="BT48">
        <v>92.034336419785248</v>
      </c>
      <c r="BU48">
        <v>3427.976173640001</v>
      </c>
    </row>
    <row r="49" spans="1:73" x14ac:dyDescent="0.3">
      <c r="A49" s="23" t="s">
        <v>72</v>
      </c>
      <c r="B49" s="5">
        <f>Rdson2*1000</f>
        <v>5.7</v>
      </c>
      <c r="C49" s="484" t="s">
        <v>674</v>
      </c>
      <c r="D49" s="482" t="s">
        <v>768</v>
      </c>
      <c r="G49">
        <v>40</v>
      </c>
      <c r="H49" s="610">
        <f t="shared" si="0"/>
        <v>8</v>
      </c>
      <c r="I49" s="4" t="str">
        <f t="shared" si="1"/>
        <v>BOOST</v>
      </c>
      <c r="J49">
        <f t="shared" si="43"/>
        <v>2</v>
      </c>
      <c r="K49">
        <f t="shared" si="2"/>
        <v>10</v>
      </c>
      <c r="L49" s="4">
        <f t="shared" si="3"/>
        <v>66.666666666666671</v>
      </c>
      <c r="M49" s="4">
        <f t="shared" si="4"/>
        <v>66.32747456059208</v>
      </c>
      <c r="N49" s="386">
        <f t="shared" si="5"/>
        <v>1</v>
      </c>
      <c r="O49" s="386">
        <f t="shared" si="58"/>
        <v>0.84923291492329156</v>
      </c>
      <c r="P49" s="4">
        <f t="shared" si="6"/>
        <v>3.0909790607140684</v>
      </c>
      <c r="Q49" s="386">
        <f t="shared" si="7"/>
        <v>66.672637743984552</v>
      </c>
      <c r="R49" s="386">
        <f t="shared" si="8"/>
        <v>-20.893009030319956</v>
      </c>
      <c r="S49" s="386">
        <f t="shared" si="45"/>
        <v>0.43280106127893764</v>
      </c>
      <c r="T49" s="386">
        <f t="shared" si="46"/>
        <v>-20.460207969041019</v>
      </c>
      <c r="U49" s="4">
        <f t="shared" si="9"/>
        <v>23.827702837471847</v>
      </c>
      <c r="V49" s="386">
        <f t="shared" si="10"/>
        <v>1.135518845021728</v>
      </c>
      <c r="W49" s="386">
        <f t="shared" si="47"/>
        <v>1.135518845021728</v>
      </c>
      <c r="X49" s="386">
        <f t="shared" si="11"/>
        <v>0.89228879638138203</v>
      </c>
      <c r="Y49" s="386">
        <f t="shared" si="12"/>
        <v>1.5923585922954708E-3</v>
      </c>
      <c r="Z49" s="603">
        <f t="shared" si="48"/>
        <v>1.5923585922954708E-3</v>
      </c>
      <c r="AA49" s="386">
        <f t="shared" si="13"/>
        <v>66.672637743984552</v>
      </c>
      <c r="AB49" s="386">
        <f t="shared" si="14"/>
        <v>25.337871555321385</v>
      </c>
      <c r="AC49" s="386">
        <f t="shared" si="15"/>
        <v>0</v>
      </c>
      <c r="AD49">
        <f t="shared" si="16"/>
        <v>0</v>
      </c>
      <c r="AE49" s="386">
        <f t="shared" si="17"/>
        <v>-6.229233842489224</v>
      </c>
      <c r="AF49" s="386">
        <f t="shared" si="18"/>
        <v>0</v>
      </c>
      <c r="AG49" s="386">
        <f t="shared" si="19"/>
        <v>0</v>
      </c>
      <c r="AH49" s="386">
        <f t="shared" si="20"/>
        <v>0</v>
      </c>
      <c r="AI49" s="386">
        <f t="shared" si="21"/>
        <v>0</v>
      </c>
      <c r="AJ49" s="386">
        <f t="shared" si="22"/>
        <v>61.441392012507784</v>
      </c>
      <c r="AK49" s="386">
        <f t="shared" si="23"/>
        <v>7.1725848396258449</v>
      </c>
      <c r="AL49" s="386">
        <f t="shared" si="24"/>
        <v>5.8380254850189424</v>
      </c>
      <c r="AM49">
        <f t="shared" si="25"/>
        <v>0</v>
      </c>
      <c r="AN49" s="386">
        <f t="shared" si="26"/>
        <v>-29.942697949796585</v>
      </c>
      <c r="AO49" s="386">
        <f t="shared" si="27"/>
        <v>25.888143450350753</v>
      </c>
      <c r="AP49" s="386">
        <f t="shared" si="28"/>
        <v>1.2733723454812835</v>
      </c>
      <c r="AQ49" s="386">
        <f t="shared" si="29"/>
        <v>3.2</v>
      </c>
      <c r="AR49" s="386">
        <f t="shared" si="30"/>
        <v>6.0019040808344561</v>
      </c>
      <c r="AS49" s="386">
        <f t="shared" si="31"/>
        <v>25.337871555321385</v>
      </c>
      <c r="AT49" s="386">
        <f t="shared" si="32"/>
        <v>0</v>
      </c>
      <c r="AU49" s="386">
        <f t="shared" si="33"/>
        <v>0.95039999999999991</v>
      </c>
      <c r="AV49" s="386">
        <f t="shared" si="34"/>
        <v>11.325133957303967</v>
      </c>
      <c r="AW49" s="386">
        <f t="shared" si="35"/>
        <v>0.249</v>
      </c>
      <c r="AX49" s="386">
        <f t="shared" si="36"/>
        <v>0.14400000000000002</v>
      </c>
      <c r="AY49" s="386">
        <f t="shared" si="37"/>
        <v>1.2671999999999999</v>
      </c>
      <c r="AZ49" s="386">
        <f t="shared" si="38"/>
        <v>0.10439999999999998</v>
      </c>
      <c r="BA49" s="386">
        <f t="shared" si="56"/>
        <v>1.4112</v>
      </c>
      <c r="BB49" s="386">
        <f t="shared" si="57"/>
        <v>-35.557390519574369</v>
      </c>
      <c r="BC49">
        <f t="shared" si="39"/>
        <v>480</v>
      </c>
      <c r="BD49" s="604">
        <f t="shared" si="50"/>
        <v>1.0800044589809754</v>
      </c>
      <c r="BE49" s="614">
        <f t="shared" si="40"/>
        <v>-1449.6148974898294</v>
      </c>
      <c r="BF49" s="614">
        <f t="shared" si="41"/>
        <v>300.09520404172281</v>
      </c>
      <c r="BG49" s="9"/>
      <c r="BH49" s="4">
        <f t="shared" si="51"/>
        <v>108.00044589809754</v>
      </c>
      <c r="BI49" s="386">
        <f t="shared" si="52"/>
        <v>-20.460207969041019</v>
      </c>
      <c r="BJ49" s="386">
        <f t="shared" si="53"/>
        <v>-29.219627711451356</v>
      </c>
      <c r="BK49" s="386">
        <f t="shared" si="54"/>
        <v>0.31363199999999997</v>
      </c>
      <c r="BL49" s="386">
        <f t="shared" si="55"/>
        <v>11.325133957303967</v>
      </c>
      <c r="BQ49">
        <v>9.9970090000000003</v>
      </c>
      <c r="BR49">
        <v>8.6120000000000001</v>
      </c>
      <c r="BS49">
        <v>5.1085419999999999</v>
      </c>
      <c r="BT49">
        <v>91.346378256658895</v>
      </c>
      <c r="BU49">
        <v>4167.8065612820019</v>
      </c>
    </row>
    <row r="50" spans="1:73" x14ac:dyDescent="0.3">
      <c r="A50" s="23" t="s">
        <v>84</v>
      </c>
      <c r="B50" s="5">
        <f>RdsonBotTc*1000000</f>
        <v>4000</v>
      </c>
      <c r="C50" s="482" t="s">
        <v>85</v>
      </c>
      <c r="D50" s="21" t="s">
        <v>108</v>
      </c>
      <c r="G50">
        <v>41</v>
      </c>
      <c r="H50" s="610">
        <f t="shared" si="0"/>
        <v>8.0749999999999993</v>
      </c>
      <c r="I50" s="4" t="str">
        <f t="shared" si="1"/>
        <v>BOOST</v>
      </c>
      <c r="J50">
        <f t="shared" si="43"/>
        <v>2</v>
      </c>
      <c r="K50">
        <f t="shared" si="2"/>
        <v>10</v>
      </c>
      <c r="L50" s="4">
        <f t="shared" si="3"/>
        <v>66.047471620227043</v>
      </c>
      <c r="M50" s="4">
        <f t="shared" si="4"/>
        <v>65.580501410504624</v>
      </c>
      <c r="N50" s="386">
        <f t="shared" si="5"/>
        <v>1</v>
      </c>
      <c r="O50" s="386">
        <f t="shared" si="58"/>
        <v>0.84751565198618306</v>
      </c>
      <c r="P50" s="4">
        <f t="shared" si="6"/>
        <v>3.1199855175346398</v>
      </c>
      <c r="Q50" s="386">
        <f t="shared" si="7"/>
        <v>66.053612315253673</v>
      </c>
      <c r="R50" s="386">
        <f t="shared" si="8"/>
        <v>-21.160560294875438</v>
      </c>
      <c r="S50" s="386">
        <f t="shared" si="45"/>
        <v>0.44221607724423462</v>
      </c>
      <c r="T50" s="386">
        <f t="shared" si="46"/>
        <v>-20.718344217631202</v>
      </c>
      <c r="U50" s="4">
        <f t="shared" si="9"/>
        <v>23.670945535033955</v>
      </c>
      <c r="V50" s="386">
        <f t="shared" si="10"/>
        <v>1.120627325045088</v>
      </c>
      <c r="W50" s="386">
        <f t="shared" si="47"/>
        <v>1.120627325045088</v>
      </c>
      <c r="X50" s="386">
        <f t="shared" si="11"/>
        <v>0.90066223920817912</v>
      </c>
      <c r="Y50" s="386">
        <f t="shared" si="12"/>
        <v>1.6223849382709825E-3</v>
      </c>
      <c r="Z50" s="603">
        <f t="shared" si="48"/>
        <v>1.6223849382709825E-3</v>
      </c>
      <c r="AA50" s="386">
        <f t="shared" si="13"/>
        <v>66.053612315253673</v>
      </c>
      <c r="AB50" s="386">
        <f t="shared" si="14"/>
        <v>24.869554289394838</v>
      </c>
      <c r="AC50" s="386">
        <f t="shared" si="15"/>
        <v>0</v>
      </c>
      <c r="AD50">
        <f t="shared" si="16"/>
        <v>0</v>
      </c>
      <c r="AE50" s="386">
        <f t="shared" si="17"/>
        <v>-6.2582063812746656</v>
      </c>
      <c r="AF50" s="386">
        <f t="shared" si="18"/>
        <v>0</v>
      </c>
      <c r="AG50" s="386">
        <f t="shared" si="19"/>
        <v>0</v>
      </c>
      <c r="AH50" s="386">
        <f t="shared" si="20"/>
        <v>0</v>
      </c>
      <c r="AI50" s="386">
        <f t="shared" si="21"/>
        <v>0</v>
      </c>
      <c r="AJ50" s="386">
        <f t="shared" si="22"/>
        <v>60.80936059952613</v>
      </c>
      <c r="AK50" s="386">
        <f t="shared" si="23"/>
        <v>7.0257788393940812</v>
      </c>
      <c r="AL50" s="386">
        <f t="shared" si="24"/>
        <v>5.783802338099262</v>
      </c>
      <c r="AM50">
        <f t="shared" si="25"/>
        <v>0</v>
      </c>
      <c r="AN50" s="386">
        <f t="shared" si="26"/>
        <v>-31.616435438047969</v>
      </c>
      <c r="AO50" s="386">
        <f t="shared" si="27"/>
        <v>25.793436439734641</v>
      </c>
      <c r="AP50" s="386">
        <f t="shared" si="28"/>
        <v>1.2640725904041985</v>
      </c>
      <c r="AQ50" s="386">
        <f t="shared" si="29"/>
        <v>3.170278637770898</v>
      </c>
      <c r="AR50" s="386">
        <f t="shared" si="30"/>
        <v>5.9347395465786876</v>
      </c>
      <c r="AS50" s="386">
        <f t="shared" si="31"/>
        <v>24.869554289394838</v>
      </c>
      <c r="AT50" s="386">
        <f t="shared" si="32"/>
        <v>0</v>
      </c>
      <c r="AU50" s="386">
        <f t="shared" si="33"/>
        <v>0.95039999999999991</v>
      </c>
      <c r="AV50" s="386">
        <f t="shared" si="34"/>
        <v>11.093335009569602</v>
      </c>
      <c r="AW50" s="386">
        <f t="shared" si="35"/>
        <v>0.249</v>
      </c>
      <c r="AX50" s="386">
        <f t="shared" si="36"/>
        <v>0.14400000000000002</v>
      </c>
      <c r="AY50" s="386">
        <f t="shared" si="37"/>
        <v>1.2671999999999999</v>
      </c>
      <c r="AZ50" s="386">
        <f t="shared" si="38"/>
        <v>0.10439999999999998</v>
      </c>
      <c r="BA50" s="386">
        <f t="shared" si="56"/>
        <v>1.4112</v>
      </c>
      <c r="BB50" s="386">
        <f t="shared" si="57"/>
        <v>-37.832061770822179</v>
      </c>
      <c r="BC50">
        <f t="shared" si="39"/>
        <v>480</v>
      </c>
      <c r="BD50" s="604">
        <f t="shared" si="50"/>
        <v>1.0855603911996297</v>
      </c>
      <c r="BE50" s="614">
        <f t="shared" si="40"/>
        <v>-1533.3017719023985</v>
      </c>
      <c r="BF50" s="614">
        <f t="shared" si="41"/>
        <v>296.73697732893436</v>
      </c>
      <c r="BG50" s="9"/>
      <c r="BH50" s="4">
        <f t="shared" si="51"/>
        <v>108.55603911996296</v>
      </c>
      <c r="BI50" s="386">
        <f t="shared" si="52"/>
        <v>-20.718344217631202</v>
      </c>
      <c r="BJ50" s="386">
        <f t="shared" si="53"/>
        <v>-30.989502272743948</v>
      </c>
      <c r="BK50" s="386">
        <f t="shared" si="54"/>
        <v>0.31363199999999997</v>
      </c>
      <c r="BL50" s="386">
        <f t="shared" si="55"/>
        <v>11.093335009569602</v>
      </c>
      <c r="BQ50">
        <v>9.9969590000000004</v>
      </c>
      <c r="BR50">
        <v>9.5229999999999997</v>
      </c>
      <c r="BS50">
        <v>5.1087540000000002</v>
      </c>
      <c r="BT50">
        <v>90.547826191651922</v>
      </c>
      <c r="BU50">
        <v>5078.5816240809982</v>
      </c>
    </row>
    <row r="51" spans="1:73" x14ac:dyDescent="0.3">
      <c r="A51" s="23" t="s">
        <v>71</v>
      </c>
      <c r="B51" s="5">
        <f>Qg_Q2*1000000000</f>
        <v>11</v>
      </c>
      <c r="C51" s="482" t="s">
        <v>69</v>
      </c>
      <c r="D51" s="21" t="s">
        <v>103</v>
      </c>
      <c r="G51">
        <v>42</v>
      </c>
      <c r="H51" s="610">
        <f t="shared" si="0"/>
        <v>8.15</v>
      </c>
      <c r="I51" s="4" t="str">
        <f t="shared" si="1"/>
        <v>BOOST</v>
      </c>
      <c r="J51">
        <f t="shared" si="43"/>
        <v>2</v>
      </c>
      <c r="K51">
        <f t="shared" si="2"/>
        <v>10</v>
      </c>
      <c r="L51" s="4">
        <f t="shared" si="3"/>
        <v>65.439672801635979</v>
      </c>
      <c r="M51" s="4">
        <f t="shared" si="4"/>
        <v>64.851368409371503</v>
      </c>
      <c r="N51" s="386">
        <f t="shared" si="5"/>
        <v>1</v>
      </c>
      <c r="O51" s="386">
        <f t="shared" si="58"/>
        <v>0.84580124914442167</v>
      </c>
      <c r="P51" s="4">
        <f t="shared" si="6"/>
        <v>3.1488018142607319</v>
      </c>
      <c r="Q51" s="386">
        <f t="shared" si="7"/>
        <v>65.445985533547429</v>
      </c>
      <c r="R51" s="386">
        <f t="shared" si="8"/>
        <v>-21.437642289125144</v>
      </c>
      <c r="S51" s="386">
        <f t="shared" si="45"/>
        <v>0.45168307891746184</v>
      </c>
      <c r="T51" s="386">
        <f t="shared" si="46"/>
        <v>-20.985959210207682</v>
      </c>
      <c r="U51" s="4">
        <f t="shared" si="9"/>
        <v>23.51692490236773</v>
      </c>
      <c r="V51" s="386">
        <f t="shared" si="10"/>
        <v>1.1060915137272072</v>
      </c>
      <c r="W51" s="386">
        <f t="shared" si="47"/>
        <v>1.1060915137272072</v>
      </c>
      <c r="X51" s="386">
        <f t="shared" si="11"/>
        <v>0.90898078754410783</v>
      </c>
      <c r="Y51" s="386">
        <f t="shared" si="12"/>
        <v>1.652492144248613E-3</v>
      </c>
      <c r="Z51" s="603">
        <f t="shared" si="48"/>
        <v>1.652492144248613E-3</v>
      </c>
      <c r="AA51" s="386">
        <f t="shared" si="13"/>
        <v>65.445985533547429</v>
      </c>
      <c r="AB51" s="386">
        <f t="shared" si="14"/>
        <v>24.414109028006607</v>
      </c>
      <c r="AC51" s="386">
        <f t="shared" si="15"/>
        <v>0</v>
      </c>
      <c r="AD51">
        <f t="shared" si="16"/>
        <v>0</v>
      </c>
      <c r="AE51" s="386">
        <f t="shared" si="17"/>
        <v>-6.2877232719737606</v>
      </c>
      <c r="AF51" s="386">
        <f t="shared" si="18"/>
        <v>0</v>
      </c>
      <c r="AG51" s="386">
        <f t="shared" si="19"/>
        <v>0</v>
      </c>
      <c r="AH51" s="386">
        <f t="shared" si="20"/>
        <v>0</v>
      </c>
      <c r="AI51" s="386">
        <f t="shared" si="21"/>
        <v>0</v>
      </c>
      <c r="AJ51" s="386">
        <f t="shared" si="22"/>
        <v>60.189006271087983</v>
      </c>
      <c r="AK51" s="386">
        <f t="shared" si="23"/>
        <v>6.8831613042120301</v>
      </c>
      <c r="AL51" s="386">
        <f t="shared" si="24"/>
        <v>5.7305771632087765</v>
      </c>
      <c r="AM51">
        <f t="shared" si="25"/>
        <v>0</v>
      </c>
      <c r="AN51" s="386">
        <f t="shared" si="26"/>
        <v>-33.490860393126987</v>
      </c>
      <c r="AO51" s="386">
        <f t="shared" si="27"/>
        <v>25.699426969413754</v>
      </c>
      <c r="AP51" s="386">
        <f t="shared" si="28"/>
        <v>1.2548750384568388</v>
      </c>
      <c r="AQ51" s="386">
        <f t="shared" si="29"/>
        <v>3.1411042944785272</v>
      </c>
      <c r="AR51" s="386">
        <f t="shared" si="30"/>
        <v>5.8689354535235898</v>
      </c>
      <c r="AS51" s="386">
        <f t="shared" si="31"/>
        <v>24.414109028006607</v>
      </c>
      <c r="AT51" s="386">
        <f t="shared" si="32"/>
        <v>0</v>
      </c>
      <c r="AU51" s="386">
        <f t="shared" si="33"/>
        <v>0.95039999999999991</v>
      </c>
      <c r="AV51" s="386">
        <f t="shared" si="34"/>
        <v>10.868149427703205</v>
      </c>
      <c r="AW51" s="386">
        <f t="shared" si="35"/>
        <v>0.249</v>
      </c>
      <c r="AX51" s="386">
        <f t="shared" si="36"/>
        <v>0.14400000000000002</v>
      </c>
      <c r="AY51" s="386">
        <f t="shared" si="37"/>
        <v>1.2671999999999999</v>
      </c>
      <c r="AZ51" s="386">
        <f t="shared" si="38"/>
        <v>0.10439999999999998</v>
      </c>
      <c r="BA51" s="386">
        <f t="shared" si="56"/>
        <v>1.4112</v>
      </c>
      <c r="BB51" s="386">
        <f t="shared" si="57"/>
        <v>-40.309113988210164</v>
      </c>
      <c r="BC51">
        <f t="shared" si="39"/>
        <v>480</v>
      </c>
      <c r="BD51" s="604">
        <f t="shared" si="50"/>
        <v>1.0916760280246731</v>
      </c>
      <c r="BE51" s="614">
        <f t="shared" si="40"/>
        <v>-1627.0230196563493</v>
      </c>
      <c r="BF51" s="614">
        <f t="shared" si="41"/>
        <v>293.44677267617948</v>
      </c>
      <c r="BG51" s="9"/>
      <c r="BH51" s="4">
        <f t="shared" si="51"/>
        <v>109.16760280246731</v>
      </c>
      <c r="BI51" s="386">
        <f t="shared" si="52"/>
        <v>-20.985959210207682</v>
      </c>
      <c r="BJ51" s="386">
        <f t="shared" si="53"/>
        <v>-32.959248211577155</v>
      </c>
      <c r="BK51" s="386">
        <f t="shared" si="54"/>
        <v>0.31363199999999997</v>
      </c>
      <c r="BL51" s="386">
        <f t="shared" si="55"/>
        <v>10.868149427703205</v>
      </c>
      <c r="BQ51">
        <v>9.9964639999999996</v>
      </c>
      <c r="BR51">
        <v>10.493</v>
      </c>
      <c r="BS51">
        <v>5.1092279999999999</v>
      </c>
      <c r="BT51">
        <v>89.626660259106615</v>
      </c>
      <c r="BU51">
        <v>6204.9221585439973</v>
      </c>
    </row>
    <row r="52" spans="1:73" x14ac:dyDescent="0.3">
      <c r="A52" s="23" t="s">
        <v>95</v>
      </c>
      <c r="B52" s="5">
        <f>Rgate2</f>
        <v>1.5</v>
      </c>
      <c r="C52" s="486" t="s">
        <v>120</v>
      </c>
      <c r="D52" s="21" t="s">
        <v>104</v>
      </c>
      <c r="G52">
        <v>43</v>
      </c>
      <c r="H52" s="610">
        <f t="shared" si="0"/>
        <v>8.2249999999999996</v>
      </c>
      <c r="I52" s="4" t="str">
        <f t="shared" si="1"/>
        <v>BOOST</v>
      </c>
      <c r="J52">
        <f t="shared" si="43"/>
        <v>2</v>
      </c>
      <c r="K52">
        <f t="shared" si="2"/>
        <v>10</v>
      </c>
      <c r="L52" s="4">
        <f t="shared" si="3"/>
        <v>64.842958459979741</v>
      </c>
      <c r="M52" s="4">
        <f t="shared" si="4"/>
        <v>64.139414597344484</v>
      </c>
      <c r="N52" s="386">
        <f t="shared" si="5"/>
        <v>1</v>
      </c>
      <c r="O52" s="386">
        <f t="shared" si="58"/>
        <v>0.84408962783994568</v>
      </c>
      <c r="P52" s="4">
        <f t="shared" si="6"/>
        <v>3.1774299453316677</v>
      </c>
      <c r="Q52" s="386">
        <f t="shared" si="7"/>
        <v>64.849445643460328</v>
      </c>
      <c r="R52" s="386">
        <f t="shared" si="8"/>
        <v>-21.724735950446433</v>
      </c>
      <c r="S52" s="386">
        <f t="shared" si="45"/>
        <v>0.46120080366172589</v>
      </c>
      <c r="T52" s="386">
        <f t="shared" si="46"/>
        <v>-21.263535146784708</v>
      </c>
      <c r="U52" s="4">
        <f t="shared" si="9"/>
        <v>23.365553769064441</v>
      </c>
      <c r="V52" s="386">
        <f t="shared" si="10"/>
        <v>1.091898205870083</v>
      </c>
      <c r="W52" s="386">
        <f t="shared" si="47"/>
        <v>1.091898205870083</v>
      </c>
      <c r="X52" s="386">
        <f t="shared" si="11"/>
        <v>0.91724501713420814</v>
      </c>
      <c r="Y52" s="386">
        <f t="shared" si="12"/>
        <v>1.6826768429150675E-3</v>
      </c>
      <c r="Z52" s="603">
        <f t="shared" si="48"/>
        <v>1.6826768429150675E-3</v>
      </c>
      <c r="AA52" s="386">
        <f t="shared" si="13"/>
        <v>64.849445643460328</v>
      </c>
      <c r="AB52" s="386">
        <f t="shared" si="14"/>
        <v>23.971068421505461</v>
      </c>
      <c r="AC52" s="386">
        <f t="shared" si="15"/>
        <v>0</v>
      </c>
      <c r="AD52">
        <f t="shared" si="16"/>
        <v>0</v>
      </c>
      <c r="AE52" s="386">
        <f t="shared" si="17"/>
        <v>-6.3177961011231281</v>
      </c>
      <c r="AF52" s="386">
        <f t="shared" si="18"/>
        <v>0</v>
      </c>
      <c r="AG52" s="386">
        <f t="shared" si="19"/>
        <v>0</v>
      </c>
      <c r="AH52" s="386">
        <f t="shared" si="20"/>
        <v>0</v>
      </c>
      <c r="AI52" s="386">
        <f t="shared" si="21"/>
        <v>0</v>
      </c>
      <c r="AJ52" s="386">
        <f t="shared" si="22"/>
        <v>59.580006982847976</v>
      </c>
      <c r="AK52" s="386">
        <f t="shared" si="23"/>
        <v>6.7445767409448063</v>
      </c>
      <c r="AL52" s="386">
        <f t="shared" si="24"/>
        <v>5.678322660200795</v>
      </c>
      <c r="AM52">
        <f t="shared" si="25"/>
        <v>0</v>
      </c>
      <c r="AN52" s="386">
        <f t="shared" si="26"/>
        <v>-35.604336311447554</v>
      </c>
      <c r="AO52" s="386">
        <f t="shared" si="27"/>
        <v>25.606119740950643</v>
      </c>
      <c r="AP52" s="386">
        <f t="shared" si="28"/>
        <v>1.2457793995570141</v>
      </c>
      <c r="AQ52" s="386">
        <f t="shared" si="29"/>
        <v>3.1124620060790278</v>
      </c>
      <c r="AR52" s="386">
        <f t="shared" si="30"/>
        <v>5.8044556640089073</v>
      </c>
      <c r="AS52" s="386">
        <f t="shared" si="31"/>
        <v>23.971068421505461</v>
      </c>
      <c r="AT52" s="386">
        <f t="shared" si="32"/>
        <v>0</v>
      </c>
      <c r="AU52" s="386">
        <f t="shared" si="33"/>
        <v>0.95039999999999991</v>
      </c>
      <c r="AV52" s="386">
        <f t="shared" si="34"/>
        <v>10.649331696228641</v>
      </c>
      <c r="AW52" s="386">
        <f t="shared" si="35"/>
        <v>0.249</v>
      </c>
      <c r="AX52" s="386">
        <f t="shared" si="36"/>
        <v>0.14400000000000002</v>
      </c>
      <c r="AY52" s="386">
        <f t="shared" si="37"/>
        <v>1.2671999999999999</v>
      </c>
      <c r="AZ52" s="386">
        <f t="shared" si="38"/>
        <v>0.10439999999999998</v>
      </c>
      <c r="BA52" s="386">
        <f t="shared" si="56"/>
        <v>1.4112</v>
      </c>
      <c r="BB52" s="386">
        <f t="shared" si="57"/>
        <v>-43.027699316404842</v>
      </c>
      <c r="BC52">
        <f t="shared" si="39"/>
        <v>480</v>
      </c>
      <c r="BD52" s="604">
        <f t="shared" si="50"/>
        <v>1.0984677958971145</v>
      </c>
      <c r="BE52" s="614">
        <f t="shared" si="40"/>
        <v>-1732.6968155723775</v>
      </c>
      <c r="BF52" s="614">
        <f t="shared" si="41"/>
        <v>290.22278320044535</v>
      </c>
      <c r="BG52" s="9"/>
      <c r="BH52" s="4">
        <f t="shared" si="51"/>
        <v>109.84677958971145</v>
      </c>
      <c r="BI52" s="386">
        <f t="shared" si="52"/>
        <v>-21.263535146784708</v>
      </c>
      <c r="BJ52" s="386">
        <f t="shared" si="53"/>
        <v>-35.167276748561775</v>
      </c>
      <c r="BK52" s="386">
        <f t="shared" si="54"/>
        <v>0.31363199999999997</v>
      </c>
      <c r="BL52" s="386">
        <f t="shared" si="55"/>
        <v>10.649331696228641</v>
      </c>
      <c r="BQ52">
        <v>9.9959819999999997</v>
      </c>
      <c r="BR52">
        <v>11.519</v>
      </c>
      <c r="BS52">
        <v>5.1101260000000002</v>
      </c>
      <c r="BT52">
        <v>88.591390420220321</v>
      </c>
      <c r="BU52">
        <v>7580.3207309739973</v>
      </c>
    </row>
    <row r="53" spans="1:73" x14ac:dyDescent="0.3">
      <c r="A53" s="23" t="s">
        <v>76</v>
      </c>
      <c r="B53" s="5">
        <f>Vsd_Q2</f>
        <v>0.8</v>
      </c>
      <c r="C53" s="482" t="s">
        <v>0</v>
      </c>
      <c r="D53" s="21" t="s">
        <v>109</v>
      </c>
      <c r="G53">
        <v>44</v>
      </c>
      <c r="H53" s="610">
        <f t="shared" si="0"/>
        <v>8.3000000000000007</v>
      </c>
      <c r="I53" s="4" t="str">
        <f t="shared" si="1"/>
        <v>BOOST</v>
      </c>
      <c r="J53">
        <f t="shared" si="43"/>
        <v>2</v>
      </c>
      <c r="K53">
        <f t="shared" si="2"/>
        <v>10</v>
      </c>
      <c r="L53" s="4">
        <f t="shared" si="3"/>
        <v>64.257028112449788</v>
      </c>
      <c r="M53" s="4">
        <f t="shared" si="4"/>
        <v>63.444012151574917</v>
      </c>
      <c r="N53" s="386">
        <f t="shared" si="5"/>
        <v>1</v>
      </c>
      <c r="O53" s="386">
        <f t="shared" si="58"/>
        <v>0.84238071236559142</v>
      </c>
      <c r="P53" s="4">
        <f t="shared" si="6"/>
        <v>3.2058718319978081</v>
      </c>
      <c r="Q53" s="386">
        <f t="shared" si="7"/>
        <v>64.263692157348288</v>
      </c>
      <c r="R53" s="386">
        <f t="shared" si="8"/>
        <v>-22.0223556496139</v>
      </c>
      <c r="S53" s="386">
        <f t="shared" si="45"/>
        <v>0.47076799568042793</v>
      </c>
      <c r="T53" s="386">
        <f t="shared" si="46"/>
        <v>-21.551587653933471</v>
      </c>
      <c r="U53" s="4">
        <f t="shared" si="9"/>
        <v>23.21674889676537</v>
      </c>
      <c r="V53" s="386">
        <f t="shared" si="10"/>
        <v>1.0780348586709121</v>
      </c>
      <c r="W53" s="386">
        <f t="shared" si="47"/>
        <v>1.0780348586709121</v>
      </c>
      <c r="X53" s="386">
        <f t="shared" si="11"/>
        <v>0.92545548259568666</v>
      </c>
      <c r="Y53" s="386">
        <f t="shared" si="12"/>
        <v>1.7129357005328306E-3</v>
      </c>
      <c r="Z53" s="603">
        <f t="shared" si="48"/>
        <v>1.7129357005328306E-3</v>
      </c>
      <c r="AA53" s="386">
        <f t="shared" si="13"/>
        <v>64.263692157348288</v>
      </c>
      <c r="AB53" s="386">
        <f t="shared" si="14"/>
        <v>23.539986139258239</v>
      </c>
      <c r="AC53" s="386">
        <f t="shared" si="15"/>
        <v>0</v>
      </c>
      <c r="AD53">
        <f t="shared" si="16"/>
        <v>0</v>
      </c>
      <c r="AE53" s="386">
        <f t="shared" si="17"/>
        <v>-6.3484368225638939</v>
      </c>
      <c r="AF53" s="386">
        <f t="shared" si="18"/>
        <v>0</v>
      </c>
      <c r="AG53" s="386">
        <f t="shared" si="19"/>
        <v>0</v>
      </c>
      <c r="AH53" s="386">
        <f t="shared" si="20"/>
        <v>0</v>
      </c>
      <c r="AI53" s="386">
        <f t="shared" si="21"/>
        <v>0</v>
      </c>
      <c r="AJ53" s="386">
        <f t="shared" si="22"/>
        <v>58.982052418978917</v>
      </c>
      <c r="AK53" s="386">
        <f t="shared" si="23"/>
        <v>6.6098767643548362</v>
      </c>
      <c r="AL53" s="386">
        <f t="shared" si="24"/>
        <v>5.6270125156809065</v>
      </c>
      <c r="AM53">
        <f t="shared" si="25"/>
        <v>0</v>
      </c>
      <c r="AN53" s="386">
        <f t="shared" si="26"/>
        <v>-38.00567084071097</v>
      </c>
      <c r="AO53" s="386">
        <f t="shared" si="27"/>
        <v>25.513518419442896</v>
      </c>
      <c r="AP53" s="386">
        <f t="shared" si="28"/>
        <v>1.2367852820645786</v>
      </c>
      <c r="AQ53" s="386">
        <f t="shared" si="29"/>
        <v>3.0843373493975901</v>
      </c>
      <c r="AR53" s="386">
        <f t="shared" si="30"/>
        <v>5.7412650557351501</v>
      </c>
      <c r="AS53" s="386">
        <f t="shared" si="31"/>
        <v>23.539986139258239</v>
      </c>
      <c r="AT53" s="386">
        <f t="shared" si="32"/>
        <v>0</v>
      </c>
      <c r="AU53" s="386">
        <f t="shared" si="33"/>
        <v>0.95039999999999991</v>
      </c>
      <c r="AV53" s="386">
        <f t="shared" si="34"/>
        <v>10.436647522665531</v>
      </c>
      <c r="AW53" s="386">
        <f t="shared" si="35"/>
        <v>0.249</v>
      </c>
      <c r="AX53" s="386">
        <f t="shared" si="36"/>
        <v>0.14400000000000002</v>
      </c>
      <c r="AY53" s="386">
        <f t="shared" si="37"/>
        <v>1.2671999999999999</v>
      </c>
      <c r="AZ53" s="386">
        <f t="shared" si="38"/>
        <v>0.10439999999999998</v>
      </c>
      <c r="BA53" s="386">
        <f t="shared" si="56"/>
        <v>1.4112</v>
      </c>
      <c r="BB53" s="386">
        <f t="shared" si="57"/>
        <v>-46.0374349444362</v>
      </c>
      <c r="BC53">
        <f t="shared" si="39"/>
        <v>480</v>
      </c>
      <c r="BD53" s="604">
        <f t="shared" si="50"/>
        <v>1.1060861895738441</v>
      </c>
      <c r="BE53" s="614">
        <f t="shared" si="40"/>
        <v>-1852.7635420355484</v>
      </c>
      <c r="BF53" s="614">
        <f t="shared" si="41"/>
        <v>287.06325278675752</v>
      </c>
      <c r="BG53" s="9"/>
      <c r="BH53" s="4">
        <f t="shared" si="51"/>
        <v>110.60861895738441</v>
      </c>
      <c r="BI53" s="386">
        <f t="shared" si="52"/>
        <v>-21.551587653933471</v>
      </c>
      <c r="BJ53" s="386">
        <f t="shared" si="53"/>
        <v>-37.66244260753971</v>
      </c>
      <c r="BK53" s="386">
        <f t="shared" si="54"/>
        <v>0.31363199999999997</v>
      </c>
      <c r="BL53" s="386">
        <f t="shared" si="55"/>
        <v>10.436647522665531</v>
      </c>
      <c r="BQ53">
        <v>9.9955739999999995</v>
      </c>
      <c r="BR53">
        <v>12.605</v>
      </c>
      <c r="BS53">
        <v>5.1111979999999999</v>
      </c>
      <c r="BT53">
        <v>87.386508098290477</v>
      </c>
      <c r="BU53">
        <v>9299.4335961019988</v>
      </c>
    </row>
    <row r="54" spans="1:73" x14ac:dyDescent="0.3">
      <c r="A54" s="23" t="s">
        <v>77</v>
      </c>
      <c r="B54" s="5">
        <f>Qrr_Q2*1000000000</f>
        <v>62.999999999999993</v>
      </c>
      <c r="C54" s="482" t="s">
        <v>69</v>
      </c>
      <c r="D54" s="21" t="s">
        <v>114</v>
      </c>
      <c r="G54">
        <v>45</v>
      </c>
      <c r="H54" s="610">
        <f t="shared" si="0"/>
        <v>8.375</v>
      </c>
      <c r="I54" s="4" t="str">
        <f t="shared" si="1"/>
        <v>BOOST</v>
      </c>
      <c r="J54">
        <f t="shared" si="43"/>
        <v>2</v>
      </c>
      <c r="K54">
        <f t="shared" si="2"/>
        <v>10</v>
      </c>
      <c r="L54" s="4">
        <f t="shared" si="3"/>
        <v>63.681592039800989</v>
      </c>
      <c r="M54" s="4">
        <f t="shared" si="4"/>
        <v>62.764564303699082</v>
      </c>
      <c r="N54" s="386">
        <f t="shared" si="5"/>
        <v>1</v>
      </c>
      <c r="O54" s="386">
        <f t="shared" si="58"/>
        <v>0.84067442973692974</v>
      </c>
      <c r="P54" s="4">
        <f t="shared" si="6"/>
        <v>3.2341293256467036</v>
      </c>
      <c r="Q54" s="386">
        <f t="shared" si="7"/>
        <v>63.688435350788467</v>
      </c>
      <c r="R54" s="386">
        <f t="shared" si="8"/>
        <v>-22.331052137681162</v>
      </c>
      <c r="S54" s="386">
        <f t="shared" si="45"/>
        <v>0.48038340578974298</v>
      </c>
      <c r="T54" s="386">
        <f t="shared" si="46"/>
        <v>-21.850668731891417</v>
      </c>
      <c r="U54" s="4">
        <f t="shared" si="9"/>
        <v>23.070430751149882</v>
      </c>
      <c r="V54" s="386">
        <f t="shared" si="10"/>
        <v>1.0644895500872043</v>
      </c>
      <c r="W54" s="386">
        <f t="shared" si="47"/>
        <v>1.0644895500872043</v>
      </c>
      <c r="X54" s="386">
        <f t="shared" si="11"/>
        <v>0.93361271837809368</v>
      </c>
      <c r="Y54" s="386">
        <f t="shared" si="12"/>
        <v>1.7432654158346672E-3</v>
      </c>
      <c r="Z54" s="603">
        <f t="shared" si="48"/>
        <v>1.7432654158346672E-3</v>
      </c>
      <c r="AA54" s="386">
        <f t="shared" si="13"/>
        <v>63.688435350788467</v>
      </c>
      <c r="AB54" s="386">
        <f t="shared" si="14"/>
        <v>23.120435745359906</v>
      </c>
      <c r="AC54" s="386">
        <f t="shared" si="15"/>
        <v>0</v>
      </c>
      <c r="AD54">
        <f t="shared" si="16"/>
        <v>0</v>
      </c>
      <c r="AE54" s="386">
        <f t="shared" si="17"/>
        <v>-6.3796577715523055</v>
      </c>
      <c r="AF54" s="386">
        <f t="shared" si="18"/>
        <v>0</v>
      </c>
      <c r="AG54" s="386">
        <f t="shared" si="19"/>
        <v>0</v>
      </c>
      <c r="AH54" s="386">
        <f t="shared" si="20"/>
        <v>0</v>
      </c>
      <c r="AI54" s="386">
        <f t="shared" si="21"/>
        <v>0</v>
      </c>
      <c r="AJ54" s="386">
        <f t="shared" si="22"/>
        <v>58.394843463015931</v>
      </c>
      <c r="AK54" s="386">
        <f t="shared" si="23"/>
        <v>6.4789197118332549</v>
      </c>
      <c r="AL54" s="386">
        <f t="shared" si="24"/>
        <v>5.5766213588240641</v>
      </c>
      <c r="AM54">
        <f t="shared" si="25"/>
        <v>0</v>
      </c>
      <c r="AN54" s="386">
        <f t="shared" si="26"/>
        <v>-40.757929501505465</v>
      </c>
      <c r="AO54" s="386">
        <f t="shared" si="27"/>
        <v>25.42162572223555</v>
      </c>
      <c r="AP54" s="386">
        <f t="shared" si="28"/>
        <v>1.2278922032867134</v>
      </c>
      <c r="AQ54" s="386">
        <f t="shared" si="29"/>
        <v>3.0567164179104473</v>
      </c>
      <c r="AR54" s="386">
        <f t="shared" si="30"/>
        <v>5.679329505018953</v>
      </c>
      <c r="AS54" s="386">
        <f t="shared" si="31"/>
        <v>23.120435745359906</v>
      </c>
      <c r="AT54" s="386">
        <f t="shared" si="32"/>
        <v>0</v>
      </c>
      <c r="AU54" s="386">
        <f t="shared" si="33"/>
        <v>0.95039999999999991</v>
      </c>
      <c r="AV54" s="386">
        <f t="shared" si="34"/>
        <v>10.229873229210403</v>
      </c>
      <c r="AW54" s="386">
        <f t="shared" si="35"/>
        <v>0.249</v>
      </c>
      <c r="AX54" s="386">
        <f t="shared" si="36"/>
        <v>0.14400000000000002</v>
      </c>
      <c r="AY54" s="386">
        <f t="shared" si="37"/>
        <v>1.2671999999999999</v>
      </c>
      <c r="AZ54" s="386">
        <f t="shared" si="38"/>
        <v>0.10439999999999998</v>
      </c>
      <c r="BA54" s="386">
        <f t="shared" si="56"/>
        <v>1.4112</v>
      </c>
      <c r="BB54" s="386">
        <f t="shared" si="57"/>
        <v>-49.402220455216785</v>
      </c>
      <c r="BC54">
        <f t="shared" si="39"/>
        <v>480</v>
      </c>
      <c r="BD54" s="604">
        <f t="shared" si="50"/>
        <v>1.1147293897043395</v>
      </c>
      <c r="BE54" s="614">
        <f t="shared" si="40"/>
        <v>-1990.3764750752732</v>
      </c>
      <c r="BF54" s="614">
        <f t="shared" si="41"/>
        <v>283.96647525094767</v>
      </c>
      <c r="BG54" s="9"/>
      <c r="BH54" s="4">
        <f t="shared" si="51"/>
        <v>111.47293897043396</v>
      </c>
      <c r="BI54" s="386">
        <f t="shared" si="52"/>
        <v>-21.850668731891417</v>
      </c>
      <c r="BJ54" s="386">
        <f t="shared" si="53"/>
        <v>-40.507857768038811</v>
      </c>
      <c r="BK54" s="386">
        <f t="shared" si="54"/>
        <v>0.31363199999999997</v>
      </c>
      <c r="BL54" s="386">
        <f t="shared" si="55"/>
        <v>10.229873229210403</v>
      </c>
      <c r="BQ54">
        <v>9.9949670000000008</v>
      </c>
      <c r="BR54">
        <v>13.75</v>
      </c>
      <c r="BS54">
        <v>5.1122329999999998</v>
      </c>
      <c r="BT54">
        <v>85.985113444924963</v>
      </c>
      <c r="BU54">
        <v>11457.230537720005</v>
      </c>
    </row>
    <row r="55" spans="1:73" x14ac:dyDescent="0.3">
      <c r="A55" s="23" t="s">
        <v>78</v>
      </c>
      <c r="B55" s="5">
        <f>Trr_Q2*1000000000</f>
        <v>40</v>
      </c>
      <c r="C55" s="482" t="s">
        <v>79</v>
      </c>
      <c r="D55" s="76" t="s">
        <v>110</v>
      </c>
      <c r="G55">
        <v>46</v>
      </c>
      <c r="H55" s="610">
        <f t="shared" si="0"/>
        <v>8.4499999999999993</v>
      </c>
      <c r="I55" s="4" t="str">
        <f t="shared" si="1"/>
        <v>BOOST</v>
      </c>
      <c r="J55">
        <f t="shared" si="43"/>
        <v>2</v>
      </c>
      <c r="K55">
        <f t="shared" si="2"/>
        <v>10</v>
      </c>
      <c r="L55" s="4">
        <f t="shared" si="3"/>
        <v>63.116370808678504</v>
      </c>
      <c r="M55" s="4">
        <f t="shared" si="4"/>
        <v>62.100503413734401</v>
      </c>
      <c r="N55" s="386">
        <f t="shared" si="5"/>
        <v>1</v>
      </c>
      <c r="O55" s="386">
        <f t="shared" si="58"/>
        <v>0.83897070957095721</v>
      </c>
      <c r="P55" s="4">
        <f t="shared" si="6"/>
        <v>3.2622042109495308</v>
      </c>
      <c r="Q55" s="386">
        <f t="shared" si="7"/>
        <v>63.123395784907665</v>
      </c>
      <c r="R55" s="386">
        <f t="shared" si="8"/>
        <v>-22.651415810364551</v>
      </c>
      <c r="S55" s="386">
        <f t="shared" si="45"/>
        <v>0.4900457912086158</v>
      </c>
      <c r="T55" s="386">
        <f t="shared" si="46"/>
        <v>-22.161370019155935</v>
      </c>
      <c r="U55" s="4">
        <f t="shared" si="9"/>
        <v>22.926523289950008</v>
      </c>
      <c r="V55" s="386">
        <f t="shared" si="10"/>
        <v>1.0512509403292405</v>
      </c>
      <c r="W55" s="386">
        <f t="shared" si="47"/>
        <v>1.0512509403292405</v>
      </c>
      <c r="X55" s="386">
        <f t="shared" si="11"/>
        <v>0.94171723967162124</v>
      </c>
      <c r="Y55" s="386">
        <f t="shared" si="12"/>
        <v>1.7736627189894754E-3</v>
      </c>
      <c r="Z55" s="603">
        <f t="shared" si="48"/>
        <v>1.7736627189894754E-3</v>
      </c>
      <c r="AA55" s="386">
        <f t="shared" si="13"/>
        <v>63.123395784907665</v>
      </c>
      <c r="AB55" s="386">
        <f t="shared" si="14"/>
        <v>22.712009643883164</v>
      </c>
      <c r="AC55" s="386">
        <f t="shared" si="15"/>
        <v>0</v>
      </c>
      <c r="AD55">
        <f t="shared" si="16"/>
        <v>0</v>
      </c>
      <c r="AE55" s="386">
        <f t="shared" si="17"/>
        <v>-6.4114716795354587</v>
      </c>
      <c r="AF55" s="386">
        <f t="shared" si="18"/>
        <v>0</v>
      </c>
      <c r="AG55" s="386">
        <f t="shared" si="19"/>
        <v>0</v>
      </c>
      <c r="AH55" s="386">
        <f t="shared" si="20"/>
        <v>0</v>
      </c>
      <c r="AI55" s="386">
        <f t="shared" si="21"/>
        <v>0</v>
      </c>
      <c r="AJ55" s="386">
        <f t="shared" si="22"/>
        <v>57.818091697090559</v>
      </c>
      <c r="AK55" s="386">
        <f t="shared" si="23"/>
        <v>6.3515702822370272</v>
      </c>
      <c r="AL55" s="386">
        <f t="shared" si="24"/>
        <v>5.5271247195445605</v>
      </c>
      <c r="AM55">
        <f t="shared" si="25"/>
        <v>0</v>
      </c>
      <c r="AN55" s="386">
        <f t="shared" si="26"/>
        <v>-43.944052180996401</v>
      </c>
      <c r="AO55" s="386">
        <f t="shared" si="27"/>
        <v>25.330443500359934</v>
      </c>
      <c r="AP55" s="386">
        <f t="shared" si="28"/>
        <v>1.219099599057361</v>
      </c>
      <c r="AQ55" s="386">
        <f t="shared" si="29"/>
        <v>3.0295857988165684</v>
      </c>
      <c r="AR55" s="386">
        <f t="shared" si="30"/>
        <v>5.6186158683453602</v>
      </c>
      <c r="AS55" s="386">
        <f t="shared" si="31"/>
        <v>22.712009643883164</v>
      </c>
      <c r="AT55" s="386">
        <f t="shared" si="32"/>
        <v>0</v>
      </c>
      <c r="AU55" s="386">
        <f t="shared" si="33"/>
        <v>0.95039999999999991</v>
      </c>
      <c r="AV55" s="386">
        <f t="shared" si="34"/>
        <v>10.028795182479517</v>
      </c>
      <c r="AW55" s="386">
        <f t="shared" si="35"/>
        <v>0.249</v>
      </c>
      <c r="AX55" s="386">
        <f t="shared" si="36"/>
        <v>0.14400000000000002</v>
      </c>
      <c r="AY55" s="386">
        <f t="shared" si="37"/>
        <v>1.2671999999999999</v>
      </c>
      <c r="AZ55" s="386">
        <f t="shared" si="38"/>
        <v>0.10439999999999998</v>
      </c>
      <c r="BA55" s="386">
        <f t="shared" si="56"/>
        <v>1.4112</v>
      </c>
      <c r="BB55" s="386">
        <f t="shared" si="57"/>
        <v>-53.205858225814687</v>
      </c>
      <c r="BC55">
        <f t="shared" si="39"/>
        <v>480</v>
      </c>
      <c r="BD55" s="604">
        <f t="shared" si="50"/>
        <v>1.1246639843851596</v>
      </c>
      <c r="BE55" s="614">
        <f t="shared" si="40"/>
        <v>-2149.6826090498198</v>
      </c>
      <c r="BF55" s="614">
        <f t="shared" si="41"/>
        <v>280.93079341726803</v>
      </c>
      <c r="BG55" s="9"/>
      <c r="BH55" s="4">
        <f t="shared" si="51"/>
        <v>112.46639843851595</v>
      </c>
      <c r="BI55" s="386">
        <f t="shared" si="52"/>
        <v>-22.161370019155935</v>
      </c>
      <c r="BJ55" s="386">
        <f t="shared" si="53"/>
        <v>-43.7865079921865</v>
      </c>
      <c r="BK55" s="386">
        <f t="shared" si="54"/>
        <v>0.31363199999999997</v>
      </c>
      <c r="BL55" s="386">
        <f t="shared" si="55"/>
        <v>10.028795182479517</v>
      </c>
      <c r="BQ55">
        <v>9.9943860000000004</v>
      </c>
      <c r="BR55">
        <v>14.954000000000001</v>
      </c>
      <c r="BS55">
        <v>5.1130310000000003</v>
      </c>
      <c r="BT55">
        <v>84.352650264578628</v>
      </c>
      <c r="BU55">
        <v>14183.318533699994</v>
      </c>
    </row>
    <row r="56" spans="1:73" ht="14.15" x14ac:dyDescent="0.4">
      <c r="A56" s="488" t="s">
        <v>679</v>
      </c>
      <c r="B56" s="5">
        <f>ThetaJA_Q2</f>
        <v>50</v>
      </c>
      <c r="C56" s="483" t="s">
        <v>241</v>
      </c>
      <c r="D56" s="76" t="s">
        <v>107</v>
      </c>
      <c r="E56" s="2"/>
      <c r="G56">
        <v>47</v>
      </c>
      <c r="H56" s="610">
        <f t="shared" si="0"/>
        <v>8.5250000000000004</v>
      </c>
      <c r="I56" s="4" t="str">
        <f t="shared" si="1"/>
        <v>BOOST</v>
      </c>
      <c r="J56">
        <f t="shared" si="43"/>
        <v>2</v>
      </c>
      <c r="K56">
        <f t="shared" si="2"/>
        <v>10</v>
      </c>
      <c r="L56" s="4">
        <f t="shared" si="3"/>
        <v>62.561094819159329</v>
      </c>
      <c r="M56" s="4">
        <f t="shared" si="4"/>
        <v>61.451289186786809</v>
      </c>
      <c r="N56" s="386">
        <f t="shared" si="5"/>
        <v>1</v>
      </c>
      <c r="O56" s="386">
        <f t="shared" si="58"/>
        <v>0.83726948397121359</v>
      </c>
      <c r="P56" s="4">
        <f t="shared" si="6"/>
        <v>3.290098208839014</v>
      </c>
      <c r="Q56" s="386">
        <f t="shared" si="7"/>
        <v>62.568303853925599</v>
      </c>
      <c r="R56" s="386">
        <f t="shared" si="8"/>
        <v>-22.984080330562065</v>
      </c>
      <c r="S56" s="386">
        <f t="shared" si="45"/>
        <v>0.49975391536504238</v>
      </c>
      <c r="T56" s="386">
        <f t="shared" si="46"/>
        <v>-22.484326415197025</v>
      </c>
      <c r="U56" s="4">
        <f t="shared" si="9"/>
        <v>22.78495376567593</v>
      </c>
      <c r="V56" s="386">
        <f t="shared" si="10"/>
        <v>1.0383082362079794</v>
      </c>
      <c r="W56" s="386">
        <f t="shared" si="47"/>
        <v>1.0383082362079794</v>
      </c>
      <c r="X56" s="386">
        <f t="shared" si="11"/>
        <v>0.94976954326675522</v>
      </c>
      <c r="Y56" s="386">
        <f t="shared" si="12"/>
        <v>1.8041243706342816E-3</v>
      </c>
      <c r="Z56" s="603">
        <f t="shared" si="48"/>
        <v>1.8041243706342816E-3</v>
      </c>
      <c r="AA56" s="386">
        <f t="shared" si="13"/>
        <v>62.568303853925599</v>
      </c>
      <c r="AB56" s="386">
        <f t="shared" si="14"/>
        <v>22.314318088795819</v>
      </c>
      <c r="AC56" s="386">
        <f t="shared" si="15"/>
        <v>0</v>
      </c>
      <c r="AD56">
        <f t="shared" si="16"/>
        <v>0</v>
      </c>
      <c r="AE56" s="386">
        <f t="shared" si="17"/>
        <v>-6.4438916896286917</v>
      </c>
      <c r="AF56" s="386">
        <f t="shared" si="18"/>
        <v>0</v>
      </c>
      <c r="AG56" s="386">
        <f t="shared" si="19"/>
        <v>0</v>
      </c>
      <c r="AH56" s="386">
        <f t="shared" si="20"/>
        <v>0</v>
      </c>
      <c r="AI56" s="386">
        <f t="shared" si="21"/>
        <v>0</v>
      </c>
      <c r="AJ56" s="386">
        <f t="shared" si="22"/>
        <v>57.251518927794201</v>
      </c>
      <c r="AK56" s="386">
        <f t="shared" si="23"/>
        <v>6.2276991971251974</v>
      </c>
      <c r="AL56" s="386">
        <f t="shared" si="24"/>
        <v>5.4784989888740796</v>
      </c>
      <c r="AM56">
        <f t="shared" si="25"/>
        <v>0</v>
      </c>
      <c r="AN56" s="386">
        <f t="shared" si="26"/>
        <v>-47.675351639109621</v>
      </c>
      <c r="AO56" s="386">
        <f t="shared" si="27"/>
        <v>25.239972813328929</v>
      </c>
      <c r="AP56" s="386">
        <f t="shared" si="28"/>
        <v>1.2104068324734085</v>
      </c>
      <c r="AQ56" s="386">
        <f t="shared" si="29"/>
        <v>3.0029325513196481</v>
      </c>
      <c r="AR56" s="386">
        <f t="shared" si="30"/>
        <v>5.5590919625589219</v>
      </c>
      <c r="AS56" s="386">
        <f t="shared" si="31"/>
        <v>22.314318088795819</v>
      </c>
      <c r="AT56" s="386">
        <f t="shared" si="32"/>
        <v>0</v>
      </c>
      <c r="AU56" s="386">
        <f t="shared" si="33"/>
        <v>0.95039999999999991</v>
      </c>
      <c r="AV56" s="386">
        <f t="shared" si="34"/>
        <v>9.8332092586187336</v>
      </c>
      <c r="AW56" s="386">
        <f t="shared" si="35"/>
        <v>0.249</v>
      </c>
      <c r="AX56" s="386">
        <f t="shared" si="36"/>
        <v>0.14400000000000002</v>
      </c>
      <c r="AY56" s="386">
        <f t="shared" si="37"/>
        <v>1.2671999999999999</v>
      </c>
      <c r="AZ56" s="386">
        <f t="shared" si="38"/>
        <v>0.10439999999999998</v>
      </c>
      <c r="BA56" s="386">
        <f t="shared" si="56"/>
        <v>1.4112</v>
      </c>
      <c r="BB56" s="386">
        <f t="shared" si="57"/>
        <v>-57.560556162179076</v>
      </c>
      <c r="BC56">
        <f t="shared" si="39"/>
        <v>480</v>
      </c>
      <c r="BD56" s="604">
        <f t="shared" si="50"/>
        <v>1.1362575322968118</v>
      </c>
      <c r="BE56" s="614">
        <f t="shared" si="40"/>
        <v>-2336.2475819554811</v>
      </c>
      <c r="BF56" s="614">
        <f t="shared" si="41"/>
        <v>277.9545981279461</v>
      </c>
      <c r="BG56" s="9"/>
      <c r="BH56" s="4">
        <f t="shared" si="51"/>
        <v>113.62575322968118</v>
      </c>
      <c r="BI56" s="386">
        <f t="shared" si="52"/>
        <v>-22.484326415197025</v>
      </c>
      <c r="BJ56" s="386">
        <f t="shared" si="53"/>
        <v>-47.609751366179388</v>
      </c>
      <c r="BK56" s="386">
        <f t="shared" si="54"/>
        <v>0.31363199999999997</v>
      </c>
      <c r="BL56" s="386">
        <f t="shared" si="55"/>
        <v>9.8332092586187336</v>
      </c>
      <c r="BR56" s="18"/>
      <c r="BS56" s="19"/>
    </row>
    <row r="57" spans="1:73" x14ac:dyDescent="0.3">
      <c r="A57" s="24" t="s">
        <v>279</v>
      </c>
      <c r="B57" s="15" t="s">
        <v>115</v>
      </c>
      <c r="C57" s="24" t="s">
        <v>80</v>
      </c>
      <c r="D57" s="24" t="s">
        <v>249</v>
      </c>
      <c r="G57">
        <v>48</v>
      </c>
      <c r="H57" s="610">
        <f t="shared" si="0"/>
        <v>8.6</v>
      </c>
      <c r="I57" s="4" t="str">
        <f t="shared" si="1"/>
        <v>BOOST</v>
      </c>
      <c r="J57">
        <f t="shared" si="43"/>
        <v>2</v>
      </c>
      <c r="K57">
        <f t="shared" si="2"/>
        <v>10</v>
      </c>
      <c r="L57" s="4">
        <f t="shared" si="3"/>
        <v>62.015503875968989</v>
      </c>
      <c r="M57" s="4">
        <f t="shared" si="4"/>
        <v>60.816407020311544</v>
      </c>
      <c r="N57" s="386">
        <f t="shared" si="5"/>
        <v>1</v>
      </c>
      <c r="O57" s="386">
        <f t="shared" si="58"/>
        <v>0.83557068741893636</v>
      </c>
      <c r="P57" s="4">
        <f t="shared" si="6"/>
        <v>3.3178129793292825</v>
      </c>
      <c r="Q57" s="386">
        <f t="shared" si="7"/>
        <v>62.022899356373273</v>
      </c>
      <c r="R57" s="386">
        <f t="shared" si="8"/>
        <v>-23.329726655695239</v>
      </c>
      <c r="S57" s="386">
        <f t="shared" si="45"/>
        <v>0.50950654771750159</v>
      </c>
      <c r="T57" s="386">
        <f t="shared" si="46"/>
        <v>-22.82022010797774</v>
      </c>
      <c r="U57" s="4">
        <f t="shared" si="9"/>
        <v>22.645652541859661</v>
      </c>
      <c r="V57" s="386">
        <f t="shared" si="10"/>
        <v>1.0256511580932699</v>
      </c>
      <c r="W57" s="386">
        <f t="shared" si="47"/>
        <v>1.0256511580932699</v>
      </c>
      <c r="X57" s="386">
        <f t="shared" si="11"/>
        <v>0.95777010836829779</v>
      </c>
      <c r="Y57" s="386">
        <f t="shared" si="12"/>
        <v>1.8346471609676418E-3</v>
      </c>
      <c r="Z57" s="603">
        <f t="shared" si="48"/>
        <v>1.8346471609676418E-3</v>
      </c>
      <c r="AA57" s="386">
        <f t="shared" si="13"/>
        <v>62.022899356373273</v>
      </c>
      <c r="AB57" s="386">
        <f t="shared" si="14"/>
        <v>21.926988254053608</v>
      </c>
      <c r="AC57" s="386">
        <f t="shared" si="15"/>
        <v>0</v>
      </c>
      <c r="AD57">
        <f t="shared" si="16"/>
        <v>0</v>
      </c>
      <c r="AE57" s="386">
        <f t="shared" si="17"/>
        <v>-6.4769313728337403</v>
      </c>
      <c r="AF57" s="386">
        <f t="shared" si="18"/>
        <v>0</v>
      </c>
      <c r="AG57" s="386">
        <f t="shared" si="19"/>
        <v>0</v>
      </c>
      <c r="AH57" s="386">
        <f t="shared" si="20"/>
        <v>0</v>
      </c>
      <c r="AI57" s="386">
        <f t="shared" si="21"/>
        <v>0</v>
      </c>
      <c r="AJ57" s="386">
        <f t="shared" si="22"/>
        <v>56.694856737033227</v>
      </c>
      <c r="AK57" s="386">
        <f t="shared" si="23"/>
        <v>6.1071828828221717</v>
      </c>
      <c r="AL57" s="386">
        <f t="shared" si="24"/>
        <v>5.4307213814129689</v>
      </c>
      <c r="AM57">
        <f t="shared" si="25"/>
        <v>0</v>
      </c>
      <c r="AN57" s="386">
        <f t="shared" si="26"/>
        <v>-52.104780715293444</v>
      </c>
      <c r="AO57" s="386">
        <f t="shared" si="27"/>
        <v>25.150213997858668</v>
      </c>
      <c r="AP57" s="386">
        <f t="shared" si="28"/>
        <v>1.2018132018623635</v>
      </c>
      <c r="AQ57" s="386">
        <f t="shared" si="29"/>
        <v>2.9767441860465116</v>
      </c>
      <c r="AR57" s="386">
        <f t="shared" si="30"/>
        <v>5.5007265439890238</v>
      </c>
      <c r="AS57" s="386">
        <f t="shared" si="31"/>
        <v>21.926988254053608</v>
      </c>
      <c r="AT57" s="386">
        <f t="shared" si="32"/>
        <v>0</v>
      </c>
      <c r="AU57" s="386">
        <f t="shared" si="33"/>
        <v>0.95039999999999991</v>
      </c>
      <c r="AV57" s="386">
        <f t="shared" si="34"/>
        <v>9.6429203412981668</v>
      </c>
      <c r="AW57" s="386">
        <f t="shared" si="35"/>
        <v>0.249</v>
      </c>
      <c r="AX57" s="386">
        <f t="shared" si="36"/>
        <v>0.14400000000000002</v>
      </c>
      <c r="AY57" s="386">
        <f t="shared" si="37"/>
        <v>1.2671999999999999</v>
      </c>
      <c r="AZ57" s="386">
        <f t="shared" si="38"/>
        <v>0.10439999999999998</v>
      </c>
      <c r="BA57" s="386">
        <f t="shared" si="56"/>
        <v>1.4112</v>
      </c>
      <c r="BB57" s="386">
        <f t="shared" si="57"/>
        <v>-62.620199505563512</v>
      </c>
      <c r="BC57">
        <f t="shared" si="39"/>
        <v>480</v>
      </c>
      <c r="BD57" s="604">
        <f t="shared" si="50"/>
        <v>1.1500316963863186</v>
      </c>
      <c r="BE57" s="614">
        <f t="shared" si="40"/>
        <v>-2557.7190357646723</v>
      </c>
      <c r="BF57" s="614">
        <f t="shared" si="41"/>
        <v>275.03632719945119</v>
      </c>
      <c r="BG57" s="9"/>
      <c r="BH57" s="4">
        <f t="shared" si="51"/>
        <v>115.00316963863186</v>
      </c>
      <c r="BI57" s="386">
        <f t="shared" si="52"/>
        <v>-22.82022010797774</v>
      </c>
      <c r="BJ57" s="386">
        <f t="shared" si="53"/>
        <v>-52.130585544138157</v>
      </c>
      <c r="BK57" s="386">
        <f t="shared" si="54"/>
        <v>0.31363199999999997</v>
      </c>
      <c r="BL57" s="386">
        <f t="shared" si="55"/>
        <v>9.6429203412981668</v>
      </c>
      <c r="BR57" s="18"/>
      <c r="BS57" s="19"/>
    </row>
    <row r="58" spans="1:73" x14ac:dyDescent="0.3">
      <c r="A58" s="23" t="s">
        <v>231</v>
      </c>
      <c r="B58" s="73">
        <f>VfdSky_Q2</f>
        <v>0</v>
      </c>
      <c r="C58" s="482" t="s">
        <v>0</v>
      </c>
      <c r="D58" s="76" t="s">
        <v>234</v>
      </c>
      <c r="G58">
        <v>49</v>
      </c>
      <c r="H58" s="610">
        <f t="shared" si="0"/>
        <v>8.6750000000000007</v>
      </c>
      <c r="I58" s="4" t="str">
        <f t="shared" si="1"/>
        <v>BOOST</v>
      </c>
      <c r="J58">
        <f t="shared" si="43"/>
        <v>2</v>
      </c>
      <c r="K58">
        <f t="shared" si="2"/>
        <v>10</v>
      </c>
      <c r="L58" s="4">
        <f t="shared" si="3"/>
        <v>61.479346781940436</v>
      </c>
      <c r="M58" s="4">
        <f t="shared" si="4"/>
        <v>60.195366470856762</v>
      </c>
      <c r="N58" s="386">
        <f t="shared" si="5"/>
        <v>1</v>
      </c>
      <c r="O58" s="386">
        <f t="shared" si="58"/>
        <v>0.83387425666988102</v>
      </c>
      <c r="P58" s="4">
        <f t="shared" si="6"/>
        <v>3.3453501241873576</v>
      </c>
      <c r="Q58" s="386">
        <f t="shared" si="7"/>
        <v>61.486931088553604</v>
      </c>
      <c r="R58" s="386">
        <f t="shared" si="8"/>
        <v>-23.689087523649906</v>
      </c>
      <c r="S58" s="386">
        <f t="shared" si="45"/>
        <v>0.51930246359048793</v>
      </c>
      <c r="T58" s="386">
        <f t="shared" si="46"/>
        <v>-23.169785060059418</v>
      </c>
      <c r="U58" s="4">
        <f t="shared" si="9"/>
        <v>22.508552921734285</v>
      </c>
      <c r="V58" s="386">
        <f t="shared" si="10"/>
        <v>1.0132699092610262</v>
      </c>
      <c r="W58" s="386">
        <f t="shared" si="47"/>
        <v>1.0132699092610262</v>
      </c>
      <c r="X58" s="386">
        <f t="shared" si="11"/>
        <v>0.96571939736655954</v>
      </c>
      <c r="Y58" s="386">
        <f t="shared" si="12"/>
        <v>1.8652279089000619E-3</v>
      </c>
      <c r="Z58" s="603">
        <f t="shared" si="48"/>
        <v>1.8652279089000619E-3</v>
      </c>
      <c r="AA58" s="386">
        <f t="shared" si="13"/>
        <v>61.486931088553604</v>
      </c>
      <c r="AB58" s="386">
        <f t="shared" si="14"/>
        <v>21.549663359724676</v>
      </c>
      <c r="AC58" s="386">
        <f t="shared" si="15"/>
        <v>0</v>
      </c>
      <c r="AD58">
        <f t="shared" si="16"/>
        <v>0</v>
      </c>
      <c r="AE58" s="386">
        <f t="shared" si="17"/>
        <v>-6.5106047450391102</v>
      </c>
      <c r="AF58" s="386">
        <f t="shared" si="18"/>
        <v>0</v>
      </c>
      <c r="AG58" s="386">
        <f t="shared" si="19"/>
        <v>0</v>
      </c>
      <c r="AH58" s="386">
        <f t="shared" si="20"/>
        <v>0</v>
      </c>
      <c r="AI58" s="386">
        <f t="shared" si="21"/>
        <v>0</v>
      </c>
      <c r="AJ58" s="386">
        <f t="shared" si="22"/>
        <v>56.147846056352172</v>
      </c>
      <c r="AK58" s="386">
        <f t="shared" si="23"/>
        <v>5.9899031718588613</v>
      </c>
      <c r="AL58" s="386">
        <f t="shared" si="24"/>
        <v>5.383769899729284</v>
      </c>
      <c r="AM58">
        <f t="shared" si="25"/>
        <v>0</v>
      </c>
      <c r="AN58" s="386">
        <f t="shared" si="26"/>
        <v>-57.448412101915075</v>
      </c>
      <c r="AO58" s="386">
        <f t="shared" si="27"/>
        <v>25.061166731034646</v>
      </c>
      <c r="AP58" s="386">
        <f t="shared" si="28"/>
        <v>1.1933179480493639</v>
      </c>
      <c r="AQ58" s="386">
        <f t="shared" si="29"/>
        <v>2.951008645533141</v>
      </c>
      <c r="AR58" s="386">
        <f t="shared" si="30"/>
        <v>5.4434892867646409</v>
      </c>
      <c r="AS58" s="386">
        <f t="shared" si="31"/>
        <v>21.549663359724676</v>
      </c>
      <c r="AT58" s="386">
        <f t="shared" si="32"/>
        <v>0</v>
      </c>
      <c r="AU58" s="386">
        <f t="shared" si="33"/>
        <v>0.95039999999999991</v>
      </c>
      <c r="AV58" s="386">
        <f t="shared" si="34"/>
        <v>9.4577418503034654</v>
      </c>
      <c r="AW58" s="386">
        <f t="shared" si="35"/>
        <v>0.249</v>
      </c>
      <c r="AX58" s="386">
        <f t="shared" si="36"/>
        <v>0.14400000000000002</v>
      </c>
      <c r="AY58" s="386">
        <f t="shared" si="37"/>
        <v>1.2671999999999999</v>
      </c>
      <c r="AZ58" s="386">
        <f t="shared" si="38"/>
        <v>0.10439999999999998</v>
      </c>
      <c r="BA58" s="386">
        <f t="shared" si="56"/>
        <v>1.4112</v>
      </c>
      <c r="BB58" s="386">
        <f t="shared" si="57"/>
        <v>-68.601835632775575</v>
      </c>
      <c r="BC58">
        <f t="shared" si="39"/>
        <v>480</v>
      </c>
      <c r="BD58" s="604">
        <f t="shared" si="50"/>
        <v>1.1667528967667922</v>
      </c>
      <c r="BE58" s="614">
        <f t="shared" si="40"/>
        <v>-2824.9006050957537</v>
      </c>
      <c r="BF58" s="614">
        <f t="shared" si="41"/>
        <v>272.17446433823204</v>
      </c>
      <c r="BG58" s="9"/>
      <c r="BH58" s="4">
        <f t="shared" si="51"/>
        <v>116.67528967667921</v>
      </c>
      <c r="BI58" s="386">
        <f t="shared" si="52"/>
        <v>-23.169785060059418</v>
      </c>
      <c r="BJ58" s="386">
        <f t="shared" si="53"/>
        <v>-57.565127560189545</v>
      </c>
      <c r="BK58" s="386">
        <f t="shared" si="54"/>
        <v>0.31363199999999997</v>
      </c>
      <c r="BL58" s="386">
        <f t="shared" si="55"/>
        <v>9.4577418503034654</v>
      </c>
      <c r="BR58" s="18"/>
      <c r="BS58" s="19"/>
    </row>
    <row r="59" spans="1:73" x14ac:dyDescent="0.3">
      <c r="A59" s="23" t="s">
        <v>232</v>
      </c>
      <c r="B59" s="73">
        <f>QrrSky_Q2*1000000000</f>
        <v>0</v>
      </c>
      <c r="C59" s="482" t="s">
        <v>69</v>
      </c>
      <c r="D59" s="76" t="s">
        <v>235</v>
      </c>
      <c r="G59">
        <v>50</v>
      </c>
      <c r="H59" s="610">
        <f t="shared" si="0"/>
        <v>8.75</v>
      </c>
      <c r="I59" s="4" t="str">
        <f t="shared" si="1"/>
        <v>BOOST</v>
      </c>
      <c r="J59">
        <f t="shared" si="43"/>
        <v>2</v>
      </c>
      <c r="K59">
        <f t="shared" si="2"/>
        <v>10</v>
      </c>
      <c r="L59" s="4">
        <f t="shared" si="3"/>
        <v>60.952380952380949</v>
      </c>
      <c r="M59" s="4">
        <f t="shared" si="4"/>
        <v>59.587699830285246</v>
      </c>
      <c r="N59" s="386">
        <f t="shared" si="5"/>
        <v>1</v>
      </c>
      <c r="O59" s="386">
        <f t="shared" si="58"/>
        <v>0.83218013065646923</v>
      </c>
      <c r="P59" s="4">
        <f t="shared" si="6"/>
        <v>3.3727111894652935</v>
      </c>
      <c r="Q59" s="386">
        <f t="shared" si="7"/>
        <v>60.960156458910113</v>
      </c>
      <c r="R59" s="386">
        <f t="shared" si="8"/>
        <v>-24.062952459413104</v>
      </c>
      <c r="S59" s="386">
        <f t="shared" si="45"/>
        <v>0.52914044402318539</v>
      </c>
      <c r="T59" s="386">
        <f t="shared" si="46"/>
        <v>-23.53381201538992</v>
      </c>
      <c r="U59" s="4">
        <f t="shared" si="9"/>
        <v>22.373590988365152</v>
      </c>
      <c r="V59" s="386">
        <f t="shared" si="10"/>
        <v>1.0011551474293086</v>
      </c>
      <c r="W59" s="386">
        <f t="shared" si="47"/>
        <v>1.0011551474293086</v>
      </c>
      <c r="X59" s="386">
        <f t="shared" si="11"/>
        <v>0.97361785656832511</v>
      </c>
      <c r="Y59" s="386">
        <f t="shared" si="12"/>
        <v>1.8958634612573995E-3</v>
      </c>
      <c r="Z59" s="603">
        <f t="shared" si="48"/>
        <v>1.8958634612573995E-3</v>
      </c>
      <c r="AA59" s="386">
        <f t="shared" si="13"/>
        <v>60.960156458910113</v>
      </c>
      <c r="AB59" s="386">
        <f t="shared" si="14"/>
        <v>21.182001850320361</v>
      </c>
      <c r="AC59" s="386">
        <f t="shared" si="15"/>
        <v>0</v>
      </c>
      <c r="AD59">
        <f t="shared" si="16"/>
        <v>0</v>
      </c>
      <c r="AE59" s="386">
        <f t="shared" si="17"/>
        <v>-6.5449262848468317</v>
      </c>
      <c r="AF59" s="386">
        <f t="shared" si="18"/>
        <v>0</v>
      </c>
      <c r="AG59" s="386">
        <f t="shared" si="19"/>
        <v>0</v>
      </c>
      <c r="AH59" s="386">
        <f t="shared" si="20"/>
        <v>0</v>
      </c>
      <c r="AI59" s="386">
        <f t="shared" si="21"/>
        <v>0</v>
      </c>
      <c r="AJ59" s="386">
        <f t="shared" si="22"/>
        <v>55.610236763307192</v>
      </c>
      <c r="AK59" s="386">
        <f t="shared" si="23"/>
        <v>5.8757470224550579</v>
      </c>
      <c r="AL59" s="386">
        <f t="shared" si="24"/>
        <v>5.3376233005887466</v>
      </c>
      <c r="AM59">
        <f t="shared" si="25"/>
        <v>0</v>
      </c>
      <c r="AN59" s="386">
        <f t="shared" si="26"/>
        <v>-64.021743925593867</v>
      </c>
      <c r="AO59" s="386">
        <f t="shared" si="27"/>
        <v>24.972830088392413</v>
      </c>
      <c r="AP59" s="386">
        <f t="shared" si="28"/>
        <v>1.1849202609850633</v>
      </c>
      <c r="AQ59" s="386">
        <f t="shared" si="29"/>
        <v>2.9257142857142857</v>
      </c>
      <c r="AR59" s="386">
        <f t="shared" si="30"/>
        <v>5.3873507605383963</v>
      </c>
      <c r="AS59" s="386">
        <f t="shared" si="31"/>
        <v>21.182001850320361</v>
      </c>
      <c r="AT59" s="386">
        <f t="shared" si="32"/>
        <v>0</v>
      </c>
      <c r="AU59" s="386">
        <f t="shared" si="33"/>
        <v>0.95039999999999991</v>
      </c>
      <c r="AV59" s="386">
        <f t="shared" si="34"/>
        <v>9.2774952986132497</v>
      </c>
      <c r="AW59" s="386">
        <f t="shared" si="35"/>
        <v>0.249</v>
      </c>
      <c r="AX59" s="386">
        <f t="shared" si="36"/>
        <v>0.14400000000000002</v>
      </c>
      <c r="AY59" s="386">
        <f t="shared" si="37"/>
        <v>1.2671999999999999</v>
      </c>
      <c r="AZ59" s="386">
        <f t="shared" si="38"/>
        <v>0.10439999999999998</v>
      </c>
      <c r="BA59" s="386">
        <f t="shared" si="56"/>
        <v>1.4112</v>
      </c>
      <c r="BB59" s="386">
        <f t="shared" si="57"/>
        <v>-75.821985155788425</v>
      </c>
      <c r="BC59">
        <f t="shared" si="39"/>
        <v>480</v>
      </c>
      <c r="BD59" s="604">
        <f t="shared" si="50"/>
        <v>1.187595520713846</v>
      </c>
      <c r="BE59" s="614">
        <f t="shared" si="40"/>
        <v>-3153.5671962796932</v>
      </c>
      <c r="BF59" s="614">
        <f t="shared" si="41"/>
        <v>269.36753802691982</v>
      </c>
      <c r="BG59" s="9"/>
      <c r="BH59" s="4">
        <f t="shared" si="51"/>
        <v>118.7595520713846</v>
      </c>
      <c r="BI59" s="386">
        <f t="shared" si="52"/>
        <v>-23.53381201538992</v>
      </c>
      <c r="BJ59" s="386">
        <f t="shared" si="53"/>
        <v>-64.228919449902307</v>
      </c>
      <c r="BK59" s="386">
        <f t="shared" si="54"/>
        <v>0.31363199999999997</v>
      </c>
      <c r="BL59" s="386">
        <f t="shared" si="55"/>
        <v>9.2774952986132497</v>
      </c>
      <c r="BR59" s="18"/>
      <c r="BS59" s="19"/>
    </row>
    <row r="60" spans="1:73" x14ac:dyDescent="0.3">
      <c r="A60" s="23" t="s">
        <v>233</v>
      </c>
      <c r="B60" s="73">
        <f>Ireverse</f>
        <v>0</v>
      </c>
      <c r="C60" s="482" t="s">
        <v>68</v>
      </c>
      <c r="D60" s="76" t="s">
        <v>236</v>
      </c>
      <c r="E60" s="2"/>
      <c r="G60">
        <v>51</v>
      </c>
      <c r="H60" s="610">
        <f t="shared" si="0"/>
        <v>8.8249999999999993</v>
      </c>
      <c r="I60" s="4" t="str">
        <f t="shared" si="1"/>
        <v>BOOST</v>
      </c>
      <c r="J60">
        <f t="shared" si="43"/>
        <v>2</v>
      </c>
      <c r="K60">
        <f t="shared" si="2"/>
        <v>10</v>
      </c>
      <c r="L60" s="4">
        <f t="shared" si="3"/>
        <v>60.434372049102926</v>
      </c>
      <c r="M60" s="4">
        <f t="shared" si="4"/>
        <v>58.992960802416128</v>
      </c>
      <c r="N60" s="386">
        <f t="shared" si="5"/>
        <v>1</v>
      </c>
      <c r="O60" s="386">
        <f t="shared" si="58"/>
        <v>0.83048825039494478</v>
      </c>
      <c r="P60" s="4">
        <f t="shared" si="6"/>
        <v>3.3998976679013864</v>
      </c>
      <c r="Q60" s="386">
        <f t="shared" si="7"/>
        <v>60.442341122059538</v>
      </c>
      <c r="R60" s="386">
        <f t="shared" si="8"/>
        <v>-24.452173374303722</v>
      </c>
      <c r="S60" s="386">
        <f t="shared" si="45"/>
        <v>0.53901927563036112</v>
      </c>
      <c r="T60" s="386">
        <f t="shared" si="46"/>
        <v>-23.91315409867336</v>
      </c>
      <c r="U60" s="4">
        <f t="shared" si="9"/>
        <v>22.240705455337846</v>
      </c>
      <c r="V60" s="386">
        <f t="shared" si="10"/>
        <v>0.98929795830218925</v>
      </c>
      <c r="W60" s="386">
        <f t="shared" si="47"/>
        <v>0.98929795830218925</v>
      </c>
      <c r="X60" s="386">
        <f t="shared" si="11"/>
        <v>0.98146591689002316</v>
      </c>
      <c r="Y60" s="386">
        <f t="shared" si="12"/>
        <v>1.9265506920335478E-3</v>
      </c>
      <c r="Z60" s="603">
        <f t="shared" si="48"/>
        <v>1.9265506920335478E-3</v>
      </c>
      <c r="AA60" s="386">
        <f t="shared" si="13"/>
        <v>60.442341122059538</v>
      </c>
      <c r="AB60" s="386">
        <f t="shared" si="14"/>
        <v>20.823676621797834</v>
      </c>
      <c r="AC60" s="386">
        <f t="shared" si="15"/>
        <v>0</v>
      </c>
      <c r="AD60">
        <f t="shared" si="16"/>
        <v>0</v>
      </c>
      <c r="AE60" s="386">
        <f t="shared" si="17"/>
        <v>-6.5799109522727068</v>
      </c>
      <c r="AF60" s="386">
        <f t="shared" si="18"/>
        <v>0</v>
      </c>
      <c r="AG60" s="386">
        <f t="shared" si="19"/>
        <v>0</v>
      </c>
      <c r="AH60" s="386">
        <f t="shared" si="20"/>
        <v>0</v>
      </c>
      <c r="AI60" s="386">
        <f t="shared" si="21"/>
        <v>0</v>
      </c>
      <c r="AJ60" s="386">
        <f t="shared" si="22"/>
        <v>55.081787298568443</v>
      </c>
      <c r="AK60" s="386">
        <f t="shared" si="23"/>
        <v>5.7646062548089985</v>
      </c>
      <c r="AL60" s="386">
        <f t="shared" si="24"/>
        <v>5.2922610629066895</v>
      </c>
      <c r="AM60">
        <f t="shared" si="25"/>
        <v>0</v>
      </c>
      <c r="AN60" s="386">
        <f t="shared" si="26"/>
        <v>-72.304321656888121</v>
      </c>
      <c r="AO60" s="386">
        <f t="shared" si="27"/>
        <v>24.885202597340314</v>
      </c>
      <c r="AP60" s="386">
        <f t="shared" si="28"/>
        <v>1.1766192857902789</v>
      </c>
      <c r="AQ60" s="386">
        <f t="shared" si="29"/>
        <v>2.9008498583569406</v>
      </c>
      <c r="AR60" s="386">
        <f t="shared" si="30"/>
        <v>5.3322824078088411</v>
      </c>
      <c r="AS60" s="386">
        <f t="shared" si="31"/>
        <v>20.823676621797834</v>
      </c>
      <c r="AT60" s="386">
        <f t="shared" si="32"/>
        <v>0</v>
      </c>
      <c r="AU60" s="386">
        <f t="shared" si="33"/>
        <v>0.95039999999999991</v>
      </c>
      <c r="AV60" s="386">
        <f t="shared" si="34"/>
        <v>9.1020098760142076</v>
      </c>
      <c r="AW60" s="386">
        <f t="shared" si="35"/>
        <v>0.249</v>
      </c>
      <c r="AX60" s="386">
        <f t="shared" si="36"/>
        <v>0.14400000000000002</v>
      </c>
      <c r="AY60" s="386">
        <f t="shared" si="37"/>
        <v>1.2671999999999999</v>
      </c>
      <c r="AZ60" s="386">
        <f t="shared" si="38"/>
        <v>0.10439999999999998</v>
      </c>
      <c r="BA60" s="386">
        <f t="shared" si="56"/>
        <v>1.4112</v>
      </c>
      <c r="BB60" s="386">
        <f t="shared" si="57"/>
        <v>-84.761269915016911</v>
      </c>
      <c r="BC60">
        <f t="shared" si="39"/>
        <v>480</v>
      </c>
      <c r="BD60" s="604">
        <f t="shared" si="50"/>
        <v>1.2144558806187638</v>
      </c>
      <c r="BE60" s="614">
        <f t="shared" si="40"/>
        <v>-3567.6960828444057</v>
      </c>
      <c r="BF60" s="614">
        <f t="shared" si="41"/>
        <v>266.61412039044205</v>
      </c>
      <c r="BG60" s="9"/>
      <c r="BH60" s="4">
        <f t="shared" si="51"/>
        <v>121.44558806187638</v>
      </c>
      <c r="BI60" s="386">
        <f t="shared" si="52"/>
        <v>-23.91315409867336</v>
      </c>
      <c r="BJ60" s="386">
        <f t="shared" si="53"/>
        <v>-72.601550201351984</v>
      </c>
      <c r="BK60" s="386">
        <f t="shared" si="54"/>
        <v>0.31363199999999997</v>
      </c>
      <c r="BL60" s="386">
        <f t="shared" si="55"/>
        <v>9.1020098760142076</v>
      </c>
      <c r="BR60" s="18"/>
      <c r="BS60" s="19"/>
    </row>
    <row r="61" spans="1:73" x14ac:dyDescent="0.3">
      <c r="A61" s="24" t="s">
        <v>121</v>
      </c>
      <c r="B61" s="15" t="s">
        <v>115</v>
      </c>
      <c r="C61" s="24" t="s">
        <v>80</v>
      </c>
      <c r="D61" s="24" t="s">
        <v>249</v>
      </c>
      <c r="G61">
        <v>52</v>
      </c>
      <c r="H61" s="610">
        <f t="shared" si="0"/>
        <v>8.9</v>
      </c>
      <c r="I61" s="4" t="str">
        <f t="shared" si="1"/>
        <v>BOOST</v>
      </c>
      <c r="J61">
        <f t="shared" si="43"/>
        <v>2</v>
      </c>
      <c r="K61">
        <f t="shared" si="2"/>
        <v>10</v>
      </c>
      <c r="L61" s="4">
        <f t="shared" si="3"/>
        <v>59.925093632958806</v>
      </c>
      <c r="M61" s="4">
        <f t="shared" si="4"/>
        <v>58.410723271878851</v>
      </c>
      <c r="N61" s="386">
        <f t="shared" si="5"/>
        <v>1</v>
      </c>
      <c r="O61" s="386">
        <f t="shared" si="58"/>
        <v>0.82879855889724308</v>
      </c>
      <c r="P61" s="4">
        <f t="shared" si="6"/>
        <v>3.426911001198282</v>
      </c>
      <c r="Q61" s="386">
        <f t="shared" si="7"/>
        <v>59.933258631328606</v>
      </c>
      <c r="R61" s="386">
        <f t="shared" si="8"/>
        <v>-24.857670841267531</v>
      </c>
      <c r="S61" s="386">
        <f t="shared" si="45"/>
        <v>0.54893775047466142</v>
      </c>
      <c r="T61" s="386">
        <f t="shared" si="46"/>
        <v>-24.30873309079287</v>
      </c>
      <c r="U61" s="4">
        <f t="shared" si="9"/>
        <v>22.109837527187775</v>
      </c>
      <c r="V61" s="386">
        <f t="shared" si="10"/>
        <v>0.97768983095728168</v>
      </c>
      <c r="W61" s="386">
        <f t="shared" si="47"/>
        <v>0.97768983095728168</v>
      </c>
      <c r="X61" s="386">
        <f t="shared" si="11"/>
        <v>0.98926399451535907</v>
      </c>
      <c r="Y61" s="386">
        <f t="shared" si="12"/>
        <v>1.9572865016889685E-3</v>
      </c>
      <c r="Z61" s="603">
        <f t="shared" si="48"/>
        <v>1.9572865016889685E-3</v>
      </c>
      <c r="AA61" s="386">
        <f t="shared" si="13"/>
        <v>59.933258631328606</v>
      </c>
      <c r="AB61" s="386">
        <f t="shared" si="14"/>
        <v>20.474374293967433</v>
      </c>
      <c r="AC61" s="386">
        <f t="shared" si="15"/>
        <v>0</v>
      </c>
      <c r="AD61">
        <f t="shared" si="16"/>
        <v>0</v>
      </c>
      <c r="AE61" s="386">
        <f t="shared" si="17"/>
        <v>-6.6155742083701599</v>
      </c>
      <c r="AF61" s="386">
        <f t="shared" si="18"/>
        <v>0</v>
      </c>
      <c r="AG61" s="386">
        <f t="shared" si="19"/>
        <v>0</v>
      </c>
      <c r="AH61" s="386">
        <f t="shared" si="20"/>
        <v>0</v>
      </c>
      <c r="AI61" s="386">
        <f t="shared" si="21"/>
        <v>0</v>
      </c>
      <c r="AJ61" s="386">
        <f t="shared" si="22"/>
        <v>54.562264302520148</v>
      </c>
      <c r="AK61" s="386">
        <f t="shared" si="23"/>
        <v>5.656377303054323</v>
      </c>
      <c r="AL61" s="386">
        <f t="shared" si="24"/>
        <v>5.2476633573203975</v>
      </c>
      <c r="AM61">
        <f t="shared" si="25"/>
        <v>0</v>
      </c>
      <c r="AN61" s="386">
        <f t="shared" si="26"/>
        <v>-83.062292142300677</v>
      </c>
      <c r="AO61" s="386">
        <f t="shared" si="27"/>
        <v>24.798282286312912</v>
      </c>
      <c r="AP61" s="386">
        <f t="shared" si="28"/>
        <v>1.1684141282681555</v>
      </c>
      <c r="AQ61" s="386">
        <f t="shared" si="29"/>
        <v>2.8764044943820228</v>
      </c>
      <c r="AR61" s="386">
        <f t="shared" si="30"/>
        <v>5.2782565210028212</v>
      </c>
      <c r="AS61" s="386">
        <f t="shared" si="31"/>
        <v>20.474374293967433</v>
      </c>
      <c r="AT61" s="386">
        <f t="shared" si="32"/>
        <v>0</v>
      </c>
      <c r="AU61" s="386">
        <f t="shared" si="33"/>
        <v>0.95039999999999991</v>
      </c>
      <c r="AV61" s="386">
        <f t="shared" si="34"/>
        <v>8.9311220574541945</v>
      </c>
      <c r="AW61" s="386">
        <f t="shared" si="35"/>
        <v>0.249</v>
      </c>
      <c r="AX61" s="386">
        <f t="shared" si="36"/>
        <v>0.14400000000000002</v>
      </c>
      <c r="AY61" s="386">
        <f t="shared" si="37"/>
        <v>1.2671999999999999</v>
      </c>
      <c r="AZ61" s="386">
        <f t="shared" si="38"/>
        <v>0.10439999999999998</v>
      </c>
      <c r="BA61" s="386">
        <f t="shared" si="56"/>
        <v>1.4112</v>
      </c>
      <c r="BB61" s="386">
        <f t="shared" si="57"/>
        <v>-96.186973745547746</v>
      </c>
      <c r="BC61">
        <f t="shared" si="39"/>
        <v>480</v>
      </c>
      <c r="BD61" s="604">
        <f t="shared" si="50"/>
        <v>1.2506089349916429</v>
      </c>
      <c r="BE61" s="614">
        <f t="shared" si="40"/>
        <v>-4105.5946071150338</v>
      </c>
      <c r="BF61" s="614">
        <f t="shared" si="41"/>
        <v>263.91282605014106</v>
      </c>
      <c r="BG61" s="9"/>
      <c r="BH61" s="4">
        <f t="shared" si="51"/>
        <v>125.06089349916429</v>
      </c>
      <c r="BI61" s="386">
        <f t="shared" si="52"/>
        <v>-24.30873309079287</v>
      </c>
      <c r="BJ61" s="386">
        <f t="shared" si="53"/>
        <v>-83.449209829668021</v>
      </c>
      <c r="BK61" s="386">
        <f t="shared" si="54"/>
        <v>0.31363199999999997</v>
      </c>
      <c r="BL61" s="386">
        <f t="shared" si="55"/>
        <v>8.9311220574541945</v>
      </c>
      <c r="BR61" s="18"/>
      <c r="BS61" s="19"/>
    </row>
    <row r="62" spans="1:73" ht="14.15" x14ac:dyDescent="0.4">
      <c r="A62" s="488" t="s">
        <v>678</v>
      </c>
      <c r="B62" s="74">
        <v>30</v>
      </c>
      <c r="C62" s="483" t="s">
        <v>241</v>
      </c>
      <c r="D62" s="76" t="s">
        <v>107</v>
      </c>
      <c r="G62">
        <v>53</v>
      </c>
      <c r="H62" s="610">
        <f t="shared" si="0"/>
        <v>8.9749999999999996</v>
      </c>
      <c r="I62" s="4" t="str">
        <f t="shared" si="1"/>
        <v>BOOST</v>
      </c>
      <c r="J62">
        <f t="shared" si="43"/>
        <v>2</v>
      </c>
      <c r="K62">
        <f t="shared" si="2"/>
        <v>10</v>
      </c>
      <c r="L62" s="4">
        <f t="shared" si="3"/>
        <v>59.424326833797579</v>
      </c>
      <c r="M62" s="4">
        <f t="shared" si="4"/>
        <v>57.840580157729676</v>
      </c>
      <c r="N62" s="386">
        <f t="shared" si="5"/>
        <v>1</v>
      </c>
      <c r="O62" s="386">
        <f t="shared" si="58"/>
        <v>0.82711100108729418</v>
      </c>
      <c r="P62" s="4">
        <f t="shared" si="6"/>
        <v>3.4537525821852624</v>
      </c>
      <c r="Q62" s="386">
        <f t="shared" si="7"/>
        <v>59.4326901087124</v>
      </c>
      <c r="R62" s="386">
        <f t="shared" si="8"/>
        <v>-25.280441143421839</v>
      </c>
      <c r="S62" s="386">
        <f t="shared" si="45"/>
        <v>0.55889466594952575</v>
      </c>
      <c r="T62" s="386">
        <f t="shared" si="46"/>
        <v>-24.721546477472312</v>
      </c>
      <c r="U62" s="4">
        <f t="shared" si="9"/>
        <v>21.98093076882758</v>
      </c>
      <c r="V62" s="386">
        <f t="shared" si="10"/>
        <v>0.96632263492798209</v>
      </c>
      <c r="W62" s="386">
        <f t="shared" si="47"/>
        <v>0.96632263492798209</v>
      </c>
      <c r="X62" s="386">
        <f t="shared" si="11"/>
        <v>0.99701249151951321</v>
      </c>
      <c r="Y62" s="386">
        <f t="shared" si="12"/>
        <v>1.988067816491895E-3</v>
      </c>
      <c r="Z62" s="603">
        <f t="shared" si="48"/>
        <v>1.988067816491895E-3</v>
      </c>
      <c r="AA62" s="386">
        <f t="shared" si="13"/>
        <v>59.4326901087124</v>
      </c>
      <c r="AB62" s="386">
        <f t="shared" si="14"/>
        <v>20.133794525281974</v>
      </c>
      <c r="AC62" s="386">
        <f t="shared" si="15"/>
        <v>0</v>
      </c>
      <c r="AD62">
        <f t="shared" si="16"/>
        <v>0</v>
      </c>
      <c r="AE62" s="386">
        <f t="shared" si="17"/>
        <v>-6.6519320358311909</v>
      </c>
      <c r="AF62" s="386">
        <f t="shared" si="18"/>
        <v>0</v>
      </c>
      <c r="AG62" s="386">
        <f t="shared" si="19"/>
        <v>0</v>
      </c>
      <c r="AH62" s="386">
        <f t="shared" si="20"/>
        <v>0</v>
      </c>
      <c r="AI62" s="386">
        <f t="shared" si="21"/>
        <v>0</v>
      </c>
      <c r="AJ62" s="386">
        <f t="shared" si="22"/>
        <v>54.051442270209584</v>
      </c>
      <c r="AK62" s="386">
        <f t="shared" si="23"/>
        <v>5.5509609818306185</v>
      </c>
      <c r="AL62" s="386">
        <f t="shared" si="24"/>
        <v>5.2038110172870784</v>
      </c>
      <c r="AM62">
        <f t="shared" si="25"/>
        <v>0</v>
      </c>
      <c r="AN62" s="386">
        <f t="shared" si="26"/>
        <v>-97.600123727309906</v>
      </c>
      <c r="AO62" s="386">
        <f t="shared" si="27"/>
        <v>24.712066730009482</v>
      </c>
      <c r="AP62" s="386">
        <f t="shared" si="28"/>
        <v>1.1603038599300388</v>
      </c>
      <c r="AQ62" s="386">
        <f t="shared" si="29"/>
        <v>2.8523676880222837</v>
      </c>
      <c r="AR62" s="386">
        <f t="shared" si="30"/>
        <v>5.2252462194563263</v>
      </c>
      <c r="AS62" s="386">
        <f t="shared" si="31"/>
        <v>20.133794525281974</v>
      </c>
      <c r="AT62" s="386">
        <f t="shared" si="32"/>
        <v>0</v>
      </c>
      <c r="AU62" s="386">
        <f t="shared" si="33"/>
        <v>0.95039999999999991</v>
      </c>
      <c r="AV62" s="386">
        <f t="shared" si="34"/>
        <v>8.7646752344693972</v>
      </c>
      <c r="AW62" s="386">
        <f t="shared" si="35"/>
        <v>0.249</v>
      </c>
      <c r="AX62" s="386">
        <f t="shared" si="36"/>
        <v>0.14400000000000002</v>
      </c>
      <c r="AY62" s="386">
        <f t="shared" si="37"/>
        <v>1.2671999999999999</v>
      </c>
      <c r="AZ62" s="386">
        <f t="shared" si="38"/>
        <v>0.10439999999999998</v>
      </c>
      <c r="BA62" s="386">
        <f t="shared" si="56"/>
        <v>1.4112</v>
      </c>
      <c r="BB62" s="386">
        <f t="shared" si="57"/>
        <v>-111.40477008394323</v>
      </c>
      <c r="BC62">
        <f t="shared" si="39"/>
        <v>480</v>
      </c>
      <c r="BD62" s="604">
        <f t="shared" si="50"/>
        <v>1.3022414861671279</v>
      </c>
      <c r="BE62" s="614">
        <f t="shared" si="40"/>
        <v>-4832.4861863654951</v>
      </c>
      <c r="BF62" s="614">
        <f t="shared" si="41"/>
        <v>261.26231097281629</v>
      </c>
      <c r="BG62" s="9"/>
      <c r="BH62" s="4">
        <f t="shared" si="51"/>
        <v>130.2241486167128</v>
      </c>
      <c r="BI62" s="386">
        <f t="shared" si="52"/>
        <v>-24.721546477472312</v>
      </c>
      <c r="BJ62" s="386">
        <f t="shared" si="53"/>
        <v>-98.076409543684775</v>
      </c>
      <c r="BK62" s="386">
        <f t="shared" si="54"/>
        <v>0.31363199999999997</v>
      </c>
      <c r="BL62" s="386">
        <f t="shared" si="55"/>
        <v>8.7646752344693972</v>
      </c>
      <c r="BR62" s="18"/>
      <c r="BS62" s="19"/>
    </row>
    <row r="63" spans="1:73" x14ac:dyDescent="0.3">
      <c r="A63" s="23" t="s">
        <v>122</v>
      </c>
      <c r="B63" s="74">
        <v>2</v>
      </c>
      <c r="C63" s="483" t="s">
        <v>241</v>
      </c>
      <c r="D63" s="21" t="s">
        <v>107</v>
      </c>
      <c r="G63">
        <v>54</v>
      </c>
      <c r="H63" s="610">
        <f t="shared" si="0"/>
        <v>9.0500000000000007</v>
      </c>
      <c r="I63" s="4" t="str">
        <f t="shared" si="1"/>
        <v>BOOST</v>
      </c>
      <c r="J63">
        <f t="shared" si="43"/>
        <v>2</v>
      </c>
      <c r="K63">
        <f t="shared" si="2"/>
        <v>10</v>
      </c>
      <c r="L63" s="4">
        <f t="shared" si="3"/>
        <v>58.931860036832404</v>
      </c>
      <c r="M63" s="4">
        <f t="shared" si="4"/>
        <v>57.282142345064933</v>
      </c>
      <c r="N63" s="386">
        <f t="shared" si="5"/>
        <v>1</v>
      </c>
      <c r="O63" s="386">
        <f t="shared" si="58"/>
        <v>0.82542552372150346</v>
      </c>
      <c r="P63" s="4">
        <f t="shared" si="6"/>
        <v>3.4804237568715508</v>
      </c>
      <c r="Q63" s="386">
        <f t="shared" si="7"/>
        <v>58.940423931243942</v>
      </c>
      <c r="R63" s="386">
        <f t="shared" si="8"/>
        <v>-25.721564209334652</v>
      </c>
      <c r="S63" s="386">
        <f t="shared" si="45"/>
        <v>0.56888882467199731</v>
      </c>
      <c r="T63" s="386">
        <f t="shared" si="46"/>
        <v>-25.152675384662654</v>
      </c>
      <c r="U63" s="4">
        <f t="shared" si="9"/>
        <v>21.853930983293708</v>
      </c>
      <c r="V63" s="386">
        <f t="shared" si="10"/>
        <v>0.95518859884512941</v>
      </c>
      <c r="W63" s="386">
        <f t="shared" si="47"/>
        <v>0.95518859884512941</v>
      </c>
      <c r="X63" s="386">
        <f t="shared" si="11"/>
        <v>1.0047117964618792</v>
      </c>
      <c r="Y63" s="386">
        <f t="shared" si="12"/>
        <v>2.0188915878993131E-3</v>
      </c>
      <c r="Z63" s="603">
        <f t="shared" si="48"/>
        <v>2.0188915878993131E-3</v>
      </c>
      <c r="AA63" s="386">
        <f t="shared" si="13"/>
        <v>58.940423931243942</v>
      </c>
      <c r="AB63" s="386">
        <f t="shared" si="14"/>
        <v>19.801649367210096</v>
      </c>
      <c r="AC63" s="386">
        <f t="shared" si="15"/>
        <v>0</v>
      </c>
      <c r="AD63">
        <f t="shared" si="16"/>
        <v>0</v>
      </c>
      <c r="AE63" s="386">
        <f t="shared" si="17"/>
        <v>-6.6890009606214678</v>
      </c>
      <c r="AF63" s="386">
        <f t="shared" si="18"/>
        <v>0</v>
      </c>
      <c r="AG63" s="386">
        <f t="shared" si="19"/>
        <v>0</v>
      </c>
      <c r="AH63" s="386">
        <f t="shared" si="20"/>
        <v>0</v>
      </c>
      <c r="AI63" s="386">
        <f t="shared" si="21"/>
        <v>0</v>
      </c>
      <c r="AJ63" s="386">
        <f t="shared" si="22"/>
        <v>53.549103223573617</v>
      </c>
      <c r="AK63" s="386">
        <f t="shared" si="23"/>
        <v>5.4482622664929901</v>
      </c>
      <c r="AL63" s="386">
        <f t="shared" si="24"/>
        <v>5.1606855116189534</v>
      </c>
      <c r="AM63">
        <f t="shared" si="25"/>
        <v>0</v>
      </c>
      <c r="AN63" s="386">
        <f t="shared" si="26"/>
        <v>-118.33416027978167</v>
      </c>
      <c r="AO63" s="386">
        <f t="shared" si="27"/>
        <v>24.626553091039995</v>
      </c>
      <c r="AP63" s="386">
        <f t="shared" si="28"/>
        <v>1.1522875225770417</v>
      </c>
      <c r="AQ63" s="386">
        <f t="shared" si="29"/>
        <v>2.8287292817679552</v>
      </c>
      <c r="AR63" s="386">
        <f t="shared" si="30"/>
        <v>5.1732254264114363</v>
      </c>
      <c r="AS63" s="386">
        <f t="shared" si="31"/>
        <v>19.801649367210096</v>
      </c>
      <c r="AT63" s="386">
        <f t="shared" si="32"/>
        <v>0</v>
      </c>
      <c r="AU63" s="386">
        <f t="shared" si="33"/>
        <v>0.95039999999999991</v>
      </c>
      <c r="AV63" s="386">
        <f t="shared" si="34"/>
        <v>8.6025193681468277</v>
      </c>
      <c r="AW63" s="386">
        <f t="shared" si="35"/>
        <v>0.249</v>
      </c>
      <c r="AX63" s="386">
        <f t="shared" si="36"/>
        <v>0.14400000000000002</v>
      </c>
      <c r="AY63" s="386">
        <f t="shared" si="37"/>
        <v>1.2671999999999999</v>
      </c>
      <c r="AZ63" s="386">
        <f t="shared" si="38"/>
        <v>0.10439999999999998</v>
      </c>
      <c r="BA63" s="386">
        <f t="shared" si="56"/>
        <v>1.4112</v>
      </c>
      <c r="BB63" s="386">
        <f t="shared" si="57"/>
        <v>-132.83228434007447</v>
      </c>
      <c r="BC63">
        <f t="shared" si="39"/>
        <v>480</v>
      </c>
      <c r="BD63" s="604">
        <f t="shared" si="50"/>
        <v>1.382617041701518</v>
      </c>
      <c r="BE63" s="614">
        <f t="shared" si="40"/>
        <v>-5869.1880139890836</v>
      </c>
      <c r="BF63" s="614">
        <f t="shared" si="41"/>
        <v>258.66127132057181</v>
      </c>
      <c r="BG63" s="9"/>
      <c r="BH63" s="4">
        <f t="shared" si="51"/>
        <v>138.2617041701518</v>
      </c>
      <c r="BI63" s="386">
        <f t="shared" si="52"/>
        <v>-25.152675384662654</v>
      </c>
      <c r="BJ63" s="386">
        <f t="shared" si="53"/>
        <v>-118.8995358139917</v>
      </c>
      <c r="BK63" s="386">
        <f t="shared" si="54"/>
        <v>0.31363199999999997</v>
      </c>
      <c r="BL63" s="386">
        <f t="shared" si="55"/>
        <v>8.6025193681468277</v>
      </c>
      <c r="BR63" s="18"/>
      <c r="BS63" s="19"/>
    </row>
    <row r="64" spans="1:73" x14ac:dyDescent="0.3">
      <c r="A64" s="75"/>
      <c r="B64" s="30"/>
      <c r="G64">
        <v>55</v>
      </c>
      <c r="H64" s="610">
        <f t="shared" si="0"/>
        <v>9.125</v>
      </c>
      <c r="I64" s="4" t="str">
        <f t="shared" si="1"/>
        <v>BOOST</v>
      </c>
      <c r="J64">
        <f t="shared" si="43"/>
        <v>2</v>
      </c>
      <c r="K64">
        <f t="shared" si="2"/>
        <v>10</v>
      </c>
      <c r="L64" s="4">
        <f t="shared" si="3"/>
        <v>58.447488584474883</v>
      </c>
      <c r="M64" s="4">
        <f t="shared" si="4"/>
        <v>56.735037688476233</v>
      </c>
      <c r="N64" s="386">
        <f t="shared" si="5"/>
        <v>1</v>
      </c>
      <c r="O64" s="386">
        <f t="shared" si="58"/>
        <v>0.82374207531316834</v>
      </c>
      <c r="P64" s="4">
        <f t="shared" si="6"/>
        <v>3.5069258263969636</v>
      </c>
      <c r="Q64" s="386">
        <f t="shared" si="7"/>
        <v>58.456255432830361</v>
      </c>
      <c r="R64" s="386">
        <f t="shared" si="8"/>
        <v>-26.182212567967241</v>
      </c>
      <c r="S64" s="386">
        <f t="shared" si="45"/>
        <v>0.57891903438476688</v>
      </c>
      <c r="T64" s="386">
        <f t="shared" si="46"/>
        <v>-25.603293533582473</v>
      </c>
      <c r="U64" s="4">
        <f t="shared" si="9"/>
        <v>21.728786097191829</v>
      </c>
      <c r="V64" s="386">
        <f t="shared" si="10"/>
        <v>0.94428029051503382</v>
      </c>
      <c r="W64" s="386">
        <f t="shared" si="47"/>
        <v>0.94428029051503382</v>
      </c>
      <c r="X64" s="386">
        <f t="shared" si="11"/>
        <v>1.0123622849491689</v>
      </c>
      <c r="Y64" s="386">
        <f t="shared" si="12"/>
        <v>2.0497547919750042E-3</v>
      </c>
      <c r="Z64" s="603">
        <f t="shared" si="48"/>
        <v>2.0497547919750042E-3</v>
      </c>
      <c r="AA64" s="386">
        <f t="shared" si="13"/>
        <v>58.456255432830361</v>
      </c>
      <c r="AB64" s="386">
        <f t="shared" si="14"/>
        <v>19.47766265560136</v>
      </c>
      <c r="AC64" s="386">
        <f t="shared" si="15"/>
        <v>0</v>
      </c>
      <c r="AD64">
        <f t="shared" si="16"/>
        <v>0</v>
      </c>
      <c r="AE64" s="386">
        <f t="shared" si="17"/>
        <v>-6.7267980747104623</v>
      </c>
      <c r="AF64" s="386">
        <f t="shared" si="18"/>
        <v>0</v>
      </c>
      <c r="AG64" s="386">
        <f t="shared" si="19"/>
        <v>0</v>
      </c>
      <c r="AH64" s="386">
        <f t="shared" si="20"/>
        <v>0</v>
      </c>
      <c r="AI64" s="386">
        <f t="shared" si="21"/>
        <v>0</v>
      </c>
      <c r="AJ64" s="386">
        <f t="shared" si="22"/>
        <v>53.055036399941322</v>
      </c>
      <c r="AK64" s="386">
        <f t="shared" si="23"/>
        <v>5.3481900860582874</v>
      </c>
      <c r="AL64" s="386">
        <f t="shared" si="24"/>
        <v>5.1182689183727703</v>
      </c>
      <c r="AM64">
        <f t="shared" si="25"/>
        <v>0</v>
      </c>
      <c r="AN64" s="386">
        <f t="shared" si="26"/>
        <v>-150.29806165530738</v>
      </c>
      <c r="AO64" s="386">
        <f t="shared" si="27"/>
        <v>24.541738158272537</v>
      </c>
      <c r="AP64" s="386">
        <f t="shared" si="28"/>
        <v>1.1443641324754996</v>
      </c>
      <c r="AQ64" s="386">
        <f t="shared" si="29"/>
        <v>2.8054794520547945</v>
      </c>
      <c r="AR64" s="386">
        <f t="shared" si="30"/>
        <v>5.1221688461289769</v>
      </c>
      <c r="AS64" s="386">
        <f t="shared" si="31"/>
        <v>19.47766265560136</v>
      </c>
      <c r="AT64" s="386">
        <f t="shared" si="32"/>
        <v>0</v>
      </c>
      <c r="AU64" s="386">
        <f t="shared" si="33"/>
        <v>0.95039999999999991</v>
      </c>
      <c r="AV64" s="386">
        <f t="shared" si="34"/>
        <v>8.4445106621972954</v>
      </c>
      <c r="AW64" s="386">
        <f t="shared" si="35"/>
        <v>0.249</v>
      </c>
      <c r="AX64" s="386">
        <f t="shared" si="36"/>
        <v>0.14400000000000002</v>
      </c>
      <c r="AY64" s="386">
        <f t="shared" si="37"/>
        <v>1.2671999999999999</v>
      </c>
      <c r="AZ64" s="386">
        <f t="shared" si="38"/>
        <v>0.10439999999999998</v>
      </c>
      <c r="BA64" s="386">
        <f t="shared" si="56"/>
        <v>1.4112</v>
      </c>
      <c r="BB64" s="386">
        <f t="shared" si="57"/>
        <v>-165.50454370996701</v>
      </c>
      <c r="BC64">
        <f t="shared" si="39"/>
        <v>480</v>
      </c>
      <c r="BD64" s="604">
        <f t="shared" si="50"/>
        <v>1.5262541648847734</v>
      </c>
      <c r="BE64" s="614">
        <f t="shared" si="40"/>
        <v>-7467.3830827653692</v>
      </c>
      <c r="BF64" s="614">
        <f t="shared" si="41"/>
        <v>256.10844230644886</v>
      </c>
      <c r="BG64" s="9"/>
      <c r="BH64" s="4">
        <f t="shared" si="51"/>
        <v>152.62541648847733</v>
      </c>
      <c r="BI64" s="386">
        <f t="shared" si="52"/>
        <v>-25.603293533582473</v>
      </c>
      <c r="BJ64" s="386">
        <f t="shared" si="53"/>
        <v>-150.95229088388888</v>
      </c>
      <c r="BK64" s="386">
        <f t="shared" si="54"/>
        <v>0.31363199999999997</v>
      </c>
      <c r="BL64" s="386">
        <f t="shared" si="55"/>
        <v>8.4445106621972954</v>
      </c>
      <c r="BR64" s="18"/>
      <c r="BS64" s="19"/>
    </row>
    <row r="65" spans="1:71" x14ac:dyDescent="0.3">
      <c r="G65">
        <v>56</v>
      </c>
      <c r="H65" s="610">
        <f t="shared" si="0"/>
        <v>9.1999999999999993</v>
      </c>
      <c r="I65" s="4" t="str">
        <f t="shared" si="1"/>
        <v>BOOST</v>
      </c>
      <c r="J65">
        <f t="shared" si="43"/>
        <v>2</v>
      </c>
      <c r="K65">
        <f t="shared" si="2"/>
        <v>10</v>
      </c>
      <c r="L65" s="4">
        <f t="shared" si="3"/>
        <v>57.971014492753625</v>
      </c>
      <c r="M65" s="4">
        <f t="shared" si="4"/>
        <v>56.198910081743833</v>
      </c>
      <c r="N65" s="386">
        <f t="shared" si="5"/>
        <v>1</v>
      </c>
      <c r="O65" s="386">
        <f t="shared" si="58"/>
        <v>0.82206060606060594</v>
      </c>
      <c r="P65" s="4">
        <f t="shared" si="6"/>
        <v>3.5332600488858716</v>
      </c>
      <c r="Q65" s="386">
        <f t="shared" si="7"/>
        <v>57.979986620673444</v>
      </c>
      <c r="R65" s="386">
        <f t="shared" si="8"/>
        <v>-26.663661479480584</v>
      </c>
      <c r="S65" s="386">
        <f t="shared" si="45"/>
        <v>0.58898410786683386</v>
      </c>
      <c r="T65" s="386">
        <f t="shared" si="46"/>
        <v>-26.074677371613749</v>
      </c>
      <c r="U65" s="4">
        <f t="shared" si="9"/>
        <v>21.605446053273266</v>
      </c>
      <c r="V65" s="386">
        <f t="shared" si="10"/>
        <v>0.93359059832180269</v>
      </c>
      <c r="W65" s="386">
        <f t="shared" si="47"/>
        <v>0.93359059832180269</v>
      </c>
      <c r="X65" s="386">
        <f t="shared" si="11"/>
        <v>1.0199643201706041</v>
      </c>
      <c r="Y65" s="386">
        <f t="shared" si="12"/>
        <v>2.0806544288421653E-3</v>
      </c>
      <c r="Z65" s="603">
        <f t="shared" si="48"/>
        <v>2.0806544288421653E-3</v>
      </c>
      <c r="AA65" s="386">
        <f t="shared" si="13"/>
        <v>57.979986620673444</v>
      </c>
      <c r="AB65" s="386">
        <f t="shared" si="14"/>
        <v>19.161569436640789</v>
      </c>
      <c r="AC65" s="386">
        <f t="shared" si="15"/>
        <v>0</v>
      </c>
      <c r="AD65">
        <f t="shared" si="16"/>
        <v>0</v>
      </c>
      <c r="AE65" s="386">
        <f t="shared" si="17"/>
        <v>-6.7653410599616537</v>
      </c>
      <c r="AF65" s="386">
        <f t="shared" si="18"/>
        <v>0</v>
      </c>
      <c r="AG65" s="386">
        <f t="shared" si="19"/>
        <v>0</v>
      </c>
      <c r="AH65" s="386">
        <f t="shared" si="20"/>
        <v>0</v>
      </c>
      <c r="AI65" s="386">
        <f t="shared" si="21"/>
        <v>0</v>
      </c>
      <c r="AJ65" s="386">
        <f t="shared" si="22"/>
        <v>52.569037955878038</v>
      </c>
      <c r="AK65" s="386">
        <f t="shared" si="23"/>
        <v>5.2506571280524375</v>
      </c>
      <c r="AL65" s="386">
        <f t="shared" si="24"/>
        <v>5.076543900016472</v>
      </c>
      <c r="AM65">
        <f t="shared" si="25"/>
        <v>0</v>
      </c>
      <c r="AN65" s="386">
        <f t="shared" si="26"/>
        <v>-206.00254036877956</v>
      </c>
      <c r="AO65" s="386">
        <f t="shared" si="27"/>
        <v>24.457618382150908</v>
      </c>
      <c r="AP65" s="386">
        <f t="shared" si="28"/>
        <v>1.1365326841611594</v>
      </c>
      <c r="AQ65" s="386">
        <f t="shared" si="29"/>
        <v>2.7826086956521738</v>
      </c>
      <c r="AR65" s="386">
        <f t="shared" si="30"/>
        <v>5.072051941200912</v>
      </c>
      <c r="AS65" s="386">
        <f t="shared" si="31"/>
        <v>19.161569436640789</v>
      </c>
      <c r="AT65" s="386">
        <f t="shared" si="32"/>
        <v>0</v>
      </c>
      <c r="AU65" s="386">
        <f t="shared" si="33"/>
        <v>0.95039999999999991</v>
      </c>
      <c r="AV65" s="386">
        <f t="shared" si="34"/>
        <v>8.2905112548196378</v>
      </c>
      <c r="AW65" s="386">
        <f t="shared" si="35"/>
        <v>0.249</v>
      </c>
      <c r="AX65" s="386">
        <f t="shared" si="36"/>
        <v>0.14400000000000002</v>
      </c>
      <c r="AY65" s="386">
        <f t="shared" si="37"/>
        <v>1.2671999999999999</v>
      </c>
      <c r="AZ65" s="386">
        <f t="shared" si="38"/>
        <v>0.10439999999999998</v>
      </c>
      <c r="BA65" s="386">
        <f t="shared" si="56"/>
        <v>1.4112</v>
      </c>
      <c r="BB65" s="386">
        <f t="shared" si="57"/>
        <v>-221.93372435158375</v>
      </c>
      <c r="BC65">
        <f t="shared" si="39"/>
        <v>480</v>
      </c>
      <c r="BD65" s="604">
        <f t="shared" si="50"/>
        <v>1.8599873183505051</v>
      </c>
      <c r="BE65" s="614">
        <f t="shared" si="40"/>
        <v>-10252.607018438977</v>
      </c>
      <c r="BF65" s="614">
        <f t="shared" si="41"/>
        <v>253.60259706004561</v>
      </c>
      <c r="BG65" s="9"/>
      <c r="BH65" s="4">
        <f t="shared" si="51"/>
        <v>185.99873183505051</v>
      </c>
      <c r="BI65" s="386">
        <f t="shared" si="52"/>
        <v>-26.074677371613749</v>
      </c>
      <c r="BJ65" s="386">
        <f t="shared" si="53"/>
        <v>-206.74542948754029</v>
      </c>
      <c r="BK65" s="386">
        <f t="shared" si="54"/>
        <v>0.31363199999999997</v>
      </c>
      <c r="BL65" s="386">
        <f t="shared" si="55"/>
        <v>8.2905112548196378</v>
      </c>
      <c r="BR65" s="18"/>
      <c r="BS65" s="19"/>
    </row>
    <row r="66" spans="1:71" x14ac:dyDescent="0.3">
      <c r="A66" s="11" t="s">
        <v>81</v>
      </c>
      <c r="B66" s="31"/>
      <c r="C66" s="31"/>
      <c r="G66">
        <v>57</v>
      </c>
      <c r="H66" s="610">
        <f t="shared" si="0"/>
        <v>9.2749999999999986</v>
      </c>
      <c r="I66" s="4" t="str">
        <f t="shared" si="1"/>
        <v>BOOST</v>
      </c>
      <c r="J66">
        <f t="shared" si="43"/>
        <v>2</v>
      </c>
      <c r="K66">
        <f t="shared" si="2"/>
        <v>10</v>
      </c>
      <c r="L66" s="4">
        <f t="shared" si="3"/>
        <v>57.502246181491479</v>
      </c>
      <c r="M66" s="4">
        <f t="shared" si="4"/>
        <v>55.673418588659189</v>
      </c>
      <c r="N66" s="386">
        <f t="shared" si="5"/>
        <v>1</v>
      </c>
      <c r="O66" s="386">
        <f t="shared" si="58"/>
        <v>0.82038106777877973</v>
      </c>
      <c r="P66" s="4">
        <f t="shared" si="6"/>
        <v>3.5594276412099921</v>
      </c>
      <c r="Q66" s="386">
        <f t="shared" si="7"/>
        <v>57.511425905448874</v>
      </c>
      <c r="R66" s="386">
        <f t="shared" si="8"/>
        <v>-27.167300426064717</v>
      </c>
      <c r="S66" s="386">
        <f t="shared" si="45"/>
        <v>0.59908286285218704</v>
      </c>
      <c r="T66" s="386">
        <f t="shared" si="46"/>
        <v>-26.568217563212531</v>
      </c>
      <c r="U66" s="4">
        <f t="shared" si="9"/>
        <v>21.483862709622798</v>
      </c>
      <c r="V66" s="386">
        <f t="shared" si="10"/>
        <v>0.92311271385184201</v>
      </c>
      <c r="W66" s="386">
        <f t="shared" si="47"/>
        <v>0.92311271385184201</v>
      </c>
      <c r="X66" s="386">
        <f t="shared" si="11"/>
        <v>1.0275182534067919</v>
      </c>
      <c r="Y66" s="386">
        <f t="shared" si="12"/>
        <v>2.1115875221682889E-3</v>
      </c>
      <c r="Z66" s="603">
        <f t="shared" si="48"/>
        <v>2.1115875221682889E-3</v>
      </c>
      <c r="AA66" s="386">
        <f t="shared" si="13"/>
        <v>57.511425905448874</v>
      </c>
      <c r="AB66" s="386">
        <f t="shared" si="14"/>
        <v>18.853115425164237</v>
      </c>
      <c r="AC66" s="386">
        <f t="shared" si="15"/>
        <v>0</v>
      </c>
      <c r="AD66">
        <f t="shared" si="16"/>
        <v>0</v>
      </c>
      <c r="AE66" s="386">
        <f t="shared" si="17"/>
        <v>-6.8046482132522623</v>
      </c>
      <c r="AF66" s="386">
        <f t="shared" si="18"/>
        <v>0</v>
      </c>
      <c r="AG66" s="386">
        <f t="shared" si="19"/>
        <v>0</v>
      </c>
      <c r="AH66" s="386">
        <f t="shared" si="20"/>
        <v>0</v>
      </c>
      <c r="AI66" s="386">
        <f t="shared" si="21"/>
        <v>0</v>
      </c>
      <c r="AJ66" s="386">
        <f t="shared" si="22"/>
        <v>52.090910685496318</v>
      </c>
      <c r="AK66" s="386">
        <f t="shared" si="23"/>
        <v>5.1555796544842734</v>
      </c>
      <c r="AL66" s="386">
        <f t="shared" si="24"/>
        <v>5.0354936798007062</v>
      </c>
      <c r="AM66">
        <f t="shared" si="25"/>
        <v>0</v>
      </c>
      <c r="AN66" s="386">
        <f t="shared" si="26"/>
        <v>-327.51947444757701</v>
      </c>
      <c r="AO66" s="386">
        <f t="shared" si="27"/>
        <v>24.374189907227315</v>
      </c>
      <c r="AP66" s="386">
        <f t="shared" si="28"/>
        <v>1.1287921539038055</v>
      </c>
      <c r="AQ66" s="386">
        <f t="shared" si="29"/>
        <v>2.7601078167115909</v>
      </c>
      <c r="AR66" s="386">
        <f t="shared" si="30"/>
        <v>5.0228509101326644</v>
      </c>
      <c r="AS66" s="386">
        <f t="shared" si="31"/>
        <v>18.853115425164237</v>
      </c>
      <c r="AT66" s="386">
        <f t="shared" si="32"/>
        <v>0</v>
      </c>
      <c r="AU66" s="386">
        <f t="shared" si="33"/>
        <v>0.95039999999999991</v>
      </c>
      <c r="AV66" s="386">
        <f t="shared" si="34"/>
        <v>8.1403889281330635</v>
      </c>
      <c r="AW66" s="386">
        <f t="shared" si="35"/>
        <v>0.249</v>
      </c>
      <c r="AX66" s="386">
        <f t="shared" si="36"/>
        <v>0.14400000000000002</v>
      </c>
      <c r="AY66" s="386">
        <f t="shared" si="37"/>
        <v>1.2671999999999999</v>
      </c>
      <c r="AZ66" s="386">
        <f t="shared" si="38"/>
        <v>0.10439999999999998</v>
      </c>
      <c r="BA66" s="386">
        <f t="shared" si="56"/>
        <v>1.4112</v>
      </c>
      <c r="BB66" s="386">
        <f t="shared" si="57"/>
        <v>-344.19327608440204</v>
      </c>
      <c r="BC66">
        <f t="shared" si="39"/>
        <v>480</v>
      </c>
      <c r="BD66" s="604">
        <f t="shared" si="50"/>
        <v>3.5344347184040279</v>
      </c>
      <c r="BE66" s="614">
        <f t="shared" si="40"/>
        <v>-16328.45372237885</v>
      </c>
      <c r="BF66" s="614">
        <f t="shared" si="41"/>
        <v>251.14254550663321</v>
      </c>
      <c r="BG66" s="9"/>
      <c r="BH66" s="4">
        <f t="shared" si="51"/>
        <v>353.44347184040276</v>
      </c>
      <c r="BI66" s="386">
        <f t="shared" si="52"/>
        <v>-26.568217563212531</v>
      </c>
      <c r="BJ66" s="386">
        <f t="shared" si="53"/>
        <v>-328.35087175069663</v>
      </c>
      <c r="BK66" s="386">
        <f t="shared" si="54"/>
        <v>0.31363199999999997</v>
      </c>
      <c r="BL66" s="386">
        <f t="shared" si="55"/>
        <v>8.1403889281330635</v>
      </c>
      <c r="BR66" s="18"/>
      <c r="BS66" s="19"/>
    </row>
    <row r="67" spans="1:71" x14ac:dyDescent="0.3">
      <c r="A67" s="14" t="s">
        <v>59</v>
      </c>
      <c r="B67" s="15" t="s">
        <v>8</v>
      </c>
      <c r="C67" s="15" t="s">
        <v>80</v>
      </c>
      <c r="G67">
        <v>58</v>
      </c>
      <c r="H67" s="610">
        <f t="shared" si="0"/>
        <v>9.35</v>
      </c>
      <c r="I67" s="4" t="str">
        <f t="shared" si="1"/>
        <v>BOOST</v>
      </c>
      <c r="J67">
        <f t="shared" si="43"/>
        <v>2</v>
      </c>
      <c r="K67">
        <f t="shared" si="2"/>
        <v>10</v>
      </c>
      <c r="L67" s="4">
        <f t="shared" si="3"/>
        <v>57.040998217468811</v>
      </c>
      <c r="M67" s="4">
        <f t="shared" si="4"/>
        <v>55.158236630315223</v>
      </c>
      <c r="N67" s="386">
        <f t="shared" si="5"/>
        <v>1</v>
      </c>
      <c r="O67" s="386">
        <f t="shared" si="58"/>
        <v>0.81870341383422773</v>
      </c>
      <c r="P67" s="4">
        <f t="shared" si="6"/>
        <v>3.5854297806652013</v>
      </c>
      <c r="Q67" s="386">
        <f t="shared" si="7"/>
        <v>57.050387844471487</v>
      </c>
      <c r="R67" s="386">
        <f t="shared" si="8"/>
        <v>-27.694646180667501</v>
      </c>
      <c r="S67" s="386">
        <f t="shared" si="45"/>
        <v>0.6092141219559899</v>
      </c>
      <c r="T67" s="386">
        <f t="shared" si="46"/>
        <v>-27.085432058711511</v>
      </c>
      <c r="U67" s="4">
        <f t="shared" si="9"/>
        <v>21.363989744980863</v>
      </c>
      <c r="V67" s="386">
        <f t="shared" si="10"/>
        <v>0.91284011564729495</v>
      </c>
      <c r="W67" s="386">
        <f t="shared" si="47"/>
        <v>0.91284011564729495</v>
      </c>
      <c r="X67" s="386">
        <f t="shared" si="11"/>
        <v>1.0350244245137774</v>
      </c>
      <c r="Y67" s="386">
        <f t="shared" si="12"/>
        <v>2.142551118680152E-3</v>
      </c>
      <c r="Z67" s="603">
        <f t="shared" si="48"/>
        <v>2.142551118680152E-3</v>
      </c>
      <c r="AA67" s="386">
        <f t="shared" si="13"/>
        <v>57.050387844471487</v>
      </c>
      <c r="AB67" s="386">
        <f t="shared" si="14"/>
        <v>18.552056493266335</v>
      </c>
      <c r="AC67" s="386">
        <f t="shared" si="15"/>
        <v>0</v>
      </c>
      <c r="AD67">
        <f t="shared" si="16"/>
        <v>0</v>
      </c>
      <c r="AE67" s="386">
        <f t="shared" si="17"/>
        <v>-6.844738472896851</v>
      </c>
      <c r="AF67" s="386">
        <f t="shared" si="18"/>
        <v>0</v>
      </c>
      <c r="AG67" s="386">
        <f t="shared" si="19"/>
        <v>0</v>
      </c>
      <c r="AH67" s="386">
        <f t="shared" si="20"/>
        <v>0</v>
      </c>
      <c r="AI67" s="386">
        <f t="shared" si="21"/>
        <v>0</v>
      </c>
      <c r="AJ67" s="386">
        <f t="shared" si="22"/>
        <v>51.620463752415972</v>
      </c>
      <c r="AK67" s="386">
        <f t="shared" si="23"/>
        <v>5.0628773282275334</v>
      </c>
      <c r="AL67" s="386">
        <f t="shared" si="24"/>
        <v>4.9951020192675442</v>
      </c>
      <c r="AM67">
        <f t="shared" si="25"/>
        <v>0</v>
      </c>
      <c r="AN67" s="386">
        <f t="shared" si="26"/>
        <v>-799.80969540391868</v>
      </c>
      <c r="AO67" s="386">
        <f t="shared" si="27"/>
        <v>24.291448602134228</v>
      </c>
      <c r="AP67" s="386">
        <f t="shared" si="28"/>
        <v>1.121141502861245</v>
      </c>
      <c r="AQ67" s="386">
        <f t="shared" si="29"/>
        <v>2.737967914438503</v>
      </c>
      <c r="AR67" s="386">
        <f t="shared" si="30"/>
        <v>4.9745426652537397</v>
      </c>
      <c r="AS67" s="386">
        <f t="shared" si="31"/>
        <v>18.552056493266335</v>
      </c>
      <c r="AT67" s="386">
        <f t="shared" si="32"/>
        <v>0</v>
      </c>
      <c r="AU67" s="386">
        <f t="shared" si="33"/>
        <v>0.95039999999999991</v>
      </c>
      <c r="AV67" s="386">
        <f t="shared" si="34"/>
        <v>7.9940168340434745</v>
      </c>
      <c r="AW67" s="386">
        <f t="shared" si="35"/>
        <v>0.249</v>
      </c>
      <c r="AX67" s="386">
        <f t="shared" si="36"/>
        <v>0.14400000000000002</v>
      </c>
      <c r="AY67" s="386">
        <f t="shared" si="37"/>
        <v>1.2671999999999999</v>
      </c>
      <c r="AZ67" s="386">
        <f t="shared" si="38"/>
        <v>0.10439999999999998</v>
      </c>
      <c r="BA67" s="386">
        <f t="shared" si="56"/>
        <v>1.4112</v>
      </c>
      <c r="BB67" s="386">
        <f t="shared" si="57"/>
        <v>-817.24572376946389</v>
      </c>
      <c r="BC67">
        <f t="shared" si="39"/>
        <v>480</v>
      </c>
      <c r="BD67" s="604">
        <f t="shared" si="50"/>
        <v>-1.4232945480670374</v>
      </c>
      <c r="BE67" s="614">
        <f t="shared" si="40"/>
        <v>-39942.96477019594</v>
      </c>
      <c r="BF67" s="614">
        <f t="shared" si="41"/>
        <v>248.72713326268698</v>
      </c>
      <c r="BG67" s="9"/>
      <c r="BH67" s="4">
        <f t="shared" si="51"/>
        <v>-142.32945480670372</v>
      </c>
      <c r="BI67" s="386">
        <f t="shared" si="52"/>
        <v>-27.085432058711511</v>
      </c>
      <c r="BJ67" s="386">
        <f t="shared" si="53"/>
        <v>-800.72949121156194</v>
      </c>
      <c r="BK67" s="386">
        <f t="shared" si="54"/>
        <v>0.31363199999999997</v>
      </c>
      <c r="BL67" s="386">
        <f t="shared" si="55"/>
        <v>7.9940168340434745</v>
      </c>
      <c r="BR67" s="18"/>
      <c r="BS67" s="19"/>
    </row>
    <row r="68" spans="1:71" x14ac:dyDescent="0.3">
      <c r="A68" s="32" t="s">
        <v>244</v>
      </c>
      <c r="B68" s="491" t="e">
        <f>#REF!</f>
        <v>#REF!</v>
      </c>
      <c r="C68" s="21" t="s">
        <v>19</v>
      </c>
      <c r="G68">
        <v>59</v>
      </c>
      <c r="H68" s="610">
        <f t="shared" si="0"/>
        <v>9.4250000000000007</v>
      </c>
      <c r="I68" s="4" t="str">
        <f t="shared" si="1"/>
        <v>BOOST</v>
      </c>
      <c r="J68">
        <f t="shared" si="43"/>
        <v>2</v>
      </c>
      <c r="K68">
        <f t="shared" si="2"/>
        <v>10</v>
      </c>
      <c r="L68" s="4">
        <f t="shared" si="3"/>
        <v>56.587091069849677</v>
      </c>
      <c r="M68" s="4">
        <f t="shared" si="4"/>
        <v>54.65305122460677</v>
      </c>
      <c r="N68" s="386">
        <f t="shared" si="5"/>
        <v>1</v>
      </c>
      <c r="O68" s="386">
        <f t="shared" si="58"/>
        <v>0.8170275990831114</v>
      </c>
      <c r="P68" s="4">
        <f t="shared" si="6"/>
        <v>3.6112676065672504</v>
      </c>
      <c r="Q68" s="386">
        <f t="shared" si="7"/>
        <v>56.596692897123546</v>
      </c>
      <c r="R68" s="386">
        <f t="shared" si="8"/>
        <v>-28.247357712323346</v>
      </c>
      <c r="S68" s="386">
        <f t="shared" si="45"/>
        <v>0.61937671260775684</v>
      </c>
      <c r="T68" s="386">
        <f t="shared" si="46"/>
        <v>-27.627980999715589</v>
      </c>
      <c r="U68" s="4">
        <f t="shared" si="9"/>
        <v>21.245782569763328</v>
      </c>
      <c r="V68" s="386">
        <f t="shared" si="10"/>
        <v>0.90276655400331851</v>
      </c>
      <c r="W68" s="386">
        <f t="shared" si="47"/>
        <v>0.90276655400331851</v>
      </c>
      <c r="X68" s="386">
        <f t="shared" si="11"/>
        <v>1.0424831623836888</v>
      </c>
      <c r="Y68" s="386">
        <f t="shared" si="12"/>
        <v>2.1735422877069929E-3</v>
      </c>
      <c r="Z68" s="603">
        <f t="shared" si="48"/>
        <v>2.1735422877069929E-3</v>
      </c>
      <c r="AA68" s="386">
        <f t="shared" si="13"/>
        <v>56.596692897123546</v>
      </c>
      <c r="AB68" s="386">
        <f t="shared" si="14"/>
        <v>18.258158187280493</v>
      </c>
      <c r="AC68" s="386">
        <f t="shared" si="15"/>
        <v>0</v>
      </c>
      <c r="AD68">
        <f t="shared" si="16"/>
        <v>0</v>
      </c>
      <c r="AE68" s="386">
        <f t="shared" si="17"/>
        <v>-6.8856314464541768</v>
      </c>
      <c r="AF68" s="386">
        <f t="shared" si="18"/>
        <v>0</v>
      </c>
      <c r="AG68" s="386">
        <f t="shared" si="19"/>
        <v>0</v>
      </c>
      <c r="AH68" s="386">
        <f t="shared" si="20"/>
        <v>0</v>
      </c>
      <c r="AI68" s="386">
        <f t="shared" si="21"/>
        <v>0</v>
      </c>
      <c r="AJ68" s="386">
        <f t="shared" si="22"/>
        <v>51.157512434608215</v>
      </c>
      <c r="AK68" s="386">
        <f t="shared" si="23"/>
        <v>4.9724730491444795</v>
      </c>
      <c r="AL68" s="386">
        <f t="shared" si="24"/>
        <v>4.9553531968330526</v>
      </c>
      <c r="AM68">
        <f t="shared" si="25"/>
        <v>0</v>
      </c>
      <c r="AN68" s="386">
        <f t="shared" si="26"/>
        <v>1803.2920351559321</v>
      </c>
      <c r="AO68" s="386">
        <f t="shared" si="27"/>
        <v>24.209390087200067</v>
      </c>
      <c r="AP68" s="386">
        <f t="shared" si="28"/>
        <v>1.1135796799490196</v>
      </c>
      <c r="AQ68" s="386">
        <f t="shared" si="29"/>
        <v>2.7161803713527846</v>
      </c>
      <c r="AR68" s="386">
        <f t="shared" si="30"/>
        <v>4.9271048110045479</v>
      </c>
      <c r="AS68" s="386">
        <f t="shared" si="31"/>
        <v>18.258158187280493</v>
      </c>
      <c r="AT68" s="386">
        <f t="shared" si="32"/>
        <v>0</v>
      </c>
      <c r="AU68" s="386">
        <f t="shared" si="33"/>
        <v>0.95039999999999991</v>
      </c>
      <c r="AV68" s="386">
        <f t="shared" si="34"/>
        <v>7.8512732354912833</v>
      </c>
      <c r="AW68" s="386">
        <f t="shared" si="35"/>
        <v>0.249</v>
      </c>
      <c r="AX68" s="386">
        <f t="shared" si="36"/>
        <v>0.14400000000000002</v>
      </c>
      <c r="AY68" s="386">
        <f t="shared" si="37"/>
        <v>1.2671999999999999</v>
      </c>
      <c r="AZ68" s="386">
        <f t="shared" si="38"/>
        <v>0.10439999999999998</v>
      </c>
      <c r="BA68" s="386">
        <f t="shared" si="56"/>
        <v>1.4112</v>
      </c>
      <c r="BB68" s="386">
        <f t="shared" si="57"/>
        <v>1785.0723408525491</v>
      </c>
      <c r="BC68">
        <f t="shared" si="39"/>
        <v>480</v>
      </c>
      <c r="BD68" s="604">
        <f t="shared" si="50"/>
        <v>0.21191376157961167</v>
      </c>
      <c r="BE68" s="614">
        <f t="shared" si="40"/>
        <v>90212.121757796602</v>
      </c>
      <c r="BF68" s="614">
        <f t="shared" si="41"/>
        <v>246.35524055022739</v>
      </c>
      <c r="BG68" s="9"/>
      <c r="BH68" s="4">
        <f t="shared" si="51"/>
        <v>21.191376157961166</v>
      </c>
      <c r="BI68" s="386">
        <f t="shared" si="52"/>
        <v>-27.627980999715589</v>
      </c>
      <c r="BJ68" s="386">
        <f t="shared" si="53"/>
        <v>1802.2839085204823</v>
      </c>
      <c r="BK68" s="386">
        <f t="shared" si="54"/>
        <v>0.31363199999999997</v>
      </c>
      <c r="BL68" s="386">
        <f t="shared" si="55"/>
        <v>7.8512732354912833</v>
      </c>
      <c r="BR68" s="18"/>
      <c r="BS68" s="19"/>
    </row>
    <row r="69" spans="1:71" x14ac:dyDescent="0.3">
      <c r="A69" s="23" t="s">
        <v>82</v>
      </c>
      <c r="B69" s="491" t="e">
        <f>1-B68</f>
        <v>#REF!</v>
      </c>
      <c r="C69" s="21" t="s">
        <v>19</v>
      </c>
      <c r="G69">
        <v>60</v>
      </c>
      <c r="H69" s="610">
        <f t="shared" si="0"/>
        <v>9.5</v>
      </c>
      <c r="I69" s="4" t="str">
        <f t="shared" si="1"/>
        <v>BOOST</v>
      </c>
      <c r="J69">
        <f t="shared" si="43"/>
        <v>2</v>
      </c>
      <c r="K69">
        <f t="shared" si="2"/>
        <v>10</v>
      </c>
      <c r="L69" s="4">
        <f t="shared" si="3"/>
        <v>56.140350877192979</v>
      </c>
      <c r="M69" s="4">
        <f t="shared" si="4"/>
        <v>54.157562274045496</v>
      </c>
      <c r="N69" s="386">
        <f t="shared" si="5"/>
        <v>1</v>
      </c>
      <c r="O69" s="386">
        <f t="shared" si="58"/>
        <v>0.81535357981220646</v>
      </c>
      <c r="P69" s="4">
        <f t="shared" si="6"/>
        <v>3.6369422217708753</v>
      </c>
      <c r="Q69" s="386">
        <f t="shared" si="7"/>
        <v>56.150167191867894</v>
      </c>
      <c r="R69" s="386">
        <f t="shared" si="8"/>
        <v>-28.827253236419981</v>
      </c>
      <c r="S69" s="386">
        <f t="shared" si="45"/>
        <v>0.62956946699106064</v>
      </c>
      <c r="T69" s="386">
        <f t="shared" si="46"/>
        <v>-28.19768376942892</v>
      </c>
      <c r="U69" s="4">
        <f t="shared" si="9"/>
        <v>21.129198242376432</v>
      </c>
      <c r="V69" s="386">
        <f t="shared" si="10"/>
        <v>0.89288603673128664</v>
      </c>
      <c r="W69" s="386">
        <f t="shared" si="47"/>
        <v>0.89288603673128664</v>
      </c>
      <c r="X69" s="386">
        <f t="shared" si="11"/>
        <v>1.0498947853832652</v>
      </c>
      <c r="Y69" s="386">
        <f t="shared" si="12"/>
        <v>2.2045581207499453E-3</v>
      </c>
      <c r="Z69" s="603">
        <f t="shared" si="48"/>
        <v>2.2045581207499453E-3</v>
      </c>
      <c r="AA69" s="386">
        <f t="shared" si="13"/>
        <v>56.150167191867894</v>
      </c>
      <c r="AB69" s="386">
        <f t="shared" si="14"/>
        <v>17.971195271345891</v>
      </c>
      <c r="AC69" s="386">
        <f t="shared" si="15"/>
        <v>0</v>
      </c>
      <c r="AD69">
        <f t="shared" si="16"/>
        <v>0</v>
      </c>
      <c r="AE69" s="386">
        <f t="shared" si="17"/>
        <v>-6.9273474400024195</v>
      </c>
      <c r="AF69" s="386">
        <f t="shared" si="18"/>
        <v>0</v>
      </c>
      <c r="AG69" s="386">
        <f t="shared" si="19"/>
        <v>0</v>
      </c>
      <c r="AH69" s="386">
        <f t="shared" si="20"/>
        <v>0</v>
      </c>
      <c r="AI69" s="386">
        <f t="shared" si="21"/>
        <v>0</v>
      </c>
      <c r="AJ69" s="386">
        <f t="shared" si="22"/>
        <v>50.701877881406567</v>
      </c>
      <c r="AK69" s="386">
        <f t="shared" si="23"/>
        <v>4.8842927993320231</v>
      </c>
      <c r="AL69" s="386">
        <f t="shared" si="24"/>
        <v>4.9162319873843723</v>
      </c>
      <c r="AM69">
        <f t="shared" si="25"/>
        <v>0</v>
      </c>
      <c r="AN69" s="386">
        <f t="shared" si="26"/>
        <v>423.50539681791878</v>
      </c>
      <c r="AO69" s="386">
        <f t="shared" si="27"/>
        <v>24.128009759896337</v>
      </c>
      <c r="AP69" s="386">
        <f t="shared" si="28"/>
        <v>1.1061056244499403</v>
      </c>
      <c r="AQ69" s="386">
        <f t="shared" si="29"/>
        <v>2.6947368421052631</v>
      </c>
      <c r="AR69" s="386">
        <f t="shared" si="30"/>
        <v>4.8805156226384394</v>
      </c>
      <c r="AS69" s="386">
        <f t="shared" si="31"/>
        <v>17.971195271345891</v>
      </c>
      <c r="AT69" s="386">
        <f t="shared" si="32"/>
        <v>0</v>
      </c>
      <c r="AU69" s="386">
        <f t="shared" si="33"/>
        <v>0.95039999999999991</v>
      </c>
      <c r="AV69" s="386">
        <f t="shared" si="34"/>
        <v>7.7120412621031935</v>
      </c>
      <c r="AW69" s="386">
        <f t="shared" si="35"/>
        <v>0.249</v>
      </c>
      <c r="AX69" s="386">
        <f t="shared" si="36"/>
        <v>0.14400000000000002</v>
      </c>
      <c r="AY69" s="386">
        <f t="shared" si="37"/>
        <v>1.2671999999999999</v>
      </c>
      <c r="AZ69" s="386">
        <f t="shared" si="38"/>
        <v>0.10439999999999998</v>
      </c>
      <c r="BA69" s="386">
        <f t="shared" si="56"/>
        <v>1.4112</v>
      </c>
      <c r="BB69" s="386">
        <f t="shared" si="57"/>
        <v>404.47861308808109</v>
      </c>
      <c r="BC69">
        <f t="shared" si="39"/>
        <v>480</v>
      </c>
      <c r="BD69" s="604">
        <f t="shared" si="50"/>
        <v>0.54269260205639258</v>
      </c>
      <c r="BE69" s="614">
        <f t="shared" si="40"/>
        <v>21222.789840895937</v>
      </c>
      <c r="BF69" s="614">
        <f t="shared" si="41"/>
        <v>244.02578113192197</v>
      </c>
      <c r="BG69" s="9"/>
      <c r="BH69" s="4">
        <f t="shared" si="51"/>
        <v>54.269260205639256</v>
      </c>
      <c r="BI69" s="386">
        <f t="shared" si="52"/>
        <v>-28.19768376942892</v>
      </c>
      <c r="BJ69" s="386">
        <f t="shared" si="53"/>
        <v>422.40896500055482</v>
      </c>
      <c r="BK69" s="386">
        <f t="shared" si="54"/>
        <v>0.31363199999999997</v>
      </c>
      <c r="BL69" s="386">
        <f t="shared" si="55"/>
        <v>7.7120412621031935</v>
      </c>
      <c r="BR69" s="18"/>
      <c r="BS69" s="19"/>
    </row>
    <row r="70" spans="1:71" x14ac:dyDescent="0.3">
      <c r="A70" s="33" t="s">
        <v>245</v>
      </c>
      <c r="B70" s="491">
        <f>Iripple_Vinnom</f>
        <v>4.5975071044708935</v>
      </c>
      <c r="C70" s="21" t="s">
        <v>2</v>
      </c>
      <c r="G70">
        <v>61</v>
      </c>
      <c r="H70" s="610">
        <f t="shared" si="0"/>
        <v>9.5749999999999993</v>
      </c>
      <c r="I70" s="4" t="str">
        <f t="shared" si="1"/>
        <v>BOOST</v>
      </c>
      <c r="J70">
        <f t="shared" si="43"/>
        <v>2</v>
      </c>
      <c r="K70">
        <f t="shared" si="2"/>
        <v>10</v>
      </c>
      <c r="L70" s="4">
        <f t="shared" si="3"/>
        <v>55.700609225413402</v>
      </c>
      <c r="M70" s="4">
        <f t="shared" si="4"/>
        <v>53.671481898325929</v>
      </c>
      <c r="N70" s="386">
        <f t="shared" si="5"/>
        <v>1</v>
      </c>
      <c r="O70" s="386">
        <f t="shared" si="58"/>
        <v>0.81368131368267826</v>
      </c>
      <c r="P70" s="4">
        <f t="shared" si="6"/>
        <v>3.6624546941166018</v>
      </c>
      <c r="Q70" s="386">
        <f t="shared" si="7"/>
        <v>55.710642304211021</v>
      </c>
      <c r="R70" s="386">
        <f t="shared" si="8"/>
        <v>-29.43632977885483</v>
      </c>
      <c r="S70" s="386">
        <f t="shared" si="45"/>
        <v>0.63979122198933958</v>
      </c>
      <c r="T70" s="386">
        <f t="shared" si="46"/>
        <v>-28.796538556865492</v>
      </c>
      <c r="U70" s="4">
        <f t="shared" si="9"/>
        <v>21.01419539045791</v>
      </c>
      <c r="V70" s="386">
        <f t="shared" si="10"/>
        <v>0.88319281581668496</v>
      </c>
      <c r="W70" s="386">
        <f t="shared" si="47"/>
        <v>0.88319281581668496</v>
      </c>
      <c r="X70" s="386">
        <f t="shared" si="11"/>
        <v>1.0572596017715143</v>
      </c>
      <c r="Y70" s="386">
        <f t="shared" si="12"/>
        <v>2.2355957310761223E-3</v>
      </c>
      <c r="Z70" s="603">
        <f t="shared" si="48"/>
        <v>2.2355957310761223E-3</v>
      </c>
      <c r="AA70" s="386">
        <f t="shared" si="13"/>
        <v>55.710642304211021</v>
      </c>
      <c r="AB70" s="386">
        <f t="shared" si="14"/>
        <v>17.690951295902156</v>
      </c>
      <c r="AC70" s="386">
        <f t="shared" si="15"/>
        <v>0</v>
      </c>
      <c r="AD70">
        <f t="shared" si="16"/>
        <v>0</v>
      </c>
      <c r="AE70" s="386">
        <f t="shared" si="17"/>
        <v>-6.9699074889738455</v>
      </c>
      <c r="AF70" s="386">
        <f t="shared" si="18"/>
        <v>0</v>
      </c>
      <c r="AG70" s="386">
        <f t="shared" si="19"/>
        <v>0</v>
      </c>
      <c r="AH70" s="386">
        <f t="shared" si="20"/>
        <v>0</v>
      </c>
      <c r="AI70" s="386">
        <f t="shared" si="21"/>
        <v>0</v>
      </c>
      <c r="AJ70" s="386">
        <f t="shared" si="22"/>
        <v>50.253386882013473</v>
      </c>
      <c r="AK70" s="386">
        <f t="shared" si="23"/>
        <v>4.7982654969153158</v>
      </c>
      <c r="AL70" s="386">
        <f t="shared" si="24"/>
        <v>4.8777236428356687</v>
      </c>
      <c r="AM70">
        <f t="shared" si="25"/>
        <v>0</v>
      </c>
      <c r="AN70" s="386">
        <f t="shared" si="26"/>
        <v>239.81988682642893</v>
      </c>
      <c r="AO70" s="386">
        <f t="shared" si="27"/>
        <v>24.047302818287601</v>
      </c>
      <c r="AP70" s="386">
        <f t="shared" si="28"/>
        <v>1.0987182683854033</v>
      </c>
      <c r="AQ70" s="386">
        <f t="shared" si="29"/>
        <v>2.6736292428198434</v>
      </c>
      <c r="AR70" s="386">
        <f t="shared" si="30"/>
        <v>4.8347540253700307</v>
      </c>
      <c r="AS70" s="386">
        <f t="shared" si="31"/>
        <v>17.690951295902156</v>
      </c>
      <c r="AT70" s="386">
        <f t="shared" si="32"/>
        <v>0</v>
      </c>
      <c r="AU70" s="386">
        <f t="shared" si="33"/>
        <v>0.95039999999999991</v>
      </c>
      <c r="AV70" s="386">
        <f t="shared" si="34"/>
        <v>7.5762086793399721</v>
      </c>
      <c r="AW70" s="386">
        <f t="shared" si="35"/>
        <v>0.249</v>
      </c>
      <c r="AX70" s="386">
        <f t="shared" si="36"/>
        <v>0.14400000000000002</v>
      </c>
      <c r="AY70" s="386">
        <f t="shared" si="37"/>
        <v>1.2671999999999999</v>
      </c>
      <c r="AZ70" s="386">
        <f t="shared" si="38"/>
        <v>0.10439999999999998</v>
      </c>
      <c r="BA70" s="386">
        <f t="shared" si="56"/>
        <v>1.4112</v>
      </c>
      <c r="BB70" s="386">
        <f t="shared" si="57"/>
        <v>219.96043189684735</v>
      </c>
      <c r="BC70">
        <f t="shared" si="39"/>
        <v>480</v>
      </c>
      <c r="BD70" s="604">
        <f t="shared" si="50"/>
        <v>0.68575304849622876</v>
      </c>
      <c r="BE70" s="614">
        <f t="shared" si="40"/>
        <v>12038.514341321446</v>
      </c>
      <c r="BF70" s="614">
        <f t="shared" si="41"/>
        <v>241.73770126850152</v>
      </c>
      <c r="BG70" s="9"/>
      <c r="BH70" s="4">
        <f t="shared" si="51"/>
        <v>68.575304849622881</v>
      </c>
      <c r="BI70" s="386">
        <f t="shared" si="52"/>
        <v>-28.796538556865492</v>
      </c>
      <c r="BJ70" s="386">
        <f t="shared" si="53"/>
        <v>238.63513336282509</v>
      </c>
      <c r="BK70" s="386">
        <f t="shared" si="54"/>
        <v>0.31363199999999997</v>
      </c>
      <c r="BL70" s="386">
        <f t="shared" si="55"/>
        <v>7.5762086793399721</v>
      </c>
      <c r="BR70" s="18"/>
      <c r="BS70" s="19"/>
    </row>
    <row r="71" spans="1:71" x14ac:dyDescent="0.3">
      <c r="A71" s="14" t="s">
        <v>63</v>
      </c>
      <c r="B71" s="15" t="s">
        <v>8</v>
      </c>
      <c r="C71" s="17" t="s">
        <v>80</v>
      </c>
      <c r="G71">
        <v>62</v>
      </c>
      <c r="H71" s="610">
        <f t="shared" si="0"/>
        <v>9.65</v>
      </c>
      <c r="I71" s="4" t="str">
        <f t="shared" si="1"/>
        <v>BOOST</v>
      </c>
      <c r="J71">
        <f t="shared" si="43"/>
        <v>2</v>
      </c>
      <c r="K71">
        <f t="shared" si="2"/>
        <v>10</v>
      </c>
      <c r="L71" s="4">
        <f t="shared" si="3"/>
        <v>55.267702936096718</v>
      </c>
      <c r="M71" s="4">
        <f t="shared" si="4"/>
        <v>53.194533808376001</v>
      </c>
      <c r="N71" s="386">
        <f t="shared" si="5"/>
        <v>1</v>
      </c>
      <c r="O71" s="386">
        <f t="shared" si="58"/>
        <v>0.81201075967648761</v>
      </c>
      <c r="P71" s="4">
        <f t="shared" si="6"/>
        <v>3.6878060578091949</v>
      </c>
      <c r="Q71" s="386">
        <f t="shared" si="7"/>
        <v>55.277955045020448</v>
      </c>
      <c r="R71" s="386">
        <f t="shared" si="8"/>
        <v>-30.076785697389937</v>
      </c>
      <c r="S71" s="386">
        <f t="shared" si="45"/>
        <v>0.6500408191373902</v>
      </c>
      <c r="T71" s="386">
        <f t="shared" si="46"/>
        <v>-29.426744878252546</v>
      </c>
      <c r="U71" s="4">
        <f t="shared" si="9"/>
        <v>20.900734136704077</v>
      </c>
      <c r="V71" s="386">
        <f t="shared" si="10"/>
        <v>0.87368137490637421</v>
      </c>
      <c r="W71" s="386">
        <f t="shared" si="47"/>
        <v>0.87368137490637421</v>
      </c>
      <c r="X71" s="386">
        <f t="shared" si="11"/>
        <v>1.0645779100976358</v>
      </c>
      <c r="Y71" s="386">
        <f t="shared" si="12"/>
        <v>2.2666522533357002E-3</v>
      </c>
      <c r="Z71" s="603">
        <f t="shared" si="48"/>
        <v>2.2666522533357002E-3</v>
      </c>
      <c r="AA71" s="386">
        <f t="shared" si="13"/>
        <v>55.277955045020448</v>
      </c>
      <c r="AB71" s="386">
        <f t="shared" si="14"/>
        <v>17.417218189568018</v>
      </c>
      <c r="AC71" s="386">
        <f t="shared" si="15"/>
        <v>0</v>
      </c>
      <c r="AD71">
        <f t="shared" si="16"/>
        <v>0</v>
      </c>
      <c r="AE71" s="386">
        <f t="shared" si="17"/>
        <v>-7.0133333906464692</v>
      </c>
      <c r="AF71" s="386">
        <f t="shared" si="18"/>
        <v>0</v>
      </c>
      <c r="AG71" s="386">
        <f t="shared" si="19"/>
        <v>0</v>
      </c>
      <c r="AH71" s="386">
        <f t="shared" si="20"/>
        <v>0</v>
      </c>
      <c r="AI71" s="386">
        <f t="shared" si="21"/>
        <v>0</v>
      </c>
      <c r="AJ71" s="386">
        <f t="shared" si="22"/>
        <v>49.811871644873065</v>
      </c>
      <c r="AK71" s="386">
        <f t="shared" si="23"/>
        <v>4.7143228578540883</v>
      </c>
      <c r="AL71" s="386">
        <f t="shared" si="24"/>
        <v>4.839813873590832</v>
      </c>
      <c r="AM71">
        <f t="shared" si="25"/>
        <v>0</v>
      </c>
      <c r="AN71" s="386">
        <f t="shared" si="26"/>
        <v>167.2191317036675</v>
      </c>
      <c r="AO71" s="386">
        <f t="shared" si="27"/>
        <v>23.967264282641686</v>
      </c>
      <c r="AP71" s="386">
        <f t="shared" si="28"/>
        <v>1.0914165386685846</v>
      </c>
      <c r="AQ71" s="386">
        <f t="shared" si="29"/>
        <v>2.6528497409326426</v>
      </c>
      <c r="AR71" s="386">
        <f t="shared" si="30"/>
        <v>4.7897995739942374</v>
      </c>
      <c r="AS71" s="386">
        <f t="shared" si="31"/>
        <v>17.417218189568018</v>
      </c>
      <c r="AT71" s="386">
        <f t="shared" si="32"/>
        <v>0</v>
      </c>
      <c r="AU71" s="386">
        <f t="shared" si="33"/>
        <v>0.95039999999999991</v>
      </c>
      <c r="AV71" s="386">
        <f t="shared" si="34"/>
        <v>7.4436676702959286</v>
      </c>
      <c r="AW71" s="386">
        <f t="shared" si="35"/>
        <v>0.249</v>
      </c>
      <c r="AX71" s="386">
        <f t="shared" si="36"/>
        <v>0.14400000000000002</v>
      </c>
      <c r="AY71" s="386">
        <f t="shared" si="37"/>
        <v>1.2671999999999999</v>
      </c>
      <c r="AZ71" s="386">
        <f t="shared" si="38"/>
        <v>0.10439999999999998</v>
      </c>
      <c r="BA71" s="386">
        <f t="shared" si="56"/>
        <v>1.4112</v>
      </c>
      <c r="BB71" s="386">
        <f t="shared" si="57"/>
        <v>146.49906870621834</v>
      </c>
      <c r="BC71">
        <f t="shared" si="39"/>
        <v>480</v>
      </c>
      <c r="BD71" s="604">
        <f t="shared" si="50"/>
        <v>0.76616235199079663</v>
      </c>
      <c r="BE71" s="614">
        <f t="shared" si="40"/>
        <v>8408.4765851833745</v>
      </c>
      <c r="BF71" s="614">
        <f t="shared" si="41"/>
        <v>239.48997869971186</v>
      </c>
      <c r="BG71" s="9"/>
      <c r="BH71" s="4">
        <f t="shared" si="51"/>
        <v>76.616235199079668</v>
      </c>
      <c r="BI71" s="386">
        <f t="shared" si="52"/>
        <v>-29.426744878252546</v>
      </c>
      <c r="BJ71" s="386">
        <f t="shared" si="53"/>
        <v>165.94599788701527</v>
      </c>
      <c r="BK71" s="386">
        <f t="shared" si="54"/>
        <v>0.31363199999999997</v>
      </c>
      <c r="BL71" s="386">
        <f t="shared" si="55"/>
        <v>7.4436676702959286</v>
      </c>
      <c r="BR71" s="18"/>
      <c r="BS71" s="19"/>
    </row>
    <row r="72" spans="1:71" x14ac:dyDescent="0.3">
      <c r="A72" s="32" t="s">
        <v>92</v>
      </c>
      <c r="B72" s="492">
        <f>(Qgd_Q1+Qgs_Q1/2)*(RdsonDRT+Rgate1)/(Vdd-Vsp_Q1)*1000000000</f>
        <v>4.0949999999999998</v>
      </c>
      <c r="C72" s="21" t="s">
        <v>79</v>
      </c>
      <c r="D72" s="118" t="s">
        <v>719</v>
      </c>
      <c r="G72">
        <v>63</v>
      </c>
      <c r="H72" s="610">
        <f t="shared" si="0"/>
        <v>9.7249999999999996</v>
      </c>
      <c r="I72" s="4" t="str">
        <f t="shared" si="1"/>
        <v>BOOST</v>
      </c>
      <c r="J72">
        <f t="shared" si="43"/>
        <v>2</v>
      </c>
      <c r="K72">
        <f t="shared" si="2"/>
        <v>10</v>
      </c>
      <c r="L72" s="4">
        <f t="shared" si="3"/>
        <v>54.841473864610116</v>
      </c>
      <c r="M72" s="4">
        <f t="shared" si="4"/>
        <v>52.726452718896603</v>
      </c>
      <c r="N72" s="386">
        <f t="shared" si="5"/>
        <v>1</v>
      </c>
      <c r="O72" s="386">
        <f t="shared" si="58"/>
        <v>0.81034187804528512</v>
      </c>
      <c r="P72" s="4">
        <f t="shared" si="6"/>
        <v>3.7129973147315072</v>
      </c>
      <c r="Q72" s="386">
        <f t="shared" si="7"/>
        <v>54.851947258637182</v>
      </c>
      <c r="R72" s="386">
        <f t="shared" si="8"/>
        <v>-30.751046695166568</v>
      </c>
      <c r="S72" s="386">
        <f t="shared" si="45"/>
        <v>0.66031710457817849</v>
      </c>
      <c r="T72" s="386">
        <f t="shared" si="46"/>
        <v>-30.090729590588388</v>
      </c>
      <c r="U72" s="4">
        <f t="shared" si="9"/>
        <v>20.788776028969771</v>
      </c>
      <c r="V72" s="386">
        <f t="shared" si="10"/>
        <v>0.86434641756533637</v>
      </c>
      <c r="W72" s="386">
        <f t="shared" si="47"/>
        <v>0.86434641756533637</v>
      </c>
      <c r="X72" s="386">
        <f t="shared" si="11"/>
        <v>1.0718499995802968</v>
      </c>
      <c r="Y72" s="386">
        <f t="shared" si="12"/>
        <v>2.2977248432005646E-3</v>
      </c>
      <c r="Z72" s="603">
        <f t="shared" si="48"/>
        <v>2.2977248432005646E-3</v>
      </c>
      <c r="AA72" s="386">
        <f t="shared" si="13"/>
        <v>54.851947258637182</v>
      </c>
      <c r="AB72" s="386">
        <f t="shared" si="14"/>
        <v>17.149795872966596</v>
      </c>
      <c r="AC72" s="386">
        <f t="shared" si="15"/>
        <v>0</v>
      </c>
      <c r="AD72">
        <f t="shared" si="16"/>
        <v>0</v>
      </c>
      <c r="AE72" s="386">
        <f t="shared" si="17"/>
        <v>-7.0576477383974172</v>
      </c>
      <c r="AF72" s="386">
        <f t="shared" si="18"/>
        <v>0</v>
      </c>
      <c r="AG72" s="386">
        <f t="shared" si="19"/>
        <v>0</v>
      </c>
      <c r="AH72" s="386">
        <f t="shared" si="20"/>
        <v>0</v>
      </c>
      <c r="AI72" s="386">
        <f t="shared" si="21"/>
        <v>0</v>
      </c>
      <c r="AJ72" s="386">
        <f t="shared" si="22"/>
        <v>49.377169587319578</v>
      </c>
      <c r="AK72" s="386">
        <f t="shared" si="23"/>
        <v>4.6323992652643424</v>
      </c>
      <c r="AL72" s="386">
        <f t="shared" si="24"/>
        <v>4.8024888308639113</v>
      </c>
      <c r="AM72">
        <f t="shared" si="25"/>
        <v>0</v>
      </c>
      <c r="AN72" s="386">
        <f t="shared" si="26"/>
        <v>128.33064796392347</v>
      </c>
      <c r="AO72" s="386">
        <f t="shared" si="27"/>
        <v>23.887889015344097</v>
      </c>
      <c r="AP72" s="386">
        <f t="shared" si="28"/>
        <v>1.0841993590578547</v>
      </c>
      <c r="AQ72" s="386">
        <f t="shared" si="29"/>
        <v>2.6323907455012856</v>
      </c>
      <c r="AR72" s="386">
        <f t="shared" si="30"/>
        <v>4.7456324329945012</v>
      </c>
      <c r="AS72" s="386">
        <f t="shared" si="31"/>
        <v>17.149795872966596</v>
      </c>
      <c r="AT72" s="386">
        <f t="shared" si="32"/>
        <v>0</v>
      </c>
      <c r="AU72" s="386">
        <f t="shared" si="33"/>
        <v>0.95039999999999991</v>
      </c>
      <c r="AV72" s="386">
        <f t="shared" si="34"/>
        <v>7.3143146293647519</v>
      </c>
      <c r="AW72" s="386">
        <f t="shared" si="35"/>
        <v>0.249</v>
      </c>
      <c r="AX72" s="386">
        <f t="shared" si="36"/>
        <v>0.14400000000000002</v>
      </c>
      <c r="AY72" s="386">
        <f t="shared" si="37"/>
        <v>1.2671999999999999</v>
      </c>
      <c r="AZ72" s="386">
        <f t="shared" si="38"/>
        <v>0.10439999999999998</v>
      </c>
      <c r="BA72" s="386">
        <f t="shared" si="56"/>
        <v>1.4112</v>
      </c>
      <c r="BB72" s="386">
        <f t="shared" si="57"/>
        <v>106.71946183970545</v>
      </c>
      <c r="BC72">
        <f t="shared" si="39"/>
        <v>480</v>
      </c>
      <c r="BD72" s="604">
        <f t="shared" si="50"/>
        <v>0.8181081951754624</v>
      </c>
      <c r="BE72" s="614">
        <f t="shared" si="40"/>
        <v>6464.0523981961733</v>
      </c>
      <c r="BF72" s="614">
        <f t="shared" si="41"/>
        <v>237.28162164972505</v>
      </c>
      <c r="BG72" s="9"/>
      <c r="BH72" s="4">
        <f t="shared" si="51"/>
        <v>81.810819517546236</v>
      </c>
      <c r="BI72" s="386">
        <f t="shared" si="52"/>
        <v>-30.090729590588388</v>
      </c>
      <c r="BJ72" s="386">
        <f t="shared" si="53"/>
        <v>126.96903265852055</v>
      </c>
      <c r="BK72" s="386">
        <f t="shared" si="54"/>
        <v>0.31363199999999997</v>
      </c>
      <c r="BL72" s="386">
        <f t="shared" si="55"/>
        <v>7.3143146293647519</v>
      </c>
      <c r="BR72" s="18"/>
      <c r="BS72" s="19"/>
    </row>
    <row r="73" spans="1:71" x14ac:dyDescent="0.3">
      <c r="A73" s="33" t="s">
        <v>93</v>
      </c>
      <c r="B73" s="492">
        <f>(Qgd_Q1+Qgs_Q1/2)*(RdsonDRT2+Rgate1)/(Vsp_Q1)*1000000000</f>
        <v>2.7299999999999991</v>
      </c>
      <c r="C73" s="21" t="s">
        <v>79</v>
      </c>
      <c r="D73" s="118" t="s">
        <v>720</v>
      </c>
      <c r="G73">
        <v>64</v>
      </c>
      <c r="H73" s="610">
        <f t="shared" ref="H73:H136" si="59">VIN_min+(VIN_max-VIN_min)*(G73/200)</f>
        <v>9.8000000000000007</v>
      </c>
      <c r="I73" s="4" t="str">
        <f t="shared" ref="I73:I136" si="60">IF(H73&gt;VIN_BB_to_buck, "BUCK", IF(H73&lt;VIN_boost_to_BB,"BOOST","BUCK-BST"))</f>
        <v>BOOST</v>
      </c>
      <c r="J73">
        <f t="shared" si="43"/>
        <v>2</v>
      </c>
      <c r="K73">
        <f t="shared" ref="K73:K136" si="61">Iout</f>
        <v>10</v>
      </c>
      <c r="L73" s="4">
        <f t="shared" ref="L73:L136" si="62">Vout*K73/(H73*Efficiency)</f>
        <v>54.42176870748299</v>
      </c>
      <c r="M73" s="4">
        <f t="shared" ref="M73:M136" si="63">Iout/(1-O73)</f>
        <v>52.266983796640375</v>
      </c>
      <c r="N73" s="386">
        <f t="shared" ref="N73:N136" si="64">CHOOSE(J73,(Vout+(Rdson2+Rs+Rdcr)*K73)/(H73+(Rs+Rdson2-Rdson1)*K73),1,IF(H73&lt;Vout,D_max_buck_BB,Vout/H73*(1-D_min_boost_exitBB_to_buck)))</f>
        <v>1</v>
      </c>
      <c r="O73" s="386">
        <f t="shared" si="58"/>
        <v>0.80867463026166087</v>
      </c>
      <c r="P73" s="4">
        <f t="shared" ref="P73:P136" si="65">MAX(0, CHOOSE(J73, (H73-(Rdson1+Rdcr)*K73-Vout)*N73/(Fsw*Lf), (H73-(Rdson4+Rdcr+Rs)*L73)*O73/(Fsw*Lf), IF(H73&lt;Vout, (H73-(Rdson4+Rdcr+Rs)*L73)*O73/(0.5*Fsw*Lf),(H73-(Rdson1+Rdcr)*K73-Vout)*N73/(0.5*Fsw*Lf))))</f>
        <v>3.7380294356972406</v>
      </c>
      <c r="Q73" s="386">
        <f t="shared" ref="Q73:Q136" si="66">CHOOSE(J73, SQRT(K73^2+(P73^2)/12), SQRT(L73^2+(P73^2)/12), SQRT(M73^2+(P73^2)/12))</f>
        <v>54.432465630258626</v>
      </c>
      <c r="R73" s="386">
        <f t="shared" si="8"/>
        <v>-31.461795974874413</v>
      </c>
      <c r="S73" s="386">
        <f t="shared" ref="S73:S109" si="67">7.759*10^-3*Fsw^0.9458*(0.00787*P73)^2.304</f>
        <v>0.67061892902461984</v>
      </c>
      <c r="T73" s="386">
        <f t="shared" si="46"/>
        <v>-30.791177045849793</v>
      </c>
      <c r="U73" s="4">
        <f t="shared" ref="U73:U136" si="68">IF(H73&gt;Vout, P73/SQRT(12), SQRT(O73/(1-O73))*SQRT(K73^2+(P73^2)/12))</f>
        <v>20.678283974352485</v>
      </c>
      <c r="V73" s="386">
        <f t="shared" si="10"/>
        <v>0.85518285624792567</v>
      </c>
      <c r="W73" s="386">
        <f t="shared" si="47"/>
        <v>0.85518285624792567</v>
      </c>
      <c r="X73" s="386">
        <f t="shared" ref="X73:X136" si="69">IF(H73&gt;Vout, SQRT(N73*(1-N73))*SQRT(K73^2+(P73^2)/12), P73/SQRT(12))</f>
        <v>1.0790761504692734</v>
      </c>
      <c r="Y73" s="386">
        <f t="shared" si="12"/>
        <v>2.3288106770231721E-3</v>
      </c>
      <c r="Z73" s="603">
        <f t="shared" si="48"/>
        <v>2.3288106770231721E-3</v>
      </c>
      <c r="AA73" s="386">
        <f t="shared" ref="AA73:AA136" si="70">CHOOSE(J73, SQRT(N73)*SQRT(K73^2+(P73^2)/12), SQRT(L73^2+(P73^2)/12), SQRT(N73)*SQRT(M73^2+(P73^2)/12))</f>
        <v>54.432465630258626</v>
      </c>
      <c r="AB73" s="386">
        <f t="shared" ref="AB73:AB136" si="71">Rdson1*AA73^2</f>
        <v>16.888491893158935</v>
      </c>
      <c r="AC73" s="386">
        <f t="shared" ref="AC73:AC136" si="72">CHOOSE(J73, (H73*K73/2)*(Fsw)*(Tr_buck+Tf_buck), 0, (H73*M73/2)*(Fsw/2)*(Tr_buck+Tf_buck))</f>
        <v>0</v>
      </c>
      <c r="AD73">
        <f t="shared" ref="AD73:AD136" si="73">IF(H73&gt;Vout, IF(K73&gt;P73/2,0,ABS(K73-P73/2)*Vsd_Q1*Deadtime*Fsw),0)</f>
        <v>0</v>
      </c>
      <c r="AE73" s="386">
        <f t="shared" ref="AE73:AE136" si="74">(AD73+AC73+AB73*(1+RdsonTopTc*Ta-RdsonTopTc*25))/(1-AB73*RdsonTopTc*ThetaJA_Q1)</f>
        <v>-7.1028739578302531</v>
      </c>
      <c r="AF73" s="386">
        <f t="shared" ref="AF73:AF136" si="75">CHOOSE(J73, SQRT((1-N73))*SQRT(K73^2+(P73^2)/12), 0, SQRT((1-N73))*SQRT(M73^2+(P73^2)/12))</f>
        <v>0</v>
      </c>
      <c r="AG73" s="386">
        <f t="shared" ref="AG73:AG136" si="76">Rdson2*AF73^2</f>
        <v>0</v>
      </c>
      <c r="AH73" s="386">
        <f t="shared" ref="AH73:AH136" si="77">CHOOSE(J73, IF(K73&lt;P73/2,Deadtime*Fsw*IF(VfdSky_Q2&gt;0,0,Vsd_Q2)*(K73+P73/2),2*Deadtime*Fsw*IF(VfdSky_Q2&gt;0,0,Vsd_Q2)*K73),0, IF(K73&lt;P73/2,Deadtime*Fsw/2*IF(VfdSky_Q2&gt;0,0,Vsd_Q2)*(K73+P73/2),2*Deadtime*Fsw/2*IF(VfdSky_Q2&gt;0,0,Vsd_Q2)*K73))</f>
        <v>0</v>
      </c>
      <c r="AI73" s="386">
        <f t="shared" ref="AI73:AI136" si="78">(AH73+AG73*(1+RdsonBotTc*Ta-RdsonBotTc*25))/(1-AG73*RdsonBotTc*ThetaJA_Q2)</f>
        <v>0</v>
      </c>
      <c r="AJ73" s="386">
        <f t="shared" ref="AJ73:AJ136" si="79">CHOOSE(J73, 0, SQRT(O73)*SQRT(L73^2+(P73^2)/12), SQRT(O73)*SQRT(M73^2+(P73^2)/12))</f>
        <v>48.949123134947357</v>
      </c>
      <c r="AK73" s="386">
        <f t="shared" ref="AK73:AK136" si="80">Rdson4*AJ73^2</f>
        <v>4.5524316457924536</v>
      </c>
      <c r="AL73" s="386">
        <f t="shared" ref="AL73:AL136" si="81">CHOOSE(J73, 0, (Vout*L73/2)*(Fsw)*(Tr_boost+Tf_boost), (Vout*Iout/2)*(Fsw/2)*(Tr_boost+Tf_boost))</f>
        <v>4.7657350898113808</v>
      </c>
      <c r="AM73">
        <f t="shared" ref="AM73:AM136" si="82">IF(H73&gt;Vout, 0, IF(L73&gt;P73/2,0,ABS(L73-P73/2)*Vsd_Q4*Deadtime*Fsw))</f>
        <v>0</v>
      </c>
      <c r="AN73" s="386">
        <f t="shared" ref="AN73:AN136" si="83">(AM73+AL73+AK73*(1+RdsonTopTc*Ta-RdsonTopTc*25))/(1-AK73*RdsonTopTc*ThetaJA_Q4)</f>
        <v>104.09769421815302</v>
      </c>
      <c r="AO73" s="386">
        <f t="shared" ref="AO73:AO136" si="84">CHOOSE(J73, SQRT(Iout^2+(P73^2)/12), SQRT(1-O73)*SQRT(L73^2+(P73^2)/12), SQRT(1-O73)*SQRT(M73^2+(P73^2)/12))</f>
        <v>23.8091717392489</v>
      </c>
      <c r="AP73" s="386">
        <f t="shared" ref="AP73:AP136" si="85">Rdson3*AO73^2</f>
        <v>1.0770656519271922</v>
      </c>
      <c r="AQ73" s="386">
        <f t="shared" ref="AQ73:AQ136" si="86">CHOOSE(J73, 0, IF(L73&lt;P73/2,Deadtime*Fsw*IF(VfdSky_Q3&gt;0,0,Vsd_Q3)*(L73+P73/2), 2*Deadtime*Fsw*IF(VfdSky_Q3&gt;0,0,Vsd_Q3)*L73), IF(L73&lt;P73/2,Deadtime*Fsw/2*IF(VfdSky_Q3&gt;0,0,Vsd_Q3)*(L73+P73/2), 2*Deadtime*Fsw/2*IF(VfdSky_Q3&gt;0,0,Vsd_Q3)*L73))</f>
        <v>2.6122448979591835</v>
      </c>
      <c r="AR73" s="386">
        <f t="shared" ref="AR73:AR136" si="87">(AQ73+AP73*(1+RdsonBotTc*Ta-RdsonBotTc*25))/(1-AP73*RdsonBotTc*ThetaJA_Q3)</f>
        <v>4.7022333571536787</v>
      </c>
      <c r="AS73" s="386">
        <f t="shared" ref="AS73:AS136" si="88">CHOOSE(J73, Rdson3*Q73^2, Rdson1*Q73^2, 0)</f>
        <v>16.888491893158935</v>
      </c>
      <c r="AT73" s="386">
        <f t="shared" ref="AT73:AT136" si="89">CHOOSE(J73, 2*Deadtime*Fsw*IF(VfdSky_Q2&gt;0,VfdSky_Q2,0)*K73, 2*Deadtime*Fsw*IF(VfdSky_Q3&gt;0,VfdSky_Q3,0)*L73, 2*Deadtime*Fsw/2*IF(VfdSky_Q2&gt;0,VfdSky_Q2,0)*K73+2*Deadtime*Fsw/2*IF(VfdSky_Q3&gt;0,VfdSky_Q3,0)*L73)</f>
        <v>0</v>
      </c>
      <c r="AU73" s="386">
        <f t="shared" ref="AU73:AU136" si="90">CHOOSE(J73, IF(QrrSky_Q2&gt;0,QrrSky_Q2,Qrr_Q2)*Fsw*(H73-K73*Rdson1), IF(QrrSky_Q3&gt;0,QrrSky_Q3,Qrr_Q3)*Fsw*Vout,  IF(QrrSky_Q2&gt;0,QrrSky_Q2,Qrr_Q2)*Fsw/2*(H73-K73*Rdson1)+IF(QrrSky_Q3&gt;0,QrrSky_Q3,Qrr_Q3)*Fsw/2*Vout)</f>
        <v>0.95039999999999991</v>
      </c>
      <c r="AV73" s="386">
        <f t="shared" ref="AV73:AV136" si="91">CHOOSE(J73, Rs*AF73^2, Rs*AJ73^2, Rs*(AF73^2+AJ73^2))</f>
        <v>7.1880499670407163</v>
      </c>
      <c r="AW73" s="386">
        <f t="shared" ref="AW73:AW136" si="92">Rshunt_std/1000*Iout^2</f>
        <v>0.249</v>
      </c>
      <c r="AX73" s="386">
        <f t="shared" ref="AX73:AX136" si="93">IF(Vout&gt;8, Iq*Vout, Iq*H73)</f>
        <v>0.14400000000000002</v>
      </c>
      <c r="AY73" s="386">
        <f t="shared" ref="AY73:AY136" si="94">CHOOSE(J73, (Qg_Q1+Qg_Q2)*Fsw, (Qg_Q3+Qg_Q4)*Fsw, (Qg_Q1+Qg_Q2+Qg_Q3+Qg_Q4)*Fsw/2)*IF(Vout&gt;8, Vout, H73)</f>
        <v>1.2671999999999999</v>
      </c>
      <c r="AZ73" s="386">
        <f t="shared" ref="AZ73:AZ136" si="95">(Vin-Vdd)*Fsw*(Qg_Q1+Qg_Q2)+(RdsonDRT+RdsonDRT2)*Fsw*Qg_Q1*Vdd/(RdsonDRT+2*Rgate1+RdsonDRT2)+(RdsonDRB+RdsonDRB2)*Fsw*Qg_Q2*Vdd/(RdsonDRB+2*Rgate2+RdsonDRB2)</f>
        <v>0.10439999999999998</v>
      </c>
      <c r="BA73" s="386">
        <f t="shared" si="56"/>
        <v>1.4112</v>
      </c>
      <c r="BB73" s="386">
        <f t="shared" si="57"/>
        <v>81.562038205592302</v>
      </c>
      <c r="BC73">
        <f t="shared" ref="BC73:BC136" si="96">Vout*K73</f>
        <v>480</v>
      </c>
      <c r="BD73" s="604">
        <f t="shared" si="50"/>
        <v>0.8547586327839849</v>
      </c>
      <c r="BE73" s="614">
        <f t="shared" ref="BE73:BE136" si="97">IF(H73&gt;Vout,ThetaJA_Q1*(AE73+AU73),ThetaJA_Q4*(AN73+AU73))</f>
        <v>5252.404710907651</v>
      </c>
      <c r="BF73" s="614">
        <f t="shared" ref="BF73:BF136" si="98">IF(H73&gt;Vout, AI73*ThetaJA_Q2, ThetaJA_Q3*AR73)</f>
        <v>235.11166785768393</v>
      </c>
      <c r="BG73" s="9"/>
      <c r="BH73" s="4">
        <f t="shared" si="51"/>
        <v>85.475863278398492</v>
      </c>
      <c r="BI73" s="386">
        <f t="shared" si="52"/>
        <v>-30.791177045849793</v>
      </c>
      <c r="BJ73" s="386">
        <f t="shared" si="53"/>
        <v>102.64745361747644</v>
      </c>
      <c r="BK73" s="386">
        <f t="shared" si="54"/>
        <v>0.31363199999999997</v>
      </c>
      <c r="BL73" s="386">
        <f t="shared" si="55"/>
        <v>7.1880499670407163</v>
      </c>
      <c r="BR73" s="18"/>
      <c r="BS73" s="19"/>
    </row>
    <row r="74" spans="1:71" x14ac:dyDescent="0.3">
      <c r="A74" s="14" t="s">
        <v>118</v>
      </c>
      <c r="B74" s="15" t="s">
        <v>8</v>
      </c>
      <c r="C74" s="17" t="s">
        <v>80</v>
      </c>
      <c r="G74">
        <v>65</v>
      </c>
      <c r="H74" s="610">
        <f t="shared" si="59"/>
        <v>9.875</v>
      </c>
      <c r="I74" s="4" t="str">
        <f t="shared" si="60"/>
        <v>BOOST</v>
      </c>
      <c r="J74">
        <f t="shared" ref="J74:J137" si="99">IF(I74="BOOST",2, IF(I74="BUCK", 1,3))</f>
        <v>2</v>
      </c>
      <c r="K74">
        <f t="shared" si="61"/>
        <v>10</v>
      </c>
      <c r="L74" s="4">
        <f t="shared" si="62"/>
        <v>54.008438818565395</v>
      </c>
      <c r="M74" s="4">
        <f t="shared" si="63"/>
        <v>51.8158821419023</v>
      </c>
      <c r="N74" s="386">
        <f t="shared" si="64"/>
        <v>1</v>
      </c>
      <c r="O74" s="386">
        <f t="shared" ref="O74:O105" si="100">CHOOSE(J74,0,(Vout+(Rdson3+Rdcr)*L74-H74)/(Vout+(Rdson3-Rdson4-Rs)*L74),IF(H74&gt;Vout,D_min_boost_exitBB_to_buck, (Vout-H74*D_max_buck_BB)/Vout))</f>
        <v>0.80700897897262214</v>
      </c>
      <c r="P74" s="4">
        <f t="shared" si="65"/>
        <v>3.7629033616458702</v>
      </c>
      <c r="Q74" s="386">
        <f t="shared" si="66"/>
        <v>54.019361502099208</v>
      </c>
      <c r="R74" s="386">
        <f t="shared" ref="R74:R109" si="101">(Q74^2*Rdcr*(1+Ltc*Ta-Ltc*25))/(1-Q74^2*Rdcr*Ltc*ThetaCa)</f>
        <v>-32.21200932345058</v>
      </c>
      <c r="S74" s="386">
        <f t="shared" si="67"/>
        <v>0.68094514772599346</v>
      </c>
      <c r="T74" s="386">
        <f t="shared" ref="T74:T109" si="102">R74+S74</f>
        <v>-31.531064175724588</v>
      </c>
      <c r="U74" s="4">
        <f t="shared" si="68"/>
        <v>20.569222176994</v>
      </c>
      <c r="V74" s="386">
        <f t="shared" ref="V74:V109" si="103">RCoutEsr*U74^2</f>
        <v>0.84618580193308357</v>
      </c>
      <c r="W74" s="386">
        <f t="shared" ref="W74:W109" si="104">V74</f>
        <v>0.84618580193308357</v>
      </c>
      <c r="X74" s="386">
        <f t="shared" si="69"/>
        <v>1.0862566343903954</v>
      </c>
      <c r="Y74" s="386">
        <f t="shared" ref="Y74:Y109" si="105">RCinEsr*X74^2</f>
        <v>2.3599069515142985E-3</v>
      </c>
      <c r="Z74" s="603">
        <f t="shared" ref="Z74:Z109" si="106">Y74</f>
        <v>2.3599069515142985E-3</v>
      </c>
      <c r="AA74" s="386">
        <f t="shared" si="70"/>
        <v>54.019361502099208</v>
      </c>
      <c r="AB74" s="386">
        <f t="shared" si="71"/>
        <v>16.633121077438524</v>
      </c>
      <c r="AC74" s="386">
        <f t="shared" si="72"/>
        <v>0</v>
      </c>
      <c r="AD74">
        <f t="shared" si="73"/>
        <v>0</v>
      </c>
      <c r="AE74" s="386">
        <f t="shared" si="74"/>
        <v>-7.1490363448967651</v>
      </c>
      <c r="AF74" s="386">
        <f t="shared" si="75"/>
        <v>0</v>
      </c>
      <c r="AG74" s="386">
        <f t="shared" si="76"/>
        <v>0</v>
      </c>
      <c r="AH74" s="386">
        <f t="shared" si="77"/>
        <v>0</v>
      </c>
      <c r="AI74" s="386">
        <f t="shared" si="78"/>
        <v>0</v>
      </c>
      <c r="AJ74" s="386">
        <f t="shared" si="79"/>
        <v>48.527579530182493</v>
      </c>
      <c r="AK74" s="386">
        <f t="shared" si="80"/>
        <v>4.4743593526105547</v>
      </c>
      <c r="AL74" s="386">
        <f t="shared" si="81"/>
        <v>4.7295396334330659</v>
      </c>
      <c r="AM74">
        <f t="shared" si="82"/>
        <v>0</v>
      </c>
      <c r="AN74" s="386">
        <f t="shared" si="83"/>
        <v>87.549346038535077</v>
      </c>
      <c r="AO74" s="386">
        <f t="shared" si="84"/>
        <v>23.731107054587472</v>
      </c>
      <c r="AP74" s="386">
        <f t="shared" si="85"/>
        <v>1.0700143398689534</v>
      </c>
      <c r="AQ74" s="386">
        <f t="shared" si="86"/>
        <v>2.5924050632911388</v>
      </c>
      <c r="AR74" s="386">
        <f t="shared" si="87"/>
        <v>4.6595836726767699</v>
      </c>
      <c r="AS74" s="386">
        <f t="shared" si="88"/>
        <v>16.633121077438524</v>
      </c>
      <c r="AT74" s="386">
        <f t="shared" si="89"/>
        <v>0</v>
      </c>
      <c r="AU74" s="386">
        <f t="shared" si="90"/>
        <v>0.95039999999999991</v>
      </c>
      <c r="AV74" s="386">
        <f t="shared" si="91"/>
        <v>7.0647779251745604</v>
      </c>
      <c r="AW74" s="386">
        <f t="shared" si="92"/>
        <v>0.249</v>
      </c>
      <c r="AX74" s="386">
        <f t="shared" si="93"/>
        <v>0.14400000000000002</v>
      </c>
      <c r="AY74" s="386">
        <f t="shared" si="94"/>
        <v>1.2671999999999999</v>
      </c>
      <c r="AZ74" s="386">
        <f t="shared" si="95"/>
        <v>0.10439999999999998</v>
      </c>
      <c r="BA74" s="386">
        <f t="shared" si="56"/>
        <v>1.4112</v>
      </c>
      <c r="BB74" s="386">
        <f t="shared" si="57"/>
        <v>64.052752824649644</v>
      </c>
      <c r="BC74">
        <f t="shared" si="96"/>
        <v>480</v>
      </c>
      <c r="BD74" s="604">
        <f t="shared" ref="BD74:BD109" si="107">BC74/(BC74+BB74)</f>
        <v>0.88226738585165465</v>
      </c>
      <c r="BE74" s="614">
        <f t="shared" si="97"/>
        <v>4424.9873019267543</v>
      </c>
      <c r="BF74" s="614">
        <f t="shared" si="98"/>
        <v>232.97918363383849</v>
      </c>
      <c r="BG74" s="9"/>
      <c r="BH74" s="4">
        <f t="shared" ref="BH74:BH109" si="108">BD74*100</f>
        <v>88.226738585165464</v>
      </c>
      <c r="BI74" s="386">
        <f t="shared" ref="BI74:BI109" si="109">T74</f>
        <v>-31.531064175724588</v>
      </c>
      <c r="BJ74" s="386">
        <f t="shared" ref="BJ74:BJ109" si="110">AE74+AI74+AN74+AR74+AU74</f>
        <v>86.010293366315082</v>
      </c>
      <c r="BK74" s="386">
        <f t="shared" ref="BK74:BK109" si="111">AI74+AU74*0.33</f>
        <v>0.31363199999999997</v>
      </c>
      <c r="BL74" s="386">
        <f t="shared" ref="BL74:BL109" si="112">AV74</f>
        <v>7.0647779251745604</v>
      </c>
      <c r="BR74" s="18"/>
      <c r="BS74" s="19"/>
    </row>
    <row r="75" spans="1:71" x14ac:dyDescent="0.3">
      <c r="A75" s="34" t="s">
        <v>119</v>
      </c>
      <c r="B75" s="80">
        <f>BA9</f>
        <v>1.4112</v>
      </c>
      <c r="C75" s="81" t="s">
        <v>120</v>
      </c>
      <c r="G75">
        <v>66</v>
      </c>
      <c r="H75" s="610">
        <f t="shared" si="59"/>
        <v>9.9499999999999993</v>
      </c>
      <c r="I75" s="4" t="str">
        <f t="shared" si="60"/>
        <v>BOOST</v>
      </c>
      <c r="J75">
        <f t="shared" si="99"/>
        <v>2</v>
      </c>
      <c r="K75">
        <f t="shared" si="61"/>
        <v>10</v>
      </c>
      <c r="L75" s="4">
        <f t="shared" si="62"/>
        <v>53.60134003350084</v>
      </c>
      <c r="M75" s="4">
        <f t="shared" si="63"/>
        <v>51.37291230089847</v>
      </c>
      <c r="N75" s="386">
        <f t="shared" si="64"/>
        <v>1</v>
      </c>
      <c r="O75" s="386">
        <f t="shared" si="100"/>
        <v>0.805344887955182</v>
      </c>
      <c r="P75" s="4">
        <f t="shared" si="65"/>
        <v>3.7876200047828714</v>
      </c>
      <c r="Q75" s="386">
        <f t="shared" si="66"/>
        <v>53.612490697865354</v>
      </c>
      <c r="R75" s="386">
        <f t="shared" si="101"/>
        <v>-33.004996094211315</v>
      </c>
      <c r="S75" s="386">
        <f t="shared" si="67"/>
        <v>0.69129462043868262</v>
      </c>
      <c r="T75" s="386">
        <f t="shared" si="102"/>
        <v>-32.313701473772632</v>
      </c>
      <c r="U75" s="4">
        <f t="shared" si="68"/>
        <v>20.461556079353656</v>
      </c>
      <c r="V75" s="386">
        <f t="shared" si="103"/>
        <v>0.83735055437706907</v>
      </c>
      <c r="W75" s="386">
        <f t="shared" si="104"/>
        <v>0.83735055437706907</v>
      </c>
      <c r="X75" s="386">
        <f t="shared" si="69"/>
        <v>1.0933917146747012</v>
      </c>
      <c r="Y75" s="386">
        <f t="shared" si="105"/>
        <v>2.3910108834385665E-3</v>
      </c>
      <c r="Z75" s="603">
        <f t="shared" si="106"/>
        <v>2.3910108834385665E-3</v>
      </c>
      <c r="AA75" s="386">
        <f t="shared" si="70"/>
        <v>53.612490697865354</v>
      </c>
      <c r="AB75" s="386">
        <f t="shared" si="71"/>
        <v>16.383505205323587</v>
      </c>
      <c r="AC75" s="386">
        <f t="shared" si="72"/>
        <v>0</v>
      </c>
      <c r="AD75">
        <f t="shared" si="73"/>
        <v>0</v>
      </c>
      <c r="AE75" s="386">
        <f t="shared" si="74"/>
        <v>-7.1961601061427505</v>
      </c>
      <c r="AF75" s="386">
        <f t="shared" si="75"/>
        <v>0</v>
      </c>
      <c r="AG75" s="386">
        <f t="shared" si="76"/>
        <v>0</v>
      </c>
      <c r="AH75" s="386">
        <f t="shared" si="77"/>
        <v>0</v>
      </c>
      <c r="AI75" s="386">
        <f t="shared" si="78"/>
        <v>0</v>
      </c>
      <c r="AJ75" s="386">
        <f t="shared" si="79"/>
        <v>48.112390649567317</v>
      </c>
      <c r="AK75" s="386">
        <f t="shared" si="80"/>
        <v>4.3981240546314879</v>
      </c>
      <c r="AL75" s="386">
        <f t="shared" si="81"/>
        <v>4.6938898372011595</v>
      </c>
      <c r="AM75">
        <f t="shared" si="82"/>
        <v>0</v>
      </c>
      <c r="AN75" s="386">
        <f t="shared" si="83"/>
        <v>75.53063020541434</v>
      </c>
      <c r="AO75" s="386">
        <f t="shared" si="84"/>
        <v>23.653689454546548</v>
      </c>
      <c r="AP75" s="386">
        <f t="shared" si="85"/>
        <v>1.0630443471430406</v>
      </c>
      <c r="AQ75" s="386">
        <f t="shared" si="86"/>
        <v>2.5728643216080402</v>
      </c>
      <c r="AR75" s="386">
        <f t="shared" si="87"/>
        <v>4.6176652588308738</v>
      </c>
      <c r="AS75" s="386">
        <f t="shared" si="88"/>
        <v>16.383505205323587</v>
      </c>
      <c r="AT75" s="386">
        <f t="shared" si="89"/>
        <v>0</v>
      </c>
      <c r="AU75" s="386">
        <f t="shared" si="90"/>
        <v>0.95039999999999991</v>
      </c>
      <c r="AV75" s="386">
        <f t="shared" si="91"/>
        <v>6.9444064020497169</v>
      </c>
      <c r="AW75" s="386">
        <f t="shared" si="92"/>
        <v>0.249</v>
      </c>
      <c r="AX75" s="386">
        <f t="shared" si="93"/>
        <v>0.14400000000000002</v>
      </c>
      <c r="AY75" s="386">
        <f t="shared" si="94"/>
        <v>1.2671999999999999</v>
      </c>
      <c r="AZ75" s="386">
        <f t="shared" si="95"/>
        <v>0.10439999999999998</v>
      </c>
      <c r="BA75" s="386">
        <f t="shared" ref="BA75:BA109" si="113">SUM(AX75:AY75)</f>
        <v>1.4112</v>
      </c>
      <c r="BB75" s="386">
        <f t="shared" ref="BB75:BB109" si="114">SUM(T75,W75,Z75,AE75,AI75,AN75,AR75, AT75,AU75,BA75,AV75,AW75)</f>
        <v>51.033181851640059</v>
      </c>
      <c r="BC75">
        <f t="shared" si="96"/>
        <v>480</v>
      </c>
      <c r="BD75" s="604">
        <f t="shared" si="107"/>
        <v>0.90389831822995637</v>
      </c>
      <c r="BE75" s="614">
        <f t="shared" si="97"/>
        <v>3824.0515102707172</v>
      </c>
      <c r="BF75" s="614">
        <f t="shared" si="98"/>
        <v>230.88326294154368</v>
      </c>
      <c r="BG75" s="9"/>
      <c r="BH75" s="4">
        <f t="shared" si="108"/>
        <v>90.389831822995632</v>
      </c>
      <c r="BI75" s="386">
        <f t="shared" si="109"/>
        <v>-32.313701473772632</v>
      </c>
      <c r="BJ75" s="386">
        <f t="shared" si="110"/>
        <v>73.902535358102455</v>
      </c>
      <c r="BK75" s="386">
        <f t="shared" si="111"/>
        <v>0.31363199999999997</v>
      </c>
      <c r="BL75" s="386">
        <f t="shared" si="112"/>
        <v>6.9444064020497169</v>
      </c>
      <c r="BR75" s="18"/>
      <c r="BS75" s="19"/>
    </row>
    <row r="76" spans="1:71" x14ac:dyDescent="0.3">
      <c r="A76" s="34" t="s">
        <v>123</v>
      </c>
      <c r="B76" s="79">
        <f>B75*B62</f>
        <v>42.335999999999999</v>
      </c>
      <c r="C76" s="482" t="s">
        <v>673</v>
      </c>
      <c r="G76">
        <v>67</v>
      </c>
      <c r="H76" s="610">
        <f t="shared" si="59"/>
        <v>10.025</v>
      </c>
      <c r="I76" s="4" t="str">
        <f t="shared" si="60"/>
        <v>BOOST</v>
      </c>
      <c r="J76">
        <f t="shared" si="99"/>
        <v>2</v>
      </c>
      <c r="K76">
        <f t="shared" si="61"/>
        <v>10</v>
      </c>
      <c r="L76" s="4">
        <f t="shared" si="62"/>
        <v>53.200332502078133</v>
      </c>
      <c r="M76" s="4">
        <f t="shared" si="63"/>
        <v>50.937847806894297</v>
      </c>
      <c r="N76" s="386">
        <f t="shared" si="64"/>
        <v>1</v>
      </c>
      <c r="O76" s="386">
        <f t="shared" si="100"/>
        <v>0.80368232207395052</v>
      </c>
      <c r="P76" s="4">
        <f t="shared" si="65"/>
        <v>3.8121802496681192</v>
      </c>
      <c r="Q76" s="386">
        <f t="shared" si="66"/>
        <v>53.21171335510946</v>
      </c>
      <c r="R76" s="386">
        <f t="shared" si="101"/>
        <v>-33.844447276267644</v>
      </c>
      <c r="S76" s="386">
        <f t="shared" si="67"/>
        <v>0.70166621140097185</v>
      </c>
      <c r="T76" s="386">
        <f t="shared" si="102"/>
        <v>-33.142781064866675</v>
      </c>
      <c r="U76" s="4">
        <f t="shared" si="68"/>
        <v>20.355252306725838</v>
      </c>
      <c r="V76" s="386">
        <f t="shared" si="103"/>
        <v>0.82867259294093509</v>
      </c>
      <c r="W76" s="386">
        <f t="shared" si="104"/>
        <v>0.82867259294093509</v>
      </c>
      <c r="X76" s="386">
        <f t="shared" si="69"/>
        <v>1.1004816466726317</v>
      </c>
      <c r="Y76" s="386">
        <f t="shared" si="105"/>
        <v>2.4221197093266143E-3</v>
      </c>
      <c r="Z76" s="603">
        <f t="shared" si="106"/>
        <v>2.4221197093266143E-3</v>
      </c>
      <c r="AA76" s="386">
        <f t="shared" si="70"/>
        <v>53.21171335510946</v>
      </c>
      <c r="AB76" s="386">
        <f t="shared" si="71"/>
        <v>16.139472697662107</v>
      </c>
      <c r="AC76" s="386">
        <f t="shared" si="72"/>
        <v>0</v>
      </c>
      <c r="AD76">
        <f t="shared" si="73"/>
        <v>0</v>
      </c>
      <c r="AE76" s="386">
        <f t="shared" si="74"/>
        <v>-7.2442714012169418</v>
      </c>
      <c r="AF76" s="386">
        <f t="shared" si="75"/>
        <v>0</v>
      </c>
      <c r="AG76" s="386">
        <f t="shared" si="76"/>
        <v>0</v>
      </c>
      <c r="AH76" s="386">
        <f t="shared" si="77"/>
        <v>0</v>
      </c>
      <c r="AI76" s="386">
        <f t="shared" si="78"/>
        <v>0</v>
      </c>
      <c r="AJ76" s="386">
        <f t="shared" si="79"/>
        <v>47.703412829298628</v>
      </c>
      <c r="AK76" s="386">
        <f t="shared" si="80"/>
        <v>4.3236696315687366</v>
      </c>
      <c r="AL76" s="386">
        <f t="shared" si="81"/>
        <v>4.6587734543792054</v>
      </c>
      <c r="AM76">
        <f t="shared" si="82"/>
        <v>0</v>
      </c>
      <c r="AN76" s="386">
        <f t="shared" si="83"/>
        <v>66.405735312333917</v>
      </c>
      <c r="AO76" s="386">
        <f t="shared" si="84"/>
        <v>23.576913339617672</v>
      </c>
      <c r="AP76" s="386">
        <f t="shared" si="85"/>
        <v>1.0561546009852993</v>
      </c>
      <c r="AQ76" s="386">
        <f t="shared" si="86"/>
        <v>2.5536159600997506</v>
      </c>
      <c r="AR76" s="386">
        <f t="shared" si="87"/>
        <v>4.5764605301045602</v>
      </c>
      <c r="AS76" s="386">
        <f t="shared" si="88"/>
        <v>16.139472697662107</v>
      </c>
      <c r="AT76" s="386">
        <f t="shared" si="89"/>
        <v>0</v>
      </c>
      <c r="AU76" s="386">
        <f t="shared" si="90"/>
        <v>0.95039999999999991</v>
      </c>
      <c r="AV76" s="386">
        <f t="shared" si="91"/>
        <v>6.8268467866874794</v>
      </c>
      <c r="AW76" s="386">
        <f t="shared" si="92"/>
        <v>0.249</v>
      </c>
      <c r="AX76" s="386">
        <f t="shared" si="93"/>
        <v>0.14400000000000002</v>
      </c>
      <c r="AY76" s="386">
        <f t="shared" si="94"/>
        <v>1.2671999999999999</v>
      </c>
      <c r="AZ76" s="386">
        <f t="shared" si="95"/>
        <v>0.10439999999999998</v>
      </c>
      <c r="BA76" s="386">
        <f t="shared" si="113"/>
        <v>1.4112</v>
      </c>
      <c r="BB76" s="386">
        <f t="shared" si="114"/>
        <v>40.863684875692606</v>
      </c>
      <c r="BC76">
        <f t="shared" si="96"/>
        <v>480</v>
      </c>
      <c r="BD76" s="604">
        <f t="shared" si="107"/>
        <v>0.92154629692518308</v>
      </c>
      <c r="BE76" s="614">
        <f t="shared" si="97"/>
        <v>3367.8067656166959</v>
      </c>
      <c r="BF76" s="614">
        <f t="shared" si="98"/>
        <v>228.823026505228</v>
      </c>
      <c r="BG76" s="9"/>
      <c r="BH76" s="4">
        <f t="shared" si="108"/>
        <v>92.154629692518313</v>
      </c>
      <c r="BI76" s="386">
        <f t="shared" si="109"/>
        <v>-33.142781064866675</v>
      </c>
      <c r="BJ76" s="386">
        <f t="shared" si="110"/>
        <v>64.688324441221539</v>
      </c>
      <c r="BK76" s="386">
        <f t="shared" si="111"/>
        <v>0.31363199999999997</v>
      </c>
      <c r="BL76" s="386">
        <f t="shared" si="112"/>
        <v>6.8268467866874794</v>
      </c>
      <c r="BR76" s="18"/>
      <c r="BS76" s="19"/>
    </row>
    <row r="77" spans="1:71" x14ac:dyDescent="0.3">
      <c r="A77" s="34" t="s">
        <v>246</v>
      </c>
      <c r="B77" s="79">
        <f>(Qg_Q1+Qg_Q2)*Fsw+Iq</f>
        <v>1.6199999999999999E-2</v>
      </c>
      <c r="C77" s="21" t="s">
        <v>2</v>
      </c>
      <c r="G77">
        <v>68</v>
      </c>
      <c r="H77" s="610">
        <f t="shared" si="59"/>
        <v>10.100000000000001</v>
      </c>
      <c r="I77" s="4" t="str">
        <f t="shared" si="60"/>
        <v>BOOST</v>
      </c>
      <c r="J77">
        <f t="shared" si="99"/>
        <v>2</v>
      </c>
      <c r="K77">
        <f t="shared" si="61"/>
        <v>10</v>
      </c>
      <c r="L77" s="4">
        <f t="shared" si="62"/>
        <v>52.805280528052798</v>
      </c>
      <c r="M77" s="4">
        <f t="shared" si="63"/>
        <v>50.510470748109682</v>
      </c>
      <c r="N77" s="386">
        <f t="shared" si="64"/>
        <v>1</v>
      </c>
      <c r="O77" s="386">
        <f t="shared" si="100"/>
        <v>0.80202124724061807</v>
      </c>
      <c r="P77" s="4">
        <f t="shared" si="65"/>
        <v>3.836584954255176</v>
      </c>
      <c r="Q77" s="386">
        <f t="shared" si="66"/>
        <v>52.816893765053557</v>
      </c>
      <c r="R77" s="386">
        <f t="shared" si="101"/>
        <v>-34.734492123573659</v>
      </c>
      <c r="S77" s="386">
        <f t="shared" si="67"/>
        <v>0.71205878931161237</v>
      </c>
      <c r="T77" s="386">
        <f t="shared" si="102"/>
        <v>-34.022433334262047</v>
      </c>
      <c r="U77" s="4">
        <f t="shared" si="68"/>
        <v>20.250278614790975</v>
      </c>
      <c r="V77" s="386">
        <f t="shared" si="103"/>
        <v>0.82014756795332144</v>
      </c>
      <c r="W77" s="386">
        <f t="shared" si="104"/>
        <v>0.82014756795332144</v>
      </c>
      <c r="X77" s="386">
        <f t="shared" si="69"/>
        <v>1.1075266780540469</v>
      </c>
      <c r="Y77" s="386">
        <f t="shared" si="105"/>
        <v>2.4532306852028652E-3</v>
      </c>
      <c r="Z77" s="603">
        <f t="shared" si="106"/>
        <v>2.4532306852028652E-3</v>
      </c>
      <c r="AA77" s="386">
        <f t="shared" si="70"/>
        <v>52.816893765053557</v>
      </c>
      <c r="AB77" s="386">
        <f t="shared" si="71"/>
        <v>15.900858321837035</v>
      </c>
      <c r="AC77" s="386">
        <f t="shared" si="72"/>
        <v>0</v>
      </c>
      <c r="AD77">
        <f t="shared" si="73"/>
        <v>0</v>
      </c>
      <c r="AE77" s="386">
        <f t="shared" si="74"/>
        <v>-7.2933973877927558</v>
      </c>
      <c r="AF77" s="386">
        <f t="shared" si="75"/>
        <v>0</v>
      </c>
      <c r="AG77" s="386">
        <f t="shared" si="76"/>
        <v>0</v>
      </c>
      <c r="AH77" s="386">
        <f t="shared" si="77"/>
        <v>0</v>
      </c>
      <c r="AI77" s="386">
        <f t="shared" si="78"/>
        <v>0</v>
      </c>
      <c r="AJ77" s="386">
        <f t="shared" si="79"/>
        <v>47.300506698588073</v>
      </c>
      <c r="AK77" s="386">
        <f t="shared" si="80"/>
        <v>4.2509420744920332</v>
      </c>
      <c r="AL77" s="386">
        <f t="shared" si="81"/>
        <v>4.6241786019952009</v>
      </c>
      <c r="AM77">
        <f t="shared" si="82"/>
        <v>0</v>
      </c>
      <c r="AN77" s="386">
        <f t="shared" si="83"/>
        <v>59.241884868040408</v>
      </c>
      <c r="AO77" s="386">
        <f t="shared" si="84"/>
        <v>23.500773030812795</v>
      </c>
      <c r="AP77" s="386">
        <f t="shared" si="85"/>
        <v>1.0493440327869781</v>
      </c>
      <c r="AQ77" s="386">
        <f t="shared" si="86"/>
        <v>2.5346534653465342</v>
      </c>
      <c r="AR77" s="386">
        <f t="shared" si="87"/>
        <v>4.535952418886315</v>
      </c>
      <c r="AS77" s="386">
        <f t="shared" si="88"/>
        <v>15.900858321837035</v>
      </c>
      <c r="AT77" s="386">
        <f t="shared" si="89"/>
        <v>0</v>
      </c>
      <c r="AU77" s="386">
        <f t="shared" si="90"/>
        <v>0.95039999999999991</v>
      </c>
      <c r="AV77" s="386">
        <f t="shared" si="91"/>
        <v>6.7120138018295261</v>
      </c>
      <c r="AW77" s="386">
        <f t="shared" si="92"/>
        <v>0.249</v>
      </c>
      <c r="AX77" s="386">
        <f t="shared" si="93"/>
        <v>0.14400000000000002</v>
      </c>
      <c r="AY77" s="386">
        <f t="shared" si="94"/>
        <v>1.2671999999999999</v>
      </c>
      <c r="AZ77" s="386">
        <f t="shared" si="95"/>
        <v>0.10439999999999998</v>
      </c>
      <c r="BA77" s="386">
        <f t="shared" si="113"/>
        <v>1.4112</v>
      </c>
      <c r="BB77" s="386">
        <f t="shared" si="114"/>
        <v>32.607221165339972</v>
      </c>
      <c r="BC77">
        <f t="shared" si="96"/>
        <v>480</v>
      </c>
      <c r="BD77" s="604">
        <f t="shared" si="107"/>
        <v>0.93638946191352501</v>
      </c>
      <c r="BE77" s="614">
        <f t="shared" si="97"/>
        <v>3009.6142434020203</v>
      </c>
      <c r="BF77" s="614">
        <f t="shared" si="98"/>
        <v>226.79762094431575</v>
      </c>
      <c r="BG77" s="9"/>
      <c r="BH77" s="4">
        <f t="shared" si="108"/>
        <v>93.638946191352503</v>
      </c>
      <c r="BI77" s="386">
        <f t="shared" si="109"/>
        <v>-34.022433334262047</v>
      </c>
      <c r="BJ77" s="386">
        <f t="shared" si="110"/>
        <v>57.434839899133969</v>
      </c>
      <c r="BK77" s="386">
        <f t="shared" si="111"/>
        <v>0.31363199999999997</v>
      </c>
      <c r="BL77" s="386">
        <f t="shared" si="112"/>
        <v>6.7120138018295261</v>
      </c>
      <c r="BR77" s="18"/>
      <c r="BS77" s="19"/>
    </row>
    <row r="78" spans="1:71" x14ac:dyDescent="0.3">
      <c r="A78" s="34" t="s">
        <v>247</v>
      </c>
      <c r="B78" s="78">
        <f>Qrr_Q2*Fsw</f>
        <v>3.78E-2</v>
      </c>
      <c r="C78" s="21" t="s">
        <v>2</v>
      </c>
      <c r="G78">
        <v>69</v>
      </c>
      <c r="H78" s="610">
        <f t="shared" si="59"/>
        <v>10.175000000000001</v>
      </c>
      <c r="I78" s="4" t="str">
        <f t="shared" si="60"/>
        <v>BOOST</v>
      </c>
      <c r="J78">
        <f t="shared" si="99"/>
        <v>2</v>
      </c>
      <c r="K78">
        <f t="shared" si="61"/>
        <v>10</v>
      </c>
      <c r="L78" s="4">
        <f t="shared" si="62"/>
        <v>52.416052416052409</v>
      </c>
      <c r="M78" s="4">
        <f t="shared" si="63"/>
        <v>50.090571360585486</v>
      </c>
      <c r="N78" s="386">
        <f t="shared" si="64"/>
        <v>1</v>
      </c>
      <c r="O78" s="386">
        <f t="shared" si="100"/>
        <v>0.80036163037523966</v>
      </c>
      <c r="P78" s="4">
        <f t="shared" si="65"/>
        <v>3.8608349508840769</v>
      </c>
      <c r="Q78" s="386">
        <f t="shared" si="66"/>
        <v>52.427900219496848</v>
      </c>
      <c r="R78" s="386">
        <f t="shared" si="101"/>
        <v>-35.679765176219952</v>
      </c>
      <c r="S78" s="386">
        <f t="shared" si="67"/>
        <v>0.72247122731192326</v>
      </c>
      <c r="T78" s="386">
        <f t="shared" si="102"/>
        <v>-34.957293948908031</v>
      </c>
      <c r="U78" s="4">
        <f t="shared" si="68"/>
        <v>20.146603840005596</v>
      </c>
      <c r="V78" s="386">
        <f t="shared" si="103"/>
        <v>0.81177129257225644</v>
      </c>
      <c r="W78" s="386">
        <f t="shared" si="104"/>
        <v>0.81177129257225644</v>
      </c>
      <c r="X78" s="386">
        <f t="shared" si="69"/>
        <v>1.1145270490948187</v>
      </c>
      <c r="Y78" s="386">
        <f t="shared" si="105"/>
        <v>2.4843410863280091E-3</v>
      </c>
      <c r="Z78" s="603">
        <f t="shared" si="106"/>
        <v>2.4843410863280091E-3</v>
      </c>
      <c r="AA78" s="386">
        <f t="shared" si="70"/>
        <v>52.427900219496848</v>
      </c>
      <c r="AB78" s="386">
        <f t="shared" si="71"/>
        <v>15.667502912125451</v>
      </c>
      <c r="AC78" s="386">
        <f t="shared" si="72"/>
        <v>0</v>
      </c>
      <c r="AD78">
        <f t="shared" si="73"/>
        <v>0</v>
      </c>
      <c r="AE78" s="386">
        <f t="shared" si="74"/>
        <v>-7.3435662690640759</v>
      </c>
      <c r="AF78" s="386">
        <f t="shared" si="75"/>
        <v>0</v>
      </c>
      <c r="AG78" s="386">
        <f t="shared" si="76"/>
        <v>0</v>
      </c>
      <c r="AH78" s="386">
        <f t="shared" si="77"/>
        <v>0</v>
      </c>
      <c r="AI78" s="386">
        <f t="shared" si="78"/>
        <v>0</v>
      </c>
      <c r="AJ78" s="386">
        <f t="shared" si="79"/>
        <v>46.903537020438435</v>
      </c>
      <c r="AK78" s="386">
        <f t="shared" si="80"/>
        <v>4.1798893915525133</v>
      </c>
      <c r="AL78" s="386">
        <f t="shared" si="81"/>
        <v>4.5900937474350396</v>
      </c>
      <c r="AM78">
        <f t="shared" si="82"/>
        <v>0</v>
      </c>
      <c r="AN78" s="386">
        <f t="shared" si="83"/>
        <v>53.468294694965621</v>
      </c>
      <c r="AO78" s="386">
        <f t="shared" si="84"/>
        <v>23.425262781831904</v>
      </c>
      <c r="AP78" s="386">
        <f t="shared" si="85"/>
        <v>1.0426115791559702</v>
      </c>
      <c r="AQ78" s="386">
        <f t="shared" si="86"/>
        <v>2.5159705159705159</v>
      </c>
      <c r="AR78" s="386">
        <f t="shared" si="87"/>
        <v>4.49612435865913</v>
      </c>
      <c r="AS78" s="386">
        <f t="shared" si="88"/>
        <v>15.667502912125451</v>
      </c>
      <c r="AT78" s="386">
        <f t="shared" si="89"/>
        <v>0</v>
      </c>
      <c r="AU78" s="386">
        <f t="shared" si="90"/>
        <v>0.95039999999999991</v>
      </c>
      <c r="AV78" s="386">
        <f t="shared" si="91"/>
        <v>6.599825355082916</v>
      </c>
      <c r="AW78" s="386">
        <f t="shared" si="92"/>
        <v>0.249</v>
      </c>
      <c r="AX78" s="386">
        <f t="shared" si="93"/>
        <v>0.14400000000000002</v>
      </c>
      <c r="AY78" s="386">
        <f t="shared" si="94"/>
        <v>1.2671999999999999</v>
      </c>
      <c r="AZ78" s="386">
        <f t="shared" si="95"/>
        <v>0.10439999999999998</v>
      </c>
      <c r="BA78" s="386">
        <f t="shared" si="113"/>
        <v>1.4112</v>
      </c>
      <c r="BB78" s="386">
        <f t="shared" si="114"/>
        <v>25.688239824394149</v>
      </c>
      <c r="BC78">
        <f t="shared" si="96"/>
        <v>480</v>
      </c>
      <c r="BD78" s="604">
        <f t="shared" si="107"/>
        <v>0.94920142925745188</v>
      </c>
      <c r="BE78" s="614">
        <f t="shared" si="97"/>
        <v>2720.9347347482812</v>
      </c>
      <c r="BF78" s="614">
        <f t="shared" si="98"/>
        <v>224.80621793295649</v>
      </c>
      <c r="BG78" s="9"/>
      <c r="BH78" s="4">
        <f t="shared" si="108"/>
        <v>94.920142925745182</v>
      </c>
      <c r="BI78" s="386">
        <f t="shared" si="109"/>
        <v>-34.957293948908031</v>
      </c>
      <c r="BJ78" s="386">
        <f t="shared" si="110"/>
        <v>51.571252784560677</v>
      </c>
      <c r="BK78" s="386">
        <f t="shared" si="111"/>
        <v>0.31363199999999997</v>
      </c>
      <c r="BL78" s="386">
        <f t="shared" si="112"/>
        <v>6.599825355082916</v>
      </c>
      <c r="BR78" s="18"/>
      <c r="BS78" s="19"/>
    </row>
    <row r="79" spans="1:71" x14ac:dyDescent="0.3">
      <c r="A79" s="34" t="s">
        <v>248</v>
      </c>
      <c r="B79" s="78" t="e">
        <f>C79/Vin</f>
        <v>#NAME?</v>
      </c>
      <c r="C79" s="21" t="e">
        <f>Deadtime*Fsw*(Iripple_Vinnom/2)*(VsdTop+VsdBot)</f>
        <v>#NAME?</v>
      </c>
      <c r="G79">
        <v>70</v>
      </c>
      <c r="H79" s="610">
        <f t="shared" si="59"/>
        <v>10.25</v>
      </c>
      <c r="I79" s="4" t="str">
        <f t="shared" si="60"/>
        <v>BOOST</v>
      </c>
      <c r="J79">
        <f t="shared" si="99"/>
        <v>2</v>
      </c>
      <c r="K79">
        <f t="shared" si="61"/>
        <v>10</v>
      </c>
      <c r="L79" s="4">
        <f t="shared" si="62"/>
        <v>52.032520325203251</v>
      </c>
      <c r="M79" s="4">
        <f t="shared" si="63"/>
        <v>49.677947644332633</v>
      </c>
      <c r="N79" s="386">
        <f t="shared" si="64"/>
        <v>1</v>
      </c>
      <c r="O79" s="386">
        <f t="shared" si="100"/>
        <v>0.79870343936922239</v>
      </c>
      <c r="P79" s="4">
        <f t="shared" si="65"/>
        <v>3.8849310472299714</v>
      </c>
      <c r="Q79" s="386">
        <f t="shared" si="66"/>
        <v>52.044604864444565</v>
      </c>
      <c r="R79" s="386">
        <f t="shared" si="101"/>
        <v>-36.685485969143173</v>
      </c>
      <c r="S79" s="386">
        <f t="shared" si="67"/>
        <v>0.73290240297119347</v>
      </c>
      <c r="T79" s="386">
        <f t="shared" si="102"/>
        <v>-35.952583566171981</v>
      </c>
      <c r="U79" s="4">
        <f t="shared" si="68"/>
        <v>20.044197852650687</v>
      </c>
      <c r="V79" s="386">
        <f t="shared" si="103"/>
        <v>0.80353973511241283</v>
      </c>
      <c r="W79" s="386">
        <f t="shared" si="104"/>
        <v>0.80353973511241283</v>
      </c>
      <c r="X79" s="386">
        <f t="shared" si="69"/>
        <v>1.1214829929506793</v>
      </c>
      <c r="Y79" s="386">
        <f t="shared" si="105"/>
        <v>2.5154482069552268E-3</v>
      </c>
      <c r="Z79" s="603">
        <f t="shared" si="106"/>
        <v>2.5154482069552268E-3</v>
      </c>
      <c r="AA79" s="386">
        <f t="shared" si="70"/>
        <v>52.044604864444565</v>
      </c>
      <c r="AB79" s="386">
        <f t="shared" si="71"/>
        <v>15.439253104328152</v>
      </c>
      <c r="AC79" s="386">
        <f t="shared" si="72"/>
        <v>0</v>
      </c>
      <c r="AD79">
        <f t="shared" si="73"/>
        <v>0</v>
      </c>
      <c r="AE79" s="386">
        <f t="shared" si="74"/>
        <v>-7.3948073439885187</v>
      </c>
      <c r="AF79" s="386">
        <f t="shared" si="75"/>
        <v>0</v>
      </c>
      <c r="AG79" s="386">
        <f t="shared" si="76"/>
        <v>0</v>
      </c>
      <c r="AH79" s="386">
        <f t="shared" si="77"/>
        <v>0</v>
      </c>
      <c r="AI79" s="386">
        <f t="shared" si="78"/>
        <v>0</v>
      </c>
      <c r="AJ79" s="386">
        <f t="shared" si="79"/>
        <v>46.512372539453615</v>
      </c>
      <c r="AK79" s="386">
        <f t="shared" si="80"/>
        <v>4.1104615185729454</v>
      </c>
      <c r="AL79" s="386">
        <f t="shared" si="81"/>
        <v>4.5565076956245401</v>
      </c>
      <c r="AM79">
        <f t="shared" si="82"/>
        <v>0</v>
      </c>
      <c r="AN79" s="386">
        <f t="shared" si="83"/>
        <v>48.716100512556686</v>
      </c>
      <c r="AO79" s="386">
        <f t="shared" si="84"/>
        <v>23.350376790262892</v>
      </c>
      <c r="AP79" s="386">
        <f t="shared" si="85"/>
        <v>1.0359561828697712</v>
      </c>
      <c r="AQ79" s="386">
        <f t="shared" si="86"/>
        <v>2.4975609756097561</v>
      </c>
      <c r="AR79" s="386">
        <f t="shared" si="87"/>
        <v>4.4569602677066502</v>
      </c>
      <c r="AS79" s="386">
        <f t="shared" si="88"/>
        <v>15.439253104328152</v>
      </c>
      <c r="AT79" s="386">
        <f t="shared" si="89"/>
        <v>0</v>
      </c>
      <c r="AU79" s="386">
        <f t="shared" si="90"/>
        <v>0.95039999999999991</v>
      </c>
      <c r="AV79" s="386">
        <f t="shared" si="91"/>
        <v>6.4902023977467564</v>
      </c>
      <c r="AW79" s="386">
        <f t="shared" si="92"/>
        <v>0.249</v>
      </c>
      <c r="AX79" s="386">
        <f t="shared" si="93"/>
        <v>0.14400000000000002</v>
      </c>
      <c r="AY79" s="386">
        <f t="shared" si="94"/>
        <v>1.2671999999999999</v>
      </c>
      <c r="AZ79" s="386">
        <f t="shared" si="95"/>
        <v>0.10439999999999998</v>
      </c>
      <c r="BA79" s="386">
        <f t="shared" si="113"/>
        <v>1.4112</v>
      </c>
      <c r="BB79" s="386">
        <f t="shared" si="114"/>
        <v>19.732527451168966</v>
      </c>
      <c r="BC79">
        <f t="shared" si="96"/>
        <v>480</v>
      </c>
      <c r="BD79" s="604">
        <f t="shared" si="107"/>
        <v>0.96051382216040138</v>
      </c>
      <c r="BE79" s="614">
        <f t="shared" si="97"/>
        <v>2483.3250256278343</v>
      </c>
      <c r="BF79" s="614">
        <f t="shared" si="98"/>
        <v>222.84801338533251</v>
      </c>
      <c r="BG79" s="9"/>
      <c r="BH79" s="4">
        <f t="shared" si="108"/>
        <v>96.051382216040139</v>
      </c>
      <c r="BI79" s="386">
        <f t="shared" si="109"/>
        <v>-35.952583566171981</v>
      </c>
      <c r="BJ79" s="386">
        <f t="shared" si="110"/>
        <v>46.728653436274818</v>
      </c>
      <c r="BK79" s="386">
        <f t="shared" si="111"/>
        <v>0.31363199999999997</v>
      </c>
      <c r="BL79" s="386">
        <f t="shared" si="112"/>
        <v>6.4902023977467564</v>
      </c>
      <c r="BR79" s="18"/>
      <c r="BS79" s="19"/>
    </row>
    <row r="80" spans="1:71" x14ac:dyDescent="0.3">
      <c r="A80" s="34" t="s">
        <v>49</v>
      </c>
      <c r="B80" s="78" t="e">
        <f>SUM(B77:B79)</f>
        <v>#NAME?</v>
      </c>
      <c r="C80" s="21" t="s">
        <v>2</v>
      </c>
      <c r="G80">
        <v>71</v>
      </c>
      <c r="H80" s="610">
        <f t="shared" si="59"/>
        <v>10.324999999999999</v>
      </c>
      <c r="I80" s="4" t="str">
        <f t="shared" si="60"/>
        <v>BOOST</v>
      </c>
      <c r="J80">
        <f t="shared" si="99"/>
        <v>2</v>
      </c>
      <c r="K80">
        <f t="shared" si="61"/>
        <v>10</v>
      </c>
      <c r="L80" s="4">
        <f t="shared" si="62"/>
        <v>51.654560129136399</v>
      </c>
      <c r="M80" s="4">
        <f t="shared" si="63"/>
        <v>49.27240500121561</v>
      </c>
      <c r="N80" s="386">
        <f t="shared" si="64"/>
        <v>1</v>
      </c>
      <c r="O80" s="386">
        <f t="shared" si="100"/>
        <v>0.79704664304993256</v>
      </c>
      <c r="P80" s="4">
        <f t="shared" si="65"/>
        <v>3.9088740272099396</v>
      </c>
      <c r="Q80" s="386">
        <f t="shared" si="66"/>
        <v>51.666883560116318</v>
      </c>
      <c r="R80" s="386">
        <f t="shared" si="101"/>
        <v>-37.757554321609341</v>
      </c>
      <c r="S80" s="386">
        <f t="shared" si="67"/>
        <v>0.74335119827515106</v>
      </c>
      <c r="T80" s="386">
        <f t="shared" si="102"/>
        <v>-37.014203123334191</v>
      </c>
      <c r="U80" s="4">
        <f t="shared" si="68"/>
        <v>19.943031512371096</v>
      </c>
      <c r="V80" s="386">
        <f t="shared" si="103"/>
        <v>0.79544901180685312</v>
      </c>
      <c r="W80" s="386">
        <f t="shared" si="104"/>
        <v>0.79544901180685312</v>
      </c>
      <c r="X80" s="386">
        <f t="shared" si="69"/>
        <v>1.1283947359189976</v>
      </c>
      <c r="Y80" s="386">
        <f t="shared" si="105"/>
        <v>2.5465493600994086E-3</v>
      </c>
      <c r="Z80" s="603">
        <f t="shared" si="106"/>
        <v>2.5465493600994086E-3</v>
      </c>
      <c r="AA80" s="386">
        <f t="shared" si="70"/>
        <v>51.666883560116318</v>
      </c>
      <c r="AB80" s="386">
        <f t="shared" si="71"/>
        <v>15.215961083843323</v>
      </c>
      <c r="AC80" s="386">
        <f t="shared" si="72"/>
        <v>0</v>
      </c>
      <c r="AD80">
        <f t="shared" si="73"/>
        <v>0</v>
      </c>
      <c r="AE80" s="386">
        <f t="shared" si="74"/>
        <v>-7.4471510604653561</v>
      </c>
      <c r="AF80" s="386">
        <f t="shared" si="75"/>
        <v>0</v>
      </c>
      <c r="AG80" s="386">
        <f t="shared" si="76"/>
        <v>0</v>
      </c>
      <c r="AH80" s="386">
        <f t="shared" si="77"/>
        <v>0</v>
      </c>
      <c r="AI80" s="386">
        <f t="shared" si="78"/>
        <v>0</v>
      </c>
      <c r="AJ80" s="386">
        <f t="shared" si="79"/>
        <v>46.126885836322678</v>
      </c>
      <c r="AK80" s="386">
        <f t="shared" si="80"/>
        <v>4.0426102342185768</v>
      </c>
      <c r="AL80" s="386">
        <f t="shared" si="81"/>
        <v>4.523409576770125</v>
      </c>
      <c r="AM80">
        <f t="shared" si="82"/>
        <v>0</v>
      </c>
      <c r="AN80" s="386">
        <f t="shared" si="83"/>
        <v>44.736324311954107</v>
      </c>
      <c r="AO80" s="386">
        <f t="shared" si="84"/>
        <v>23.27610920788678</v>
      </c>
      <c r="AP80" s="386">
        <f t="shared" si="85"/>
        <v>1.0293767937291962</v>
      </c>
      <c r="AQ80" s="386">
        <f t="shared" si="86"/>
        <v>2.4794188861985473</v>
      </c>
      <c r="AR80" s="386">
        <f t="shared" si="87"/>
        <v>4.4184445333245224</v>
      </c>
      <c r="AS80" s="386">
        <f t="shared" si="88"/>
        <v>15.215961083843323</v>
      </c>
      <c r="AT80" s="386">
        <f t="shared" si="89"/>
        <v>0</v>
      </c>
      <c r="AU80" s="386">
        <f t="shared" si="90"/>
        <v>0.95039999999999991</v>
      </c>
      <c r="AV80" s="386">
        <f t="shared" si="91"/>
        <v>6.3830687908714365</v>
      </c>
      <c r="AW80" s="386">
        <f t="shared" si="92"/>
        <v>0.249</v>
      </c>
      <c r="AX80" s="386">
        <f t="shared" si="93"/>
        <v>0.14400000000000002</v>
      </c>
      <c r="AY80" s="386">
        <f t="shared" si="94"/>
        <v>1.2671999999999999</v>
      </c>
      <c r="AZ80" s="386">
        <f t="shared" si="95"/>
        <v>0.10439999999999998</v>
      </c>
      <c r="BA80" s="386">
        <f t="shared" si="113"/>
        <v>1.4112</v>
      </c>
      <c r="BB80" s="386">
        <f t="shared" si="114"/>
        <v>14.485079013517465</v>
      </c>
      <c r="BC80">
        <f t="shared" si="96"/>
        <v>480</v>
      </c>
      <c r="BD80" s="604">
        <f t="shared" si="107"/>
        <v>0.97070674196597651</v>
      </c>
      <c r="BE80" s="614">
        <f t="shared" si="97"/>
        <v>2284.3362155977056</v>
      </c>
      <c r="BF80" s="614">
        <f t="shared" si="98"/>
        <v>220.92222666622612</v>
      </c>
      <c r="BG80" s="9"/>
      <c r="BH80" s="4">
        <f t="shared" si="108"/>
        <v>97.070674196597651</v>
      </c>
      <c r="BI80" s="386">
        <f t="shared" si="109"/>
        <v>-37.014203123334191</v>
      </c>
      <c r="BJ80" s="386">
        <f t="shared" si="110"/>
        <v>42.658017784813275</v>
      </c>
      <c r="BK80" s="386">
        <f t="shared" si="111"/>
        <v>0.31363199999999997</v>
      </c>
      <c r="BL80" s="386">
        <f t="shared" si="112"/>
        <v>6.3830687908714365</v>
      </c>
      <c r="BR80" s="18"/>
      <c r="BS80" s="19"/>
    </row>
    <row r="81" spans="1:71" x14ac:dyDescent="0.3">
      <c r="A81" s="2"/>
      <c r="G81">
        <v>72</v>
      </c>
      <c r="H81" s="610">
        <f t="shared" si="59"/>
        <v>10.399999999999999</v>
      </c>
      <c r="I81" s="4" t="str">
        <f t="shared" si="60"/>
        <v>BOOST</v>
      </c>
      <c r="J81">
        <f t="shared" si="99"/>
        <v>2</v>
      </c>
      <c r="K81">
        <f t="shared" si="61"/>
        <v>10</v>
      </c>
      <c r="L81" s="4">
        <f t="shared" si="62"/>
        <v>51.282051282051285</v>
      </c>
      <c r="M81" s="4">
        <f t="shared" si="63"/>
        <v>48.873755893137776</v>
      </c>
      <c r="N81" s="386">
        <f t="shared" si="64"/>
        <v>1</v>
      </c>
      <c r="O81" s="386">
        <f t="shared" si="100"/>
        <v>0.7953912111468382</v>
      </c>
      <c r="P81" s="4">
        <f t="shared" si="65"/>
        <v>3.9326646518500756</v>
      </c>
      <c r="Q81" s="386">
        <f t="shared" si="66"/>
        <v>51.294615747011861</v>
      </c>
      <c r="R81" s="386">
        <f t="shared" si="101"/>
        <v>-38.902664880313012</v>
      </c>
      <c r="S81" s="386">
        <f t="shared" si="67"/>
        <v>0.75381649961732289</v>
      </c>
      <c r="T81" s="386">
        <f t="shared" si="102"/>
        <v>-38.148848380695689</v>
      </c>
      <c r="U81" s="4">
        <f t="shared" si="68"/>
        <v>19.843076626050667</v>
      </c>
      <c r="V81" s="386">
        <f t="shared" si="103"/>
        <v>0.7874953799746367</v>
      </c>
      <c r="W81" s="386">
        <f t="shared" si="104"/>
        <v>0.7874953799746367</v>
      </c>
      <c r="X81" s="386">
        <f t="shared" si="69"/>
        <v>1.1352624976890835</v>
      </c>
      <c r="Y81" s="386">
        <f t="shared" si="105"/>
        <v>2.5776418773185128E-3</v>
      </c>
      <c r="Z81" s="603">
        <f t="shared" si="106"/>
        <v>2.5776418773185128E-3</v>
      </c>
      <c r="AA81" s="386">
        <f t="shared" si="70"/>
        <v>51.294615747011861</v>
      </c>
      <c r="AB81" s="386">
        <f t="shared" si="71"/>
        <v>14.997484346411504</v>
      </c>
      <c r="AC81" s="386">
        <f t="shared" si="72"/>
        <v>0</v>
      </c>
      <c r="AD81">
        <f t="shared" si="73"/>
        <v>0</v>
      </c>
      <c r="AE81" s="386">
        <f t="shared" si="74"/>
        <v>-7.500629071649759</v>
      </c>
      <c r="AF81" s="386">
        <f t="shared" si="75"/>
        <v>0</v>
      </c>
      <c r="AG81" s="386">
        <f t="shared" si="76"/>
        <v>0</v>
      </c>
      <c r="AH81" s="386">
        <f t="shared" si="77"/>
        <v>0</v>
      </c>
      <c r="AI81" s="386">
        <f t="shared" si="78"/>
        <v>0</v>
      </c>
      <c r="AJ81" s="386">
        <f t="shared" si="79"/>
        <v>45.746953188638777</v>
      </c>
      <c r="AK81" s="386">
        <f t="shared" si="80"/>
        <v>3.9762890794826644</v>
      </c>
      <c r="AL81" s="386">
        <f t="shared" si="81"/>
        <v>4.4907888346299556</v>
      </c>
      <c r="AM81">
        <f t="shared" si="82"/>
        <v>0</v>
      </c>
      <c r="AN81" s="386">
        <f t="shared" si="83"/>
        <v>41.354828518551678</v>
      </c>
      <c r="AO81" s="386">
        <f t="shared" si="84"/>
        <v>23.202454150155962</v>
      </c>
      <c r="AP81" s="386">
        <f t="shared" si="85"/>
        <v>1.0228723693211703</v>
      </c>
      <c r="AQ81" s="386">
        <f t="shared" si="86"/>
        <v>2.4615384615384617</v>
      </c>
      <c r="AR81" s="386">
        <f t="shared" si="87"/>
        <v>4.3805619965292655</v>
      </c>
      <c r="AS81" s="386">
        <f t="shared" si="88"/>
        <v>14.997484346411504</v>
      </c>
      <c r="AT81" s="386">
        <f t="shared" si="89"/>
        <v>0</v>
      </c>
      <c r="AU81" s="386">
        <f t="shared" si="90"/>
        <v>0.95039999999999991</v>
      </c>
      <c r="AV81" s="386">
        <f t="shared" si="91"/>
        <v>6.2783511781305226</v>
      </c>
      <c r="AW81" s="386">
        <f t="shared" si="92"/>
        <v>0.249</v>
      </c>
      <c r="AX81" s="386">
        <f t="shared" si="93"/>
        <v>0.14400000000000002</v>
      </c>
      <c r="AY81" s="386">
        <f t="shared" si="94"/>
        <v>1.2671999999999999</v>
      </c>
      <c r="AZ81" s="386">
        <f t="shared" si="95"/>
        <v>0.10439999999999998</v>
      </c>
      <c r="BA81" s="386">
        <f t="shared" si="113"/>
        <v>1.4112</v>
      </c>
      <c r="BB81" s="386">
        <f t="shared" si="114"/>
        <v>9.764937262717968</v>
      </c>
      <c r="BC81">
        <f t="shared" si="96"/>
        <v>480</v>
      </c>
      <c r="BD81" s="604">
        <f t="shared" si="107"/>
        <v>0.98006199194802734</v>
      </c>
      <c r="BE81" s="614">
        <f t="shared" si="97"/>
        <v>2115.2614259275838</v>
      </c>
      <c r="BF81" s="614">
        <f t="shared" si="98"/>
        <v>219.02809982646326</v>
      </c>
      <c r="BG81" s="9"/>
      <c r="BH81" s="4">
        <f t="shared" si="108"/>
        <v>98.006199194802733</v>
      </c>
      <c r="BI81" s="386">
        <f t="shared" si="109"/>
        <v>-38.148848380695689</v>
      </c>
      <c r="BJ81" s="386">
        <f t="shared" si="110"/>
        <v>39.185161443431184</v>
      </c>
      <c r="BK81" s="386">
        <f t="shared" si="111"/>
        <v>0.31363199999999997</v>
      </c>
      <c r="BL81" s="386">
        <f t="shared" si="112"/>
        <v>6.2783511781305226</v>
      </c>
      <c r="BR81" s="18"/>
      <c r="BS81" s="19"/>
    </row>
    <row r="82" spans="1:71" x14ac:dyDescent="0.3">
      <c r="A82" s="2"/>
      <c r="G82">
        <v>73</v>
      </c>
      <c r="H82" s="610">
        <f t="shared" si="59"/>
        <v>10.475</v>
      </c>
      <c r="I82" s="4" t="str">
        <f t="shared" si="60"/>
        <v>BOOST</v>
      </c>
      <c r="J82">
        <f t="shared" si="99"/>
        <v>2</v>
      </c>
      <c r="K82">
        <f t="shared" si="61"/>
        <v>10</v>
      </c>
      <c r="L82" s="4">
        <f t="shared" si="62"/>
        <v>50.914876690533013</v>
      </c>
      <c r="M82" s="4">
        <f t="shared" si="63"/>
        <v>48.481819519204237</v>
      </c>
      <c r="N82" s="386">
        <f t="shared" si="64"/>
        <v>1</v>
      </c>
      <c r="O82" s="386">
        <f t="shared" si="100"/>
        <v>0.79373711425911153</v>
      </c>
      <c r="P82" s="4">
        <f t="shared" si="65"/>
        <v>3.9563036601148931</v>
      </c>
      <c r="Q82" s="386">
        <f t="shared" si="66"/>
        <v>50.927684317730716</v>
      </c>
      <c r="R82" s="386">
        <f t="shared" si="101"/>
        <v>-40.128445612897558</v>
      </c>
      <c r="S82" s="386">
        <f t="shared" si="67"/>
        <v>0.76429719779306449</v>
      </c>
      <c r="T82" s="386">
        <f t="shared" si="102"/>
        <v>-39.364148415104495</v>
      </c>
      <c r="U82" s="4">
        <f t="shared" si="68"/>
        <v>19.744305907878818</v>
      </c>
      <c r="V82" s="386">
        <f t="shared" si="103"/>
        <v>0.77967523156779683</v>
      </c>
      <c r="W82" s="386">
        <f t="shared" si="104"/>
        <v>0.77967523156779683</v>
      </c>
      <c r="X82" s="386">
        <f t="shared" si="69"/>
        <v>1.1420864915816176</v>
      </c>
      <c r="Y82" s="386">
        <f t="shared" si="105"/>
        <v>2.6087231085064168E-3</v>
      </c>
      <c r="Z82" s="603">
        <f t="shared" si="106"/>
        <v>2.6087231085064168E-3</v>
      </c>
      <c r="AA82" s="386">
        <f t="shared" si="70"/>
        <v>50.927684317730716</v>
      </c>
      <c r="AB82" s="386">
        <f t="shared" si="71"/>
        <v>14.783685470808681</v>
      </c>
      <c r="AC82" s="386">
        <f t="shared" si="72"/>
        <v>0</v>
      </c>
      <c r="AD82">
        <f t="shared" si="73"/>
        <v>0</v>
      </c>
      <c r="AE82" s="386">
        <f t="shared" si="74"/>
        <v>-7.5552742956211985</v>
      </c>
      <c r="AF82" s="386">
        <f t="shared" si="75"/>
        <v>0</v>
      </c>
      <c r="AG82" s="386">
        <f t="shared" si="76"/>
        <v>0</v>
      </c>
      <c r="AH82" s="386">
        <f t="shared" si="77"/>
        <v>0</v>
      </c>
      <c r="AI82" s="386">
        <f t="shared" si="78"/>
        <v>0</v>
      </c>
      <c r="AJ82" s="386">
        <f t="shared" si="79"/>
        <v>45.372454437733658</v>
      </c>
      <c r="AK82" s="386">
        <f t="shared" si="80"/>
        <v>3.9114532812380114</v>
      </c>
      <c r="AL82" s="386">
        <f t="shared" si="81"/>
        <v>4.458635215288929</v>
      </c>
      <c r="AM82">
        <f t="shared" si="82"/>
        <v>0</v>
      </c>
      <c r="AN82" s="386">
        <f t="shared" si="83"/>
        <v>38.446161070818796</v>
      </c>
      <c r="AO82" s="386">
        <f t="shared" si="84"/>
        <v>23.129405704907729</v>
      </c>
      <c r="AP82" s="386">
        <f t="shared" si="85"/>
        <v>1.0164418756982145</v>
      </c>
      <c r="AQ82" s="386">
        <f t="shared" si="86"/>
        <v>2.4439140811455848</v>
      </c>
      <c r="AR82" s="386">
        <f t="shared" si="87"/>
        <v>4.343297937255918</v>
      </c>
      <c r="AS82" s="386">
        <f t="shared" si="88"/>
        <v>14.783685470808681</v>
      </c>
      <c r="AT82" s="386">
        <f t="shared" si="89"/>
        <v>0</v>
      </c>
      <c r="AU82" s="386">
        <f t="shared" si="90"/>
        <v>0.95039999999999991</v>
      </c>
      <c r="AV82" s="386">
        <f t="shared" si="91"/>
        <v>6.1759788651126497</v>
      </c>
      <c r="AW82" s="386">
        <f t="shared" si="92"/>
        <v>0.249</v>
      </c>
      <c r="AX82" s="386">
        <f t="shared" si="93"/>
        <v>0.14400000000000002</v>
      </c>
      <c r="AY82" s="386">
        <f t="shared" si="94"/>
        <v>1.2671999999999999</v>
      </c>
      <c r="AZ82" s="386">
        <f t="shared" si="95"/>
        <v>0.10439999999999998</v>
      </c>
      <c r="BA82" s="386">
        <f t="shared" si="113"/>
        <v>1.4112</v>
      </c>
      <c r="BB82" s="386">
        <f t="shared" si="114"/>
        <v>5.438899117137975</v>
      </c>
      <c r="BC82">
        <f t="shared" si="96"/>
        <v>480</v>
      </c>
      <c r="BD82" s="604">
        <f t="shared" si="107"/>
        <v>0.98879591411600998</v>
      </c>
      <c r="BE82" s="614">
        <f t="shared" si="97"/>
        <v>1969.8280535409399</v>
      </c>
      <c r="BF82" s="614">
        <f t="shared" si="98"/>
        <v>217.1648968627959</v>
      </c>
      <c r="BG82" s="9"/>
      <c r="BH82" s="4">
        <f t="shared" si="108"/>
        <v>98.879591411600998</v>
      </c>
      <c r="BI82" s="386">
        <f t="shared" si="109"/>
        <v>-39.364148415104495</v>
      </c>
      <c r="BJ82" s="386">
        <f t="shared" si="110"/>
        <v>36.184584712453514</v>
      </c>
      <c r="BK82" s="386">
        <f t="shared" si="111"/>
        <v>0.31363199999999997</v>
      </c>
      <c r="BL82" s="386">
        <f t="shared" si="112"/>
        <v>6.1759788651126497</v>
      </c>
      <c r="BR82" s="18"/>
      <c r="BS82" s="19"/>
    </row>
    <row r="83" spans="1:71" x14ac:dyDescent="0.3">
      <c r="A83" s="2"/>
      <c r="G83">
        <v>74</v>
      </c>
      <c r="H83" s="610">
        <f t="shared" si="59"/>
        <v>10.55</v>
      </c>
      <c r="I83" s="4" t="str">
        <f t="shared" si="60"/>
        <v>BOOST</v>
      </c>
      <c r="J83">
        <f t="shared" si="99"/>
        <v>2</v>
      </c>
      <c r="K83">
        <f t="shared" si="61"/>
        <v>10</v>
      </c>
      <c r="L83" s="4">
        <f t="shared" si="62"/>
        <v>50.552922590837277</v>
      </c>
      <c r="M83" s="4">
        <f t="shared" si="63"/>
        <v>48.09642151063543</v>
      </c>
      <c r="N83" s="386">
        <f t="shared" si="64"/>
        <v>1</v>
      </c>
      <c r="O83" s="386">
        <f t="shared" si="100"/>
        <v>0.79208432382461702</v>
      </c>
      <c r="P83" s="4">
        <f t="shared" si="65"/>
        <v>3.9797917697009213</v>
      </c>
      <c r="Q83" s="386">
        <f t="shared" si="66"/>
        <v>50.56597549425932</v>
      </c>
      <c r="R83" s="386">
        <f t="shared" si="101"/>
        <v>-41.443626305420871</v>
      </c>
      <c r="S83" s="386">
        <f t="shared" si="67"/>
        <v>0.77479218799611294</v>
      </c>
      <c r="T83" s="386">
        <f t="shared" si="102"/>
        <v>-40.668834117424758</v>
      </c>
      <c r="U83" s="4">
        <f t="shared" si="68"/>
        <v>19.646692941474623</v>
      </c>
      <c r="V83" s="386">
        <f t="shared" si="103"/>
        <v>0.77198508707317748</v>
      </c>
      <c r="W83" s="386">
        <f t="shared" si="104"/>
        <v>0.77198508707317748</v>
      </c>
      <c r="X83" s="386">
        <f t="shared" si="69"/>
        <v>1.1488669247777421</v>
      </c>
      <c r="Y83" s="386">
        <f t="shared" si="105"/>
        <v>2.6397904216965327E-3</v>
      </c>
      <c r="Z83" s="603">
        <f t="shared" si="106"/>
        <v>2.6397904216965327E-3</v>
      </c>
      <c r="AA83" s="386">
        <f t="shared" si="70"/>
        <v>50.56597549425932</v>
      </c>
      <c r="AB83" s="386">
        <f t="shared" si="71"/>
        <v>14.574431902810394</v>
      </c>
      <c r="AC83" s="386">
        <f t="shared" si="72"/>
        <v>0</v>
      </c>
      <c r="AD83">
        <f t="shared" si="73"/>
        <v>0</v>
      </c>
      <c r="AE83" s="386">
        <f t="shared" si="74"/>
        <v>-7.6111209786412202</v>
      </c>
      <c r="AF83" s="386">
        <f t="shared" si="75"/>
        <v>0</v>
      </c>
      <c r="AG83" s="386">
        <f t="shared" si="76"/>
        <v>0</v>
      </c>
      <c r="AH83" s="386">
        <f t="shared" si="77"/>
        <v>0</v>
      </c>
      <c r="AI83" s="386">
        <f t="shared" si="78"/>
        <v>0</v>
      </c>
      <c r="AJ83" s="386">
        <f t="shared" si="79"/>
        <v>45.003272861226627</v>
      </c>
      <c r="AK83" s="386">
        <f t="shared" si="80"/>
        <v>3.8480596796218323</v>
      </c>
      <c r="AL83" s="386">
        <f t="shared" si="81"/>
        <v>4.4269387564124667</v>
      </c>
      <c r="AM83">
        <f t="shared" si="82"/>
        <v>0</v>
      </c>
      <c r="AN83" s="386">
        <f t="shared" si="83"/>
        <v>35.917652545219184</v>
      </c>
      <c r="AO83" s="386">
        <f t="shared" si="84"/>
        <v>23.056957940370559</v>
      </c>
      <c r="AP83" s="386">
        <f t="shared" si="85"/>
        <v>1.0100842879816323</v>
      </c>
      <c r="AQ83" s="386">
        <f t="shared" si="86"/>
        <v>2.4265402843601893</v>
      </c>
      <c r="AR83" s="386">
        <f t="shared" si="87"/>
        <v>4.3066380600347891</v>
      </c>
      <c r="AS83" s="386">
        <f t="shared" si="88"/>
        <v>14.574431902810394</v>
      </c>
      <c r="AT83" s="386">
        <f t="shared" si="89"/>
        <v>0</v>
      </c>
      <c r="AU83" s="386">
        <f t="shared" si="90"/>
        <v>0.95039999999999991</v>
      </c>
      <c r="AV83" s="386">
        <f t="shared" si="91"/>
        <v>6.075883704666051</v>
      </c>
      <c r="AW83" s="386">
        <f t="shared" si="92"/>
        <v>0.249</v>
      </c>
      <c r="AX83" s="386">
        <f t="shared" si="93"/>
        <v>0.14400000000000002</v>
      </c>
      <c r="AY83" s="386">
        <f t="shared" si="94"/>
        <v>1.2671999999999999</v>
      </c>
      <c r="AZ83" s="386">
        <f t="shared" si="95"/>
        <v>0.10439999999999998</v>
      </c>
      <c r="BA83" s="386">
        <f t="shared" si="113"/>
        <v>1.4112</v>
      </c>
      <c r="BB83" s="386">
        <f t="shared" si="114"/>
        <v>1.405444091348921</v>
      </c>
      <c r="BC83">
        <f t="shared" si="96"/>
        <v>480</v>
      </c>
      <c r="BD83" s="604">
        <f t="shared" si="107"/>
        <v>0.99708053968105481</v>
      </c>
      <c r="BE83" s="614">
        <f t="shared" si="97"/>
        <v>1843.4026272609592</v>
      </c>
      <c r="BF83" s="614">
        <f t="shared" si="98"/>
        <v>215.33190300173945</v>
      </c>
      <c r="BG83" s="9"/>
      <c r="BH83" s="4">
        <f t="shared" si="108"/>
        <v>99.708053968105474</v>
      </c>
      <c r="BI83" s="386">
        <f t="shared" si="109"/>
        <v>-40.668834117424758</v>
      </c>
      <c r="BJ83" s="386">
        <f t="shared" si="110"/>
        <v>33.563569626612754</v>
      </c>
      <c r="BK83" s="386">
        <f t="shared" si="111"/>
        <v>0.31363199999999997</v>
      </c>
      <c r="BL83" s="386">
        <f t="shared" si="112"/>
        <v>6.075883704666051</v>
      </c>
      <c r="BR83" s="18"/>
      <c r="BS83" s="19"/>
    </row>
    <row r="84" spans="1:71" x14ac:dyDescent="0.3">
      <c r="G84">
        <v>75</v>
      </c>
      <c r="H84" s="610">
        <f t="shared" si="59"/>
        <v>10.625</v>
      </c>
      <c r="I84" s="4" t="str">
        <f t="shared" si="60"/>
        <v>BOOST</v>
      </c>
      <c r="J84">
        <f t="shared" si="99"/>
        <v>2</v>
      </c>
      <c r="K84">
        <f t="shared" si="61"/>
        <v>10</v>
      </c>
      <c r="L84" s="4">
        <f t="shared" si="62"/>
        <v>50.196078431372548</v>
      </c>
      <c r="M84" s="4">
        <f t="shared" si="63"/>
        <v>47.717393642295526</v>
      </c>
      <c r="N84" s="386">
        <f t="shared" si="64"/>
        <v>1</v>
      </c>
      <c r="O84" s="386">
        <f t="shared" si="100"/>
        <v>0.79043281209021765</v>
      </c>
      <c r="P84" s="4">
        <f t="shared" si="65"/>
        <v>4.0031296777963004</v>
      </c>
      <c r="Q84" s="386">
        <f t="shared" si="66"/>
        <v>50.209378710455503</v>
      </c>
      <c r="R84" s="386">
        <f t="shared" si="101"/>
        <v>-42.858244931412855</v>
      </c>
      <c r="S84" s="386">
        <f t="shared" si="67"/>
        <v>0.78530036981746276</v>
      </c>
      <c r="T84" s="386">
        <f t="shared" si="102"/>
        <v>-42.072944561595392</v>
      </c>
      <c r="U84" s="4">
        <f t="shared" si="68"/>
        <v>19.550212143943636</v>
      </c>
      <c r="V84" s="386">
        <f t="shared" si="103"/>
        <v>0.76442158974640251</v>
      </c>
      <c r="W84" s="386">
        <f t="shared" si="104"/>
        <v>0.76442158974640251</v>
      </c>
      <c r="X84" s="386">
        <f t="shared" si="69"/>
        <v>1.1556039985383371</v>
      </c>
      <c r="Y84" s="386">
        <f t="shared" si="105"/>
        <v>2.6708412028755859E-3</v>
      </c>
      <c r="Z84" s="603">
        <f t="shared" si="106"/>
        <v>2.6708412028755859E-3</v>
      </c>
      <c r="AA84" s="386">
        <f t="shared" si="70"/>
        <v>50.209378710455503</v>
      </c>
      <c r="AB84" s="386">
        <f t="shared" si="71"/>
        <v>14.369595749792673</v>
      </c>
      <c r="AC84" s="386">
        <f t="shared" si="72"/>
        <v>0</v>
      </c>
      <c r="AD84">
        <f t="shared" si="73"/>
        <v>0</v>
      </c>
      <c r="AE84" s="386">
        <f t="shared" si="74"/>
        <v>-7.6682047622548906</v>
      </c>
      <c r="AF84" s="386">
        <f t="shared" si="75"/>
        <v>0</v>
      </c>
      <c r="AG84" s="386">
        <f t="shared" si="76"/>
        <v>0</v>
      </c>
      <c r="AH84" s="386">
        <f t="shared" si="77"/>
        <v>0</v>
      </c>
      <c r="AI84" s="386">
        <f t="shared" si="78"/>
        <v>0</v>
      </c>
      <c r="AJ84" s="386">
        <f t="shared" si="79"/>
        <v>44.639295051003792</v>
      </c>
      <c r="AK84" s="386">
        <f t="shared" si="80"/>
        <v>3.7860666590360861</v>
      </c>
      <c r="AL84" s="386">
        <f t="shared" si="81"/>
        <v>4.3956897769554386</v>
      </c>
      <c r="AM84">
        <f t="shared" si="82"/>
        <v>0</v>
      </c>
      <c r="AN84" s="386">
        <f t="shared" si="83"/>
        <v>33.699364536337988</v>
      </c>
      <c r="AO84" s="386">
        <f t="shared" si="84"/>
        <v>22.985104912516068</v>
      </c>
      <c r="AP84" s="386">
        <f t="shared" si="85"/>
        <v>1.0037985908948035</v>
      </c>
      <c r="AQ84" s="386">
        <f t="shared" si="86"/>
        <v>2.4094117647058826</v>
      </c>
      <c r="AR84" s="386">
        <f t="shared" si="87"/>
        <v>4.2705684801369284</v>
      </c>
      <c r="AS84" s="386">
        <f t="shared" si="88"/>
        <v>14.369595749792673</v>
      </c>
      <c r="AT84" s="386">
        <f t="shared" si="89"/>
        <v>0</v>
      </c>
      <c r="AU84" s="386">
        <f t="shared" si="90"/>
        <v>0.95039999999999991</v>
      </c>
      <c r="AV84" s="386">
        <f t="shared" si="91"/>
        <v>5.9779999879517147</v>
      </c>
      <c r="AW84" s="386">
        <f t="shared" si="92"/>
        <v>0.249</v>
      </c>
      <c r="AX84" s="386">
        <f t="shared" si="93"/>
        <v>0.14400000000000002</v>
      </c>
      <c r="AY84" s="386">
        <f t="shared" si="94"/>
        <v>1.2671999999999999</v>
      </c>
      <c r="AZ84" s="386">
        <f t="shared" si="95"/>
        <v>0.10439999999999998</v>
      </c>
      <c r="BA84" s="386">
        <f t="shared" si="113"/>
        <v>1.4112</v>
      </c>
      <c r="BB84" s="386">
        <f t="shared" si="114"/>
        <v>-2.4155238884743642</v>
      </c>
      <c r="BC84">
        <f t="shared" si="96"/>
        <v>480</v>
      </c>
      <c r="BD84" s="604">
        <f t="shared" si="107"/>
        <v>1.0050577939805361</v>
      </c>
      <c r="BE84" s="614">
        <f t="shared" si="97"/>
        <v>1732.4882268168994</v>
      </c>
      <c r="BF84" s="614">
        <f t="shared" si="98"/>
        <v>213.52842400684642</v>
      </c>
      <c r="BG84" s="9"/>
      <c r="BH84" s="4">
        <f t="shared" si="108"/>
        <v>100.5057793980536</v>
      </c>
      <c r="BI84" s="386">
        <f t="shared" si="109"/>
        <v>-42.072944561595392</v>
      </c>
      <c r="BJ84" s="386">
        <f t="shared" si="110"/>
        <v>31.252128254220022</v>
      </c>
      <c r="BK84" s="386">
        <f t="shared" si="111"/>
        <v>0.31363199999999997</v>
      </c>
      <c r="BL84" s="386">
        <f t="shared" si="112"/>
        <v>5.9779999879517147</v>
      </c>
      <c r="BR84" s="18"/>
      <c r="BS84" s="19"/>
    </row>
    <row r="85" spans="1:71" x14ac:dyDescent="0.3">
      <c r="G85">
        <v>76</v>
      </c>
      <c r="H85" s="610">
        <f t="shared" si="59"/>
        <v>10.7</v>
      </c>
      <c r="I85" s="4" t="str">
        <f t="shared" si="60"/>
        <v>BOOST</v>
      </c>
      <c r="J85">
        <f t="shared" si="99"/>
        <v>2</v>
      </c>
      <c r="K85">
        <f t="shared" si="61"/>
        <v>10</v>
      </c>
      <c r="L85" s="4">
        <f t="shared" si="62"/>
        <v>49.844236760124616</v>
      </c>
      <c r="M85" s="4">
        <f t="shared" si="63"/>
        <v>47.344573559781779</v>
      </c>
      <c r="N85" s="386">
        <f t="shared" si="64"/>
        <v>1</v>
      </c>
      <c r="O85" s="386">
        <f t="shared" si="100"/>
        <v>0.78878255208333337</v>
      </c>
      <c r="P85" s="4">
        <f t="shared" si="65"/>
        <v>4.0263180618080474</v>
      </c>
      <c r="Q85" s="386">
        <f t="shared" si="66"/>
        <v>49.857786499475303</v>
      </c>
      <c r="R85" s="386">
        <f t="shared" si="101"/>
        <v>-44.383902209713149</v>
      </c>
      <c r="S85" s="386">
        <f t="shared" si="67"/>
        <v>0.79582064724643753</v>
      </c>
      <c r="T85" s="386">
        <f t="shared" si="102"/>
        <v>-43.588081562466712</v>
      </c>
      <c r="U85" s="4">
        <f t="shared" si="68"/>
        <v>19.454838731751561</v>
      </c>
      <c r="V85" s="386">
        <f t="shared" si="103"/>
        <v>0.75698150015692134</v>
      </c>
      <c r="W85" s="386">
        <f t="shared" si="104"/>
        <v>0.75698150015692134</v>
      </c>
      <c r="X85" s="386">
        <f t="shared" si="69"/>
        <v>1.1622979084139642</v>
      </c>
      <c r="Y85" s="386">
        <f t="shared" si="105"/>
        <v>2.7018728558069519E-3</v>
      </c>
      <c r="Z85" s="603">
        <f t="shared" si="106"/>
        <v>2.7018728558069519E-3</v>
      </c>
      <c r="AA85" s="386">
        <f t="shared" si="70"/>
        <v>49.857786499475303</v>
      </c>
      <c r="AB85" s="386">
        <f t="shared" si="71"/>
        <v>14.169053585375393</v>
      </c>
      <c r="AC85" s="386">
        <f t="shared" si="72"/>
        <v>0</v>
      </c>
      <c r="AD85">
        <f t="shared" si="73"/>
        <v>0</v>
      </c>
      <c r="AE85" s="386">
        <f t="shared" si="74"/>
        <v>-7.7265627545109901</v>
      </c>
      <c r="AF85" s="386">
        <f t="shared" si="75"/>
        <v>0</v>
      </c>
      <c r="AG85" s="386">
        <f t="shared" si="76"/>
        <v>0</v>
      </c>
      <c r="AH85" s="386">
        <f t="shared" si="77"/>
        <v>0</v>
      </c>
      <c r="AI85" s="386">
        <f t="shared" si="78"/>
        <v>0</v>
      </c>
      <c r="AJ85" s="386">
        <f t="shared" si="79"/>
        <v>44.28041079635971</v>
      </c>
      <c r="AK85" s="386">
        <f t="shared" si="80"/>
        <v>3.725434082559302</v>
      </c>
      <c r="AL85" s="386">
        <f t="shared" si="81"/>
        <v>4.364878867303883</v>
      </c>
      <c r="AM85">
        <f t="shared" si="82"/>
        <v>0</v>
      </c>
      <c r="AN85" s="386">
        <f t="shared" si="83"/>
        <v>31.737522709332932</v>
      </c>
      <c r="AO85" s="386">
        <f t="shared" si="84"/>
        <v>22.913840671805591</v>
      </c>
      <c r="AP85" s="386">
        <f t="shared" si="85"/>
        <v>0.99758377923249497</v>
      </c>
      <c r="AQ85" s="386">
        <f t="shared" si="86"/>
        <v>2.3925233644859816</v>
      </c>
      <c r="AR85" s="386">
        <f t="shared" si="87"/>
        <v>4.2350757101773739</v>
      </c>
      <c r="AS85" s="386">
        <f t="shared" si="88"/>
        <v>14.169053585375393</v>
      </c>
      <c r="AT85" s="386">
        <f t="shared" si="89"/>
        <v>0</v>
      </c>
      <c r="AU85" s="386">
        <f t="shared" si="90"/>
        <v>0.95039999999999991</v>
      </c>
      <c r="AV85" s="386">
        <f t="shared" si="91"/>
        <v>5.8822643408831086</v>
      </c>
      <c r="AW85" s="386">
        <f t="shared" si="92"/>
        <v>0.249</v>
      </c>
      <c r="AX85" s="386">
        <f t="shared" si="93"/>
        <v>0.14400000000000002</v>
      </c>
      <c r="AY85" s="386">
        <f t="shared" si="94"/>
        <v>1.2671999999999999</v>
      </c>
      <c r="AZ85" s="386">
        <f t="shared" si="95"/>
        <v>0.10439999999999998</v>
      </c>
      <c r="BA85" s="386">
        <f t="shared" si="113"/>
        <v>1.4112</v>
      </c>
      <c r="BB85" s="386">
        <f t="shared" si="114"/>
        <v>-6.0894981835715587</v>
      </c>
      <c r="BC85">
        <f t="shared" si="96"/>
        <v>480</v>
      </c>
      <c r="BD85" s="604">
        <f t="shared" si="107"/>
        <v>1.0128494687503893</v>
      </c>
      <c r="BE85" s="614">
        <f t="shared" si="97"/>
        <v>1634.3961354666465</v>
      </c>
      <c r="BF85" s="614">
        <f t="shared" si="98"/>
        <v>211.7537855088687</v>
      </c>
      <c r="BG85" s="9"/>
      <c r="BH85" s="4">
        <f t="shared" si="108"/>
        <v>101.28494687503893</v>
      </c>
      <c r="BI85" s="386">
        <f t="shared" si="109"/>
        <v>-43.588081562466712</v>
      </c>
      <c r="BJ85" s="386">
        <f t="shared" si="110"/>
        <v>29.196435664999314</v>
      </c>
      <c r="BK85" s="386">
        <f t="shared" si="111"/>
        <v>0.31363199999999997</v>
      </c>
      <c r="BL85" s="386">
        <f t="shared" si="112"/>
        <v>5.8822643408831086</v>
      </c>
      <c r="BR85" s="18"/>
      <c r="BS85" s="19"/>
    </row>
    <row r="86" spans="1:71" x14ac:dyDescent="0.3">
      <c r="G86">
        <v>77</v>
      </c>
      <c r="H86" s="610">
        <f t="shared" si="59"/>
        <v>10.775</v>
      </c>
      <c r="I86" s="4" t="str">
        <f t="shared" si="60"/>
        <v>BOOST</v>
      </c>
      <c r="J86">
        <f t="shared" si="99"/>
        <v>2</v>
      </c>
      <c r="K86">
        <f t="shared" si="61"/>
        <v>10</v>
      </c>
      <c r="L86" s="4">
        <f t="shared" si="62"/>
        <v>49.497293116782679</v>
      </c>
      <c r="M86" s="4">
        <f t="shared" si="63"/>
        <v>46.977804521097376</v>
      </c>
      <c r="N86" s="386">
        <f t="shared" si="64"/>
        <v>1</v>
      </c>
      <c r="O86" s="386">
        <f t="shared" si="100"/>
        <v>0.78713351758469097</v>
      </c>
      <c r="P86" s="4">
        <f t="shared" si="65"/>
        <v>4.0493575800586035</v>
      </c>
      <c r="Q86" s="386">
        <f t="shared" si="66"/>
        <v>49.511094385901359</v>
      </c>
      <c r="R86" s="386">
        <f t="shared" si="101"/>
        <v>-46.034078010538373</v>
      </c>
      <c r="S86" s="386">
        <f t="shared" si="67"/>
        <v>0.80635192867379091</v>
      </c>
      <c r="T86" s="386">
        <f t="shared" si="102"/>
        <v>-45.227726081864581</v>
      </c>
      <c r="U86" s="4">
        <f t="shared" si="68"/>
        <v>19.360548688306633</v>
      </c>
      <c r="V86" s="386">
        <f t="shared" si="103"/>
        <v>0.74966169102458335</v>
      </c>
      <c r="W86" s="386">
        <f t="shared" si="104"/>
        <v>0.74966169102458335</v>
      </c>
      <c r="X86" s="386">
        <f t="shared" si="69"/>
        <v>1.1689488444459433</v>
      </c>
      <c r="Y86" s="386">
        <f t="shared" si="105"/>
        <v>2.732882801863012E-3</v>
      </c>
      <c r="Z86" s="603">
        <f t="shared" si="106"/>
        <v>2.732882801863012E-3</v>
      </c>
      <c r="AA86" s="386">
        <f t="shared" si="70"/>
        <v>49.511094385901359</v>
      </c>
      <c r="AB86" s="386">
        <f t="shared" si="71"/>
        <v>13.972686263550909</v>
      </c>
      <c r="AC86" s="386">
        <f t="shared" si="72"/>
        <v>0</v>
      </c>
      <c r="AD86">
        <f t="shared" si="73"/>
        <v>0</v>
      </c>
      <c r="AE86" s="386">
        <f t="shared" si="74"/>
        <v>-7.7862336055987695</v>
      </c>
      <c r="AF86" s="386">
        <f t="shared" si="75"/>
        <v>0</v>
      </c>
      <c r="AG86" s="386">
        <f t="shared" si="76"/>
        <v>0</v>
      </c>
      <c r="AH86" s="386">
        <f t="shared" si="77"/>
        <v>0</v>
      </c>
      <c r="AI86" s="386">
        <f t="shared" si="78"/>
        <v>0</v>
      </c>
      <c r="AJ86" s="386">
        <f t="shared" si="79"/>
        <v>43.926512972048322</v>
      </c>
      <c r="AK86" s="386">
        <f t="shared" si="80"/>
        <v>3.6661232295787061</v>
      </c>
      <c r="AL86" s="386">
        <f t="shared" si="81"/>
        <v>4.3344968798284489</v>
      </c>
      <c r="AM86">
        <f t="shared" si="82"/>
        <v>0</v>
      </c>
      <c r="AN86" s="386">
        <f t="shared" si="83"/>
        <v>29.990102109958123</v>
      </c>
      <c r="AO86" s="386">
        <f t="shared" si="84"/>
        <v>22.843159269376542</v>
      </c>
      <c r="AP86" s="386">
        <f t="shared" si="85"/>
        <v>0.99143885827159661</v>
      </c>
      <c r="AQ86" s="386">
        <f t="shared" si="86"/>
        <v>2.3758700696055688</v>
      </c>
      <c r="AR86" s="386">
        <f t="shared" si="87"/>
        <v>4.2001466471648428</v>
      </c>
      <c r="AS86" s="386">
        <f t="shared" si="88"/>
        <v>13.972686263550909</v>
      </c>
      <c r="AT86" s="386">
        <f t="shared" si="89"/>
        <v>0</v>
      </c>
      <c r="AU86" s="386">
        <f t="shared" si="90"/>
        <v>0.95039999999999991</v>
      </c>
      <c r="AV86" s="386">
        <f t="shared" si="91"/>
        <v>5.7886156256505883</v>
      </c>
      <c r="AW86" s="386">
        <f t="shared" si="92"/>
        <v>0.249</v>
      </c>
      <c r="AX86" s="386">
        <f t="shared" si="93"/>
        <v>0.14400000000000002</v>
      </c>
      <c r="AY86" s="386">
        <f t="shared" si="94"/>
        <v>1.2671999999999999</v>
      </c>
      <c r="AZ86" s="386">
        <f t="shared" si="95"/>
        <v>0.10439999999999998</v>
      </c>
      <c r="BA86" s="386">
        <f t="shared" si="113"/>
        <v>1.4112</v>
      </c>
      <c r="BB86" s="386">
        <f t="shared" si="114"/>
        <v>-9.6721007308633435</v>
      </c>
      <c r="BC86">
        <f t="shared" si="96"/>
        <v>480</v>
      </c>
      <c r="BD86" s="604">
        <f t="shared" si="107"/>
        <v>1.0205645906736411</v>
      </c>
      <c r="BE86" s="614">
        <f t="shared" si="97"/>
        <v>1547.025105497906</v>
      </c>
      <c r="BF86" s="614">
        <f t="shared" si="98"/>
        <v>210.00733235824214</v>
      </c>
      <c r="BG86" s="9"/>
      <c r="BH86" s="4">
        <f t="shared" si="108"/>
        <v>102.05645906736412</v>
      </c>
      <c r="BI86" s="386">
        <f t="shared" si="109"/>
        <v>-45.227726081864581</v>
      </c>
      <c r="BJ86" s="386">
        <f t="shared" si="110"/>
        <v>27.354415151524194</v>
      </c>
      <c r="BK86" s="386">
        <f t="shared" si="111"/>
        <v>0.31363199999999997</v>
      </c>
      <c r="BL86" s="386">
        <f t="shared" si="112"/>
        <v>5.7886156256505883</v>
      </c>
      <c r="BR86" s="18"/>
      <c r="BS86" s="19"/>
    </row>
    <row r="87" spans="1:71" x14ac:dyDescent="0.3">
      <c r="G87">
        <v>78</v>
      </c>
      <c r="H87" s="610">
        <f t="shared" si="59"/>
        <v>10.850000000000001</v>
      </c>
      <c r="I87" s="4" t="str">
        <f t="shared" si="60"/>
        <v>BOOST</v>
      </c>
      <c r="J87">
        <f t="shared" si="99"/>
        <v>2</v>
      </c>
      <c r="K87">
        <f t="shared" si="61"/>
        <v>10</v>
      </c>
      <c r="L87" s="4">
        <f t="shared" si="62"/>
        <v>49.155145929339469</v>
      </c>
      <c r="M87" s="4">
        <f t="shared" si="63"/>
        <v>46.616935152000345</v>
      </c>
      <c r="N87" s="386">
        <f t="shared" si="64"/>
        <v>1</v>
      </c>
      <c r="O87" s="386">
        <f t="shared" si="100"/>
        <v>0.78548568310220845</v>
      </c>
      <c r="P87" s="4">
        <f t="shared" si="65"/>
        <v>4.0722488724531525</v>
      </c>
      <c r="Q87" s="386">
        <f t="shared" si="66"/>
        <v>49.169200782345364</v>
      </c>
      <c r="R87" s="386">
        <f t="shared" si="101"/>
        <v>-47.824527880968724</v>
      </c>
      <c r="S87" s="386">
        <f t="shared" si="67"/>
        <v>0.81689312689671156</v>
      </c>
      <c r="T87" s="386">
        <f t="shared" si="102"/>
        <v>-47.007634754072015</v>
      </c>
      <c r="U87" s="4">
        <f t="shared" si="68"/>
        <v>19.267318733150159</v>
      </c>
      <c r="V87" s="386">
        <f t="shared" si="103"/>
        <v>0.74245914232959809</v>
      </c>
      <c r="W87" s="386">
        <f t="shared" si="104"/>
        <v>0.74245914232959809</v>
      </c>
      <c r="X87" s="386">
        <f t="shared" si="69"/>
        <v>1.1755569913589889</v>
      </c>
      <c r="Y87" s="386">
        <f t="shared" si="105"/>
        <v>2.763868479865996E-3</v>
      </c>
      <c r="Z87" s="603">
        <f t="shared" si="106"/>
        <v>2.763868479865996E-3</v>
      </c>
      <c r="AA87" s="386">
        <f t="shared" si="70"/>
        <v>49.169200782345364</v>
      </c>
      <c r="AB87" s="386">
        <f t="shared" si="71"/>
        <v>13.780378741775175</v>
      </c>
      <c r="AC87" s="386">
        <f t="shared" si="72"/>
        <v>0</v>
      </c>
      <c r="AD87">
        <f t="shared" si="73"/>
        <v>0</v>
      </c>
      <c r="AE87" s="386">
        <f t="shared" si="74"/>
        <v>-7.847257588223993</v>
      </c>
      <c r="AF87" s="386">
        <f t="shared" si="75"/>
        <v>0</v>
      </c>
      <c r="AG87" s="386">
        <f t="shared" si="76"/>
        <v>0</v>
      </c>
      <c r="AH87" s="386">
        <f t="shared" si="77"/>
        <v>0</v>
      </c>
      <c r="AI87" s="386">
        <f t="shared" si="78"/>
        <v>0</v>
      </c>
      <c r="AJ87" s="386">
        <f t="shared" si="79"/>
        <v>43.577497431004424</v>
      </c>
      <c r="AK87" s="386">
        <f t="shared" si="80"/>
        <v>3.6080967364634744</v>
      </c>
      <c r="AL87" s="386">
        <f t="shared" si="81"/>
        <v>4.3045349198296332</v>
      </c>
      <c r="AM87">
        <f t="shared" si="82"/>
        <v>0</v>
      </c>
      <c r="AN87" s="386">
        <f t="shared" si="83"/>
        <v>28.423784409373461</v>
      </c>
      <c r="AO87" s="386">
        <f t="shared" si="84"/>
        <v>22.773054762710135</v>
      </c>
      <c r="AP87" s="386">
        <f t="shared" si="85"/>
        <v>0.98536284412825004</v>
      </c>
      <c r="AQ87" s="386">
        <f t="shared" si="86"/>
        <v>2.3594470046082945</v>
      </c>
      <c r="AR87" s="386">
        <f t="shared" si="87"/>
        <v>4.1657685599861427</v>
      </c>
      <c r="AS87" s="386">
        <f t="shared" si="88"/>
        <v>13.780378741775175</v>
      </c>
      <c r="AT87" s="386">
        <f t="shared" si="89"/>
        <v>0</v>
      </c>
      <c r="AU87" s="386">
        <f t="shared" si="90"/>
        <v>0.95039999999999991</v>
      </c>
      <c r="AV87" s="386">
        <f t="shared" si="91"/>
        <v>5.6969948470475913</v>
      </c>
      <c r="AW87" s="386">
        <f t="shared" si="92"/>
        <v>0.249</v>
      </c>
      <c r="AX87" s="386">
        <f t="shared" si="93"/>
        <v>0.14400000000000002</v>
      </c>
      <c r="AY87" s="386">
        <f t="shared" si="94"/>
        <v>1.2671999999999999</v>
      </c>
      <c r="AZ87" s="386">
        <f t="shared" si="95"/>
        <v>0.10439999999999998</v>
      </c>
      <c r="BA87" s="386">
        <f t="shared" si="113"/>
        <v>1.4112</v>
      </c>
      <c r="BB87" s="386">
        <f t="shared" si="114"/>
        <v>-13.21252151507935</v>
      </c>
      <c r="BC87">
        <f t="shared" si="96"/>
        <v>480</v>
      </c>
      <c r="BD87" s="604">
        <f t="shared" si="107"/>
        <v>1.0283052183789592</v>
      </c>
      <c r="BE87" s="614">
        <f t="shared" si="97"/>
        <v>1468.709220468673</v>
      </c>
      <c r="BF87" s="614">
        <f t="shared" si="98"/>
        <v>208.28842799930715</v>
      </c>
      <c r="BG87" s="9"/>
      <c r="BH87" s="4">
        <f t="shared" si="108"/>
        <v>102.83052183789592</v>
      </c>
      <c r="BI87" s="386">
        <f t="shared" si="109"/>
        <v>-47.007634754072015</v>
      </c>
      <c r="BJ87" s="386">
        <f t="shared" si="110"/>
        <v>25.692695381135611</v>
      </c>
      <c r="BK87" s="386">
        <f t="shared" si="111"/>
        <v>0.31363199999999997</v>
      </c>
      <c r="BL87" s="386">
        <f t="shared" si="112"/>
        <v>5.6969948470475913</v>
      </c>
      <c r="BR87" s="18"/>
      <c r="BS87" s="19"/>
    </row>
    <row r="88" spans="1:71" x14ac:dyDescent="0.3">
      <c r="G88">
        <v>79</v>
      </c>
      <c r="H88" s="610">
        <f t="shared" si="59"/>
        <v>10.925000000000001</v>
      </c>
      <c r="I88" s="4" t="str">
        <f t="shared" si="60"/>
        <v>BOOST</v>
      </c>
      <c r="J88">
        <f t="shared" si="99"/>
        <v>2</v>
      </c>
      <c r="K88">
        <f t="shared" si="61"/>
        <v>10</v>
      </c>
      <c r="L88" s="4">
        <f t="shared" si="62"/>
        <v>48.817696414950412</v>
      </c>
      <c r="M88" s="4">
        <f t="shared" si="63"/>
        <v>46.261819214184726</v>
      </c>
      <c r="N88" s="386">
        <f t="shared" si="64"/>
        <v>1</v>
      </c>
      <c r="O88" s="386">
        <f t="shared" si="100"/>
        <v>0.78383902384595772</v>
      </c>
      <c r="P88" s="4">
        <f t="shared" si="65"/>
        <v>4.0949925611191329</v>
      </c>
      <c r="Q88" s="386">
        <f t="shared" si="66"/>
        <v>48.832006890309458</v>
      </c>
      <c r="R88" s="386">
        <f t="shared" si="101"/>
        <v>-49.773784401621192</v>
      </c>
      <c r="S88" s="386">
        <f t="shared" si="67"/>
        <v>0.8274431591255923</v>
      </c>
      <c r="T88" s="386">
        <f t="shared" si="102"/>
        <v>-48.946341242495599</v>
      </c>
      <c r="U88" s="4">
        <f t="shared" si="68"/>
        <v>19.17512629266124</v>
      </c>
      <c r="V88" s="386">
        <f t="shared" si="103"/>
        <v>0.73537093667901676</v>
      </c>
      <c r="W88" s="386">
        <f t="shared" si="104"/>
        <v>0.73537093667901676</v>
      </c>
      <c r="X88" s="386">
        <f t="shared" si="69"/>
        <v>1.1821225287458232</v>
      </c>
      <c r="Y88" s="386">
        <f t="shared" si="105"/>
        <v>2.7948273459368392E-3</v>
      </c>
      <c r="Z88" s="603">
        <f t="shared" si="106"/>
        <v>2.7948273459368392E-3</v>
      </c>
      <c r="AA88" s="386">
        <f t="shared" si="70"/>
        <v>48.832006890309458</v>
      </c>
      <c r="AB88" s="386">
        <f t="shared" si="71"/>
        <v>13.592019912530814</v>
      </c>
      <c r="AC88" s="386">
        <f t="shared" si="72"/>
        <v>0</v>
      </c>
      <c r="AD88">
        <f t="shared" si="73"/>
        <v>0</v>
      </c>
      <c r="AE88" s="386">
        <f t="shared" si="74"/>
        <v>-7.9096766830741831</v>
      </c>
      <c r="AF88" s="386">
        <f t="shared" si="75"/>
        <v>0</v>
      </c>
      <c r="AG88" s="386">
        <f t="shared" si="76"/>
        <v>0</v>
      </c>
      <c r="AH88" s="386">
        <f t="shared" si="77"/>
        <v>0</v>
      </c>
      <c r="AI88" s="386">
        <f t="shared" si="78"/>
        <v>0</v>
      </c>
      <c r="AJ88" s="386">
        <f t="shared" si="79"/>
        <v>43.233262901509619</v>
      </c>
      <c r="AK88" s="386">
        <f t="shared" si="80"/>
        <v>3.5513185401109912</v>
      </c>
      <c r="AL88" s="386">
        <f t="shared" si="81"/>
        <v>4.2749843368559759</v>
      </c>
      <c r="AM88">
        <f t="shared" si="82"/>
        <v>0</v>
      </c>
      <c r="AN88" s="386">
        <f t="shared" si="83"/>
        <v>27.011814169163809</v>
      </c>
      <c r="AO88" s="386">
        <f t="shared" si="84"/>
        <v>22.703521220819088</v>
      </c>
      <c r="AP88" s="386">
        <f t="shared" si="85"/>
        <v>0.97935476406594701</v>
      </c>
      <c r="AQ88" s="386">
        <f t="shared" si="86"/>
        <v>2.3432494279176197</v>
      </c>
      <c r="AR88" s="386">
        <f t="shared" si="87"/>
        <v>4.1319290773134814</v>
      </c>
      <c r="AS88" s="386">
        <f t="shared" si="88"/>
        <v>13.592019912530814</v>
      </c>
      <c r="AT88" s="386">
        <f t="shared" si="89"/>
        <v>0</v>
      </c>
      <c r="AU88" s="386">
        <f t="shared" si="90"/>
        <v>0.95039999999999991</v>
      </c>
      <c r="AV88" s="386">
        <f t="shared" si="91"/>
        <v>5.6073450633331445</v>
      </c>
      <c r="AW88" s="386">
        <f t="shared" si="92"/>
        <v>0.249</v>
      </c>
      <c r="AX88" s="386">
        <f t="shared" si="93"/>
        <v>0.14400000000000002</v>
      </c>
      <c r="AY88" s="386">
        <f t="shared" si="94"/>
        <v>1.2671999999999999</v>
      </c>
      <c r="AZ88" s="386">
        <f t="shared" si="95"/>
        <v>0.10439999999999998</v>
      </c>
      <c r="BA88" s="386">
        <f t="shared" si="113"/>
        <v>1.4112</v>
      </c>
      <c r="BB88" s="386">
        <f t="shared" si="114"/>
        <v>-16.756163851734389</v>
      </c>
      <c r="BC88">
        <f t="shared" si="96"/>
        <v>480</v>
      </c>
      <c r="BD88" s="604">
        <f t="shared" si="107"/>
        <v>1.0361713692535166</v>
      </c>
      <c r="BE88" s="614">
        <f t="shared" si="97"/>
        <v>1398.1107084581904</v>
      </c>
      <c r="BF88" s="614">
        <f t="shared" si="98"/>
        <v>206.59645386567408</v>
      </c>
      <c r="BG88" s="9"/>
      <c r="BH88" s="4">
        <f t="shared" si="108"/>
        <v>103.61713692535166</v>
      </c>
      <c r="BI88" s="386">
        <f t="shared" si="109"/>
        <v>-48.946341242495599</v>
      </c>
      <c r="BJ88" s="386">
        <f t="shared" si="110"/>
        <v>24.184466563403102</v>
      </c>
      <c r="BK88" s="386">
        <f t="shared" si="111"/>
        <v>0.31363199999999997</v>
      </c>
      <c r="BL88" s="386">
        <f t="shared" si="112"/>
        <v>5.6073450633331445</v>
      </c>
      <c r="BR88" s="18"/>
      <c r="BS88" s="19"/>
    </row>
    <row r="89" spans="1:71" x14ac:dyDescent="0.3">
      <c r="G89">
        <v>80</v>
      </c>
      <c r="H89" s="610">
        <f t="shared" si="59"/>
        <v>11</v>
      </c>
      <c r="I89" s="4" t="str">
        <f t="shared" si="60"/>
        <v>BOOST</v>
      </c>
      <c r="J89">
        <f t="shared" si="99"/>
        <v>2</v>
      </c>
      <c r="K89">
        <f t="shared" si="61"/>
        <v>10</v>
      </c>
      <c r="L89" s="4">
        <f t="shared" si="62"/>
        <v>48.484848484848484</v>
      </c>
      <c r="M89" s="4">
        <f t="shared" si="63"/>
        <v>45.912315385509935</v>
      </c>
      <c r="N89" s="386">
        <f t="shared" si="64"/>
        <v>1</v>
      </c>
      <c r="O89" s="386">
        <f t="shared" si="100"/>
        <v>0.78219351570415396</v>
      </c>
      <c r="P89" s="4">
        <f t="shared" si="65"/>
        <v>4.1175892510192966</v>
      </c>
      <c r="Q89" s="386">
        <f t="shared" si="66"/>
        <v>48.499416605103512</v>
      </c>
      <c r="R89" s="386">
        <f t="shared" si="101"/>
        <v>-51.903797198662588</v>
      </c>
      <c r="S89" s="386">
        <f t="shared" si="67"/>
        <v>0.83800094699245498</v>
      </c>
      <c r="T89" s="386">
        <f t="shared" si="102"/>
        <v>-51.065796251670136</v>
      </c>
      <c r="U89" s="4">
        <f t="shared" si="68"/>
        <v>19.083949472188092</v>
      </c>
      <c r="V89" s="386">
        <f t="shared" si="103"/>
        <v>0.72839425491405629</v>
      </c>
      <c r="W89" s="386">
        <f t="shared" si="104"/>
        <v>0.72839425491405629</v>
      </c>
      <c r="X89" s="386">
        <f t="shared" si="69"/>
        <v>1.1886456312441502</v>
      </c>
      <c r="Y89" s="386">
        <f t="shared" si="105"/>
        <v>2.8257568733516089E-3</v>
      </c>
      <c r="Z89" s="603">
        <f t="shared" si="106"/>
        <v>2.8257568733516089E-3</v>
      </c>
      <c r="AA89" s="386">
        <f t="shared" si="70"/>
        <v>48.499416605103512</v>
      </c>
      <c r="AB89" s="386">
        <f t="shared" si="71"/>
        <v>13.407502442901727</v>
      </c>
      <c r="AC89" s="386">
        <f t="shared" si="72"/>
        <v>0</v>
      </c>
      <c r="AD89">
        <f t="shared" si="73"/>
        <v>0</v>
      </c>
      <c r="AE89" s="386">
        <f t="shared" si="74"/>
        <v>-7.9735346697528424</v>
      </c>
      <c r="AF89" s="386">
        <f t="shared" si="75"/>
        <v>0</v>
      </c>
      <c r="AG89" s="386">
        <f t="shared" si="76"/>
        <v>0</v>
      </c>
      <c r="AH89" s="386">
        <f t="shared" si="77"/>
        <v>0</v>
      </c>
      <c r="AI89" s="386">
        <f t="shared" si="78"/>
        <v>0</v>
      </c>
      <c r="AJ89" s="386">
        <f t="shared" si="79"/>
        <v>42.893710888589695</v>
      </c>
      <c r="AK89" s="386">
        <f t="shared" si="80"/>
        <v>3.4957538242084447</v>
      </c>
      <c r="AL89" s="386">
        <f t="shared" si="81"/>
        <v>4.2458367163774122</v>
      </c>
      <c r="AM89">
        <f t="shared" si="82"/>
        <v>0</v>
      </c>
      <c r="AN89" s="386">
        <f t="shared" si="83"/>
        <v>25.732458772953581</v>
      </c>
      <c r="AO89" s="386">
        <f t="shared" si="84"/>
        <v>22.634552728990965</v>
      </c>
      <c r="AP89" s="386">
        <f t="shared" si="85"/>
        <v>0.97341365675879743</v>
      </c>
      <c r="AQ89" s="386">
        <f t="shared" si="86"/>
        <v>2.3272727272727272</v>
      </c>
      <c r="AR89" s="386">
        <f t="shared" si="87"/>
        <v>4.0986161759226496</v>
      </c>
      <c r="AS89" s="386">
        <f t="shared" si="88"/>
        <v>13.407502442901727</v>
      </c>
      <c r="AT89" s="386">
        <f t="shared" si="89"/>
        <v>0</v>
      </c>
      <c r="AU89" s="386">
        <f t="shared" si="90"/>
        <v>0.95039999999999991</v>
      </c>
      <c r="AV89" s="386">
        <f t="shared" si="91"/>
        <v>5.5196113013817545</v>
      </c>
      <c r="AW89" s="386">
        <f t="shared" si="92"/>
        <v>0.249</v>
      </c>
      <c r="AX89" s="386">
        <f t="shared" si="93"/>
        <v>0.14400000000000002</v>
      </c>
      <c r="AY89" s="386">
        <f t="shared" si="94"/>
        <v>1.2671999999999999</v>
      </c>
      <c r="AZ89" s="386">
        <f t="shared" si="95"/>
        <v>0.10439999999999998</v>
      </c>
      <c r="BA89" s="386">
        <f t="shared" si="113"/>
        <v>1.4112</v>
      </c>
      <c r="BB89" s="386">
        <f t="shared" si="114"/>
        <v>-20.346824659377592</v>
      </c>
      <c r="BC89">
        <f t="shared" si="96"/>
        <v>480</v>
      </c>
      <c r="BD89" s="604">
        <f t="shared" si="107"/>
        <v>1.044265602308305</v>
      </c>
      <c r="BE89" s="614">
        <f t="shared" si="97"/>
        <v>1334.1429386476789</v>
      </c>
      <c r="BF89" s="614">
        <f t="shared" si="98"/>
        <v>204.93080879613248</v>
      </c>
      <c r="BG89" s="9"/>
      <c r="BH89" s="4">
        <f t="shared" si="108"/>
        <v>104.4265602308305</v>
      </c>
      <c r="BI89" s="386">
        <f t="shared" si="109"/>
        <v>-51.065796251670136</v>
      </c>
      <c r="BJ89" s="386">
        <f t="shared" si="110"/>
        <v>22.80794027912339</v>
      </c>
      <c r="BK89" s="386">
        <f t="shared" si="111"/>
        <v>0.31363199999999997</v>
      </c>
      <c r="BL89" s="386">
        <f t="shared" si="112"/>
        <v>5.5196113013817545</v>
      </c>
      <c r="BR89" s="18"/>
      <c r="BS89" s="19"/>
    </row>
    <row r="90" spans="1:71" x14ac:dyDescent="0.3">
      <c r="G90">
        <v>81</v>
      </c>
      <c r="H90" s="610">
        <f t="shared" si="59"/>
        <v>11.074999999999999</v>
      </c>
      <c r="I90" s="4" t="str">
        <f t="shared" si="60"/>
        <v>BOOST</v>
      </c>
      <c r="J90">
        <f t="shared" si="99"/>
        <v>2</v>
      </c>
      <c r="K90">
        <f t="shared" si="61"/>
        <v>10</v>
      </c>
      <c r="L90" s="4">
        <f t="shared" si="62"/>
        <v>48.15650865312265</v>
      </c>
      <c r="M90" s="4">
        <f t="shared" si="63"/>
        <v>45.568287051549156</v>
      </c>
      <c r="N90" s="386">
        <f t="shared" si="64"/>
        <v>1</v>
      </c>
      <c r="O90" s="386">
        <f t="shared" si="100"/>
        <v>0.78054913522012592</v>
      </c>
      <c r="P90" s="4">
        <f t="shared" si="65"/>
        <v>4.1400395305395712</v>
      </c>
      <c r="Q90" s="386">
        <f t="shared" si="66"/>
        <v>48.171336424625792</v>
      </c>
      <c r="R90" s="386">
        <f t="shared" si="101"/>
        <v>-54.240758510553519</v>
      </c>
      <c r="S90" s="386">
        <f t="shared" si="67"/>
        <v>0.84856541656091267</v>
      </c>
      <c r="T90" s="386">
        <f t="shared" si="102"/>
        <v>-53.392193093992603</v>
      </c>
      <c r="U90" s="4">
        <f t="shared" si="68"/>
        <v>18.993767029524303</v>
      </c>
      <c r="V90" s="386">
        <f t="shared" si="103"/>
        <v>0.72152637194368896</v>
      </c>
      <c r="W90" s="386">
        <f t="shared" si="104"/>
        <v>0.72152637194368896</v>
      </c>
      <c r="X90" s="386">
        <f t="shared" si="69"/>
        <v>1.1951264687063567</v>
      </c>
      <c r="Y90" s="386">
        <f t="shared" si="105"/>
        <v>2.8566545524050528E-3</v>
      </c>
      <c r="Z90" s="603">
        <f t="shared" si="106"/>
        <v>2.8566545524050528E-3</v>
      </c>
      <c r="AA90" s="386">
        <f t="shared" si="70"/>
        <v>48.171336424625792</v>
      </c>
      <c r="AB90" s="386">
        <f t="shared" si="71"/>
        <v>13.226722621726534</v>
      </c>
      <c r="AC90" s="386">
        <f t="shared" si="72"/>
        <v>0</v>
      </c>
      <c r="AD90">
        <f t="shared" si="73"/>
        <v>0</v>
      </c>
      <c r="AE90" s="386">
        <f t="shared" si="74"/>
        <v>-8.0388772235951809</v>
      </c>
      <c r="AF90" s="386">
        <f t="shared" si="75"/>
        <v>0</v>
      </c>
      <c r="AG90" s="386">
        <f t="shared" si="76"/>
        <v>0</v>
      </c>
      <c r="AH90" s="386">
        <f t="shared" si="77"/>
        <v>0</v>
      </c>
      <c r="AI90" s="386">
        <f t="shared" si="78"/>
        <v>0</v>
      </c>
      <c r="AJ90" s="386">
        <f t="shared" si="79"/>
        <v>42.558745579441549</v>
      </c>
      <c r="AK90" s="386">
        <f t="shared" si="80"/>
        <v>3.4413689680617074</v>
      </c>
      <c r="AL90" s="386">
        <f t="shared" si="81"/>
        <v>4.2170838717969783</v>
      </c>
      <c r="AM90">
        <f t="shared" si="82"/>
        <v>0</v>
      </c>
      <c r="AN90" s="386">
        <f t="shared" si="83"/>
        <v>24.567882593530616</v>
      </c>
      <c r="AO90" s="386">
        <f t="shared" si="84"/>
        <v>22.566143393119791</v>
      </c>
      <c r="AP90" s="386">
        <f t="shared" si="85"/>
        <v>0.9675385725138036</v>
      </c>
      <c r="AQ90" s="386">
        <f t="shared" si="86"/>
        <v>2.3115124153498874</v>
      </c>
      <c r="AR90" s="386">
        <f t="shared" si="87"/>
        <v>4.0658181694100231</v>
      </c>
      <c r="AS90" s="386">
        <f t="shared" si="88"/>
        <v>13.226722621726534</v>
      </c>
      <c r="AT90" s="386">
        <f t="shared" si="89"/>
        <v>0</v>
      </c>
      <c r="AU90" s="386">
        <f t="shared" si="90"/>
        <v>0.95039999999999991</v>
      </c>
      <c r="AV90" s="386">
        <f t="shared" si="91"/>
        <v>5.433740475886907</v>
      </c>
      <c r="AW90" s="386">
        <f t="shared" si="92"/>
        <v>0.249</v>
      </c>
      <c r="AX90" s="386">
        <f t="shared" si="93"/>
        <v>0.14400000000000002</v>
      </c>
      <c r="AY90" s="386">
        <f t="shared" si="94"/>
        <v>1.2671999999999999</v>
      </c>
      <c r="AZ90" s="386">
        <f t="shared" si="95"/>
        <v>0.10439999999999998</v>
      </c>
      <c r="BA90" s="386">
        <f t="shared" si="113"/>
        <v>1.4112</v>
      </c>
      <c r="BB90" s="386">
        <f t="shared" si="114"/>
        <v>-24.028646052264143</v>
      </c>
      <c r="BC90">
        <f t="shared" si="96"/>
        <v>480</v>
      </c>
      <c r="BD90" s="604">
        <f t="shared" si="107"/>
        <v>1.0526977097228314</v>
      </c>
      <c r="BE90" s="614">
        <f t="shared" si="97"/>
        <v>1275.9141296765306</v>
      </c>
      <c r="BF90" s="614">
        <f t="shared" si="98"/>
        <v>203.29090847050117</v>
      </c>
      <c r="BG90" s="9"/>
      <c r="BH90" s="4">
        <f t="shared" si="108"/>
        <v>105.26977097228314</v>
      </c>
      <c r="BI90" s="386">
        <f t="shared" si="109"/>
        <v>-53.392193093992603</v>
      </c>
      <c r="BJ90" s="386">
        <f t="shared" si="110"/>
        <v>21.545223539345454</v>
      </c>
      <c r="BK90" s="386">
        <f t="shared" si="111"/>
        <v>0.31363199999999997</v>
      </c>
      <c r="BL90" s="386">
        <f t="shared" si="112"/>
        <v>5.433740475886907</v>
      </c>
      <c r="BR90" s="18"/>
      <c r="BS90" s="19"/>
    </row>
    <row r="91" spans="1:71" x14ac:dyDescent="0.3">
      <c r="G91">
        <v>82</v>
      </c>
      <c r="H91" s="610">
        <f t="shared" si="59"/>
        <v>11.149999999999999</v>
      </c>
      <c r="I91" s="4" t="str">
        <f t="shared" si="60"/>
        <v>BOOST</v>
      </c>
      <c r="J91">
        <f t="shared" si="99"/>
        <v>2</v>
      </c>
      <c r="K91">
        <f t="shared" si="61"/>
        <v>10</v>
      </c>
      <c r="L91" s="4">
        <f t="shared" si="62"/>
        <v>47.832585949177883</v>
      </c>
      <c r="M91" s="4">
        <f t="shared" si="63"/>
        <v>45.229602107776323</v>
      </c>
      <c r="N91" s="386">
        <f t="shared" si="64"/>
        <v>1</v>
      </c>
      <c r="O91" s="386">
        <f t="shared" si="100"/>
        <v>0.77890585957021496</v>
      </c>
      <c r="P91" s="4">
        <f t="shared" si="65"/>
        <v>4.1623439720529243</v>
      </c>
      <c r="Q91" s="386">
        <f t="shared" si="66"/>
        <v>47.847675361825367</v>
      </c>
      <c r="R91" s="386">
        <f t="shared" si="101"/>
        <v>-56.816180259090373</v>
      </c>
      <c r="S91" s="386">
        <f t="shared" si="67"/>
        <v>0.85913549833755087</v>
      </c>
      <c r="T91" s="386">
        <f t="shared" si="102"/>
        <v>-55.957044760752822</v>
      </c>
      <c r="U91" s="4">
        <f t="shared" si="68"/>
        <v>18.904558349653328</v>
      </c>
      <c r="V91" s="386">
        <f t="shared" si="103"/>
        <v>0.71476465279089474</v>
      </c>
      <c r="W91" s="386">
        <f t="shared" si="104"/>
        <v>0.71476465279089474</v>
      </c>
      <c r="X91" s="386">
        <f t="shared" si="69"/>
        <v>1.2015652063622861</v>
      </c>
      <c r="Y91" s="386">
        <f t="shared" si="105"/>
        <v>2.8875178902808868E-3</v>
      </c>
      <c r="Z91" s="603">
        <f t="shared" si="106"/>
        <v>2.8875178902808868E-3</v>
      </c>
      <c r="AA91" s="386">
        <f t="shared" si="70"/>
        <v>47.847675361825367</v>
      </c>
      <c r="AB91" s="386">
        <f t="shared" si="71"/>
        <v>13.049580213924592</v>
      </c>
      <c r="AC91" s="386">
        <f t="shared" si="72"/>
        <v>0</v>
      </c>
      <c r="AD91">
        <f t="shared" si="73"/>
        <v>0</v>
      </c>
      <c r="AE91" s="386">
        <f t="shared" si="74"/>
        <v>-8.1057520188138081</v>
      </c>
      <c r="AF91" s="386">
        <f t="shared" si="75"/>
        <v>0</v>
      </c>
      <c r="AG91" s="386">
        <f t="shared" si="76"/>
        <v>0</v>
      </c>
      <c r="AH91" s="386">
        <f t="shared" si="77"/>
        <v>0</v>
      </c>
      <c r="AI91" s="386">
        <f t="shared" si="78"/>
        <v>0</v>
      </c>
      <c r="AJ91" s="386">
        <f t="shared" si="79"/>
        <v>42.22827375269889</v>
      </c>
      <c r="AK91" s="386">
        <f t="shared" si="80"/>
        <v>3.3881314978524681</v>
      </c>
      <c r="AL91" s="386">
        <f t="shared" si="81"/>
        <v>4.1887178367848916</v>
      </c>
      <c r="AM91">
        <f t="shared" si="82"/>
        <v>0</v>
      </c>
      <c r="AN91" s="386">
        <f t="shared" si="83"/>
        <v>23.503310985178192</v>
      </c>
      <c r="AO91" s="386">
        <f t="shared" si="84"/>
        <v>22.498287343656902</v>
      </c>
      <c r="AP91" s="386">
        <f t="shared" si="85"/>
        <v>0.96172857345572937</v>
      </c>
      <c r="AQ91" s="386">
        <f t="shared" si="86"/>
        <v>2.2959641255605385</v>
      </c>
      <c r="AR91" s="386">
        <f t="shared" si="87"/>
        <v>4.0335236972964212</v>
      </c>
      <c r="AS91" s="386">
        <f t="shared" si="88"/>
        <v>13.049580213924592</v>
      </c>
      <c r="AT91" s="386">
        <f t="shared" si="89"/>
        <v>0</v>
      </c>
      <c r="AU91" s="386">
        <f t="shared" si="90"/>
        <v>0.95039999999999991</v>
      </c>
      <c r="AV91" s="386">
        <f t="shared" si="91"/>
        <v>5.3496813123986335</v>
      </c>
      <c r="AW91" s="386">
        <f t="shared" si="92"/>
        <v>0.249</v>
      </c>
      <c r="AX91" s="386">
        <f t="shared" si="93"/>
        <v>0.14400000000000002</v>
      </c>
      <c r="AY91" s="386">
        <f t="shared" si="94"/>
        <v>1.2671999999999999</v>
      </c>
      <c r="AZ91" s="386">
        <f t="shared" si="95"/>
        <v>0.10439999999999998</v>
      </c>
      <c r="BA91" s="386">
        <f t="shared" si="113"/>
        <v>1.4112</v>
      </c>
      <c r="BB91" s="386">
        <f t="shared" si="114"/>
        <v>-27.8480286140122</v>
      </c>
      <c r="BC91">
        <f t="shared" si="96"/>
        <v>480</v>
      </c>
      <c r="BD91" s="604">
        <f t="shared" si="107"/>
        <v>1.0615899750003284</v>
      </c>
      <c r="BE91" s="614">
        <f t="shared" si="97"/>
        <v>1222.6855492589095</v>
      </c>
      <c r="BF91" s="614">
        <f t="shared" si="98"/>
        <v>201.67618486482107</v>
      </c>
      <c r="BG91" s="9"/>
      <c r="BH91" s="4">
        <f t="shared" si="108"/>
        <v>106.15899750003284</v>
      </c>
      <c r="BI91" s="386">
        <f t="shared" si="109"/>
        <v>-55.957044760752822</v>
      </c>
      <c r="BJ91" s="386">
        <f t="shared" si="110"/>
        <v>20.381482663660805</v>
      </c>
      <c r="BK91" s="386">
        <f t="shared" si="111"/>
        <v>0.31363199999999997</v>
      </c>
      <c r="BL91" s="386">
        <f t="shared" si="112"/>
        <v>5.3496813123986335</v>
      </c>
      <c r="BR91" s="18"/>
      <c r="BS91" s="19"/>
    </row>
    <row r="92" spans="1:71" x14ac:dyDescent="0.3">
      <c r="G92">
        <v>83</v>
      </c>
      <c r="H92" s="610">
        <f t="shared" si="59"/>
        <v>11.225</v>
      </c>
      <c r="I92" s="4" t="str">
        <f t="shared" si="60"/>
        <v>BOOST</v>
      </c>
      <c r="J92">
        <f t="shared" si="99"/>
        <v>2</v>
      </c>
      <c r="K92">
        <f t="shared" si="61"/>
        <v>10</v>
      </c>
      <c r="L92" s="4">
        <f t="shared" si="62"/>
        <v>47.512991833704532</v>
      </c>
      <c r="M92" s="4">
        <f t="shared" si="63"/>
        <v>44.896132771760236</v>
      </c>
      <c r="N92" s="386">
        <f t="shared" si="64"/>
        <v>1</v>
      </c>
      <c r="O92" s="386">
        <f t="shared" si="100"/>
        <v>0.7772636665425664</v>
      </c>
      <c r="P92" s="4">
        <f t="shared" si="65"/>
        <v>4.1845031324603781</v>
      </c>
      <c r="Q92" s="386">
        <f t="shared" si="66"/>
        <v>47.528344860673805</v>
      </c>
      <c r="R92" s="386">
        <f t="shared" si="101"/>
        <v>-59.668316795435587</v>
      </c>
      <c r="S92" s="386">
        <f t="shared" si="67"/>
        <v>0.86971012728465558</v>
      </c>
      <c r="T92" s="386">
        <f t="shared" si="102"/>
        <v>-58.798606668150931</v>
      </c>
      <c r="U92" s="4">
        <f t="shared" si="68"/>
        <v>18.816303420690168</v>
      </c>
      <c r="V92" s="386">
        <f t="shared" si="103"/>
        <v>0.70810654883895308</v>
      </c>
      <c r="W92" s="386">
        <f t="shared" si="104"/>
        <v>0.70810654883895308</v>
      </c>
      <c r="X92" s="386">
        <f t="shared" si="69"/>
        <v>1.2079620049754158</v>
      </c>
      <c r="Y92" s="386">
        <f t="shared" si="105"/>
        <v>2.9183444109284534E-3</v>
      </c>
      <c r="Z92" s="603">
        <f t="shared" si="106"/>
        <v>2.9183444109284534E-3</v>
      </c>
      <c r="AA92" s="386">
        <f t="shared" si="70"/>
        <v>47.528344860673805</v>
      </c>
      <c r="AB92" s="386">
        <f t="shared" si="71"/>
        <v>12.875978321612287</v>
      </c>
      <c r="AC92" s="386">
        <f t="shared" si="72"/>
        <v>0</v>
      </c>
      <c r="AD92">
        <f t="shared" si="73"/>
        <v>0</v>
      </c>
      <c r="AE92" s="386">
        <f t="shared" si="74"/>
        <v>-8.1742088384624019</v>
      </c>
      <c r="AF92" s="386">
        <f t="shared" si="75"/>
        <v>0</v>
      </c>
      <c r="AG92" s="386">
        <f t="shared" si="76"/>
        <v>0</v>
      </c>
      <c r="AH92" s="386">
        <f t="shared" si="77"/>
        <v>0</v>
      </c>
      <c r="AI92" s="386">
        <f t="shared" si="78"/>
        <v>0</v>
      </c>
      <c r="AJ92" s="386">
        <f t="shared" si="79"/>
        <v>41.902204691356161</v>
      </c>
      <c r="AK92" s="386">
        <f t="shared" si="80"/>
        <v>3.3360100401929893</v>
      </c>
      <c r="AL92" s="386">
        <f t="shared" si="81"/>
        <v>4.1607308579199591</v>
      </c>
      <c r="AM92">
        <f t="shared" si="82"/>
        <v>0</v>
      </c>
      <c r="AN92" s="386">
        <f t="shared" si="83"/>
        <v>22.526400637003903</v>
      </c>
      <c r="AO92" s="386">
        <f t="shared" si="84"/>
        <v>22.430978739208598</v>
      </c>
      <c r="AP92" s="386">
        <f t="shared" si="85"/>
        <v>0.95598273367777342</v>
      </c>
      <c r="AQ92" s="386">
        <f t="shared" si="86"/>
        <v>2.2806236080178177</v>
      </c>
      <c r="AR92" s="386">
        <f t="shared" si="87"/>
        <v>4.0017217145057797</v>
      </c>
      <c r="AS92" s="386">
        <f t="shared" si="88"/>
        <v>12.875978321612287</v>
      </c>
      <c r="AT92" s="386">
        <f t="shared" si="89"/>
        <v>0</v>
      </c>
      <c r="AU92" s="386">
        <f t="shared" si="90"/>
        <v>0.95039999999999991</v>
      </c>
      <c r="AV92" s="386">
        <f t="shared" si="91"/>
        <v>5.2673842739889309</v>
      </c>
      <c r="AW92" s="386">
        <f t="shared" si="92"/>
        <v>0.249</v>
      </c>
      <c r="AX92" s="386">
        <f t="shared" si="93"/>
        <v>0.14400000000000002</v>
      </c>
      <c r="AY92" s="386">
        <f t="shared" si="94"/>
        <v>1.2671999999999999</v>
      </c>
      <c r="AZ92" s="386">
        <f t="shared" si="95"/>
        <v>0.10439999999999998</v>
      </c>
      <c r="BA92" s="386">
        <f t="shared" si="113"/>
        <v>1.4112</v>
      </c>
      <c r="BB92" s="386">
        <f t="shared" si="114"/>
        <v>-31.855683987864833</v>
      </c>
      <c r="BC92">
        <f t="shared" si="96"/>
        <v>480</v>
      </c>
      <c r="BD92" s="604">
        <f t="shared" si="107"/>
        <v>1.0710835390512958</v>
      </c>
      <c r="BE92" s="614">
        <f t="shared" si="97"/>
        <v>1173.8400318501951</v>
      </c>
      <c r="BF92" s="614">
        <f t="shared" si="98"/>
        <v>200.086085725289</v>
      </c>
      <c r="BG92" s="9"/>
      <c r="BH92" s="4">
        <f t="shared" si="108"/>
        <v>107.10835390512958</v>
      </c>
      <c r="BI92" s="386">
        <f t="shared" si="109"/>
        <v>-58.798606668150931</v>
      </c>
      <c r="BJ92" s="386">
        <f t="shared" si="110"/>
        <v>19.30431351304728</v>
      </c>
      <c r="BK92" s="386">
        <f t="shared" si="111"/>
        <v>0.31363199999999997</v>
      </c>
      <c r="BL92" s="386">
        <f t="shared" si="112"/>
        <v>5.2673842739889309</v>
      </c>
      <c r="BR92" s="18"/>
      <c r="BS92" s="19"/>
    </row>
    <row r="93" spans="1:71" x14ac:dyDescent="0.3">
      <c r="G93">
        <v>84</v>
      </c>
      <c r="H93" s="610">
        <f t="shared" si="59"/>
        <v>11.3</v>
      </c>
      <c r="I93" s="4" t="str">
        <f t="shared" si="60"/>
        <v>BOOST</v>
      </c>
      <c r="J93">
        <f t="shared" si="99"/>
        <v>2</v>
      </c>
      <c r="K93">
        <f t="shared" si="61"/>
        <v>10</v>
      </c>
      <c r="L93" s="4">
        <f t="shared" si="62"/>
        <v>47.197640117994091</v>
      </c>
      <c r="M93" s="4">
        <f t="shared" si="63"/>
        <v>44.567755404774339</v>
      </c>
      <c r="N93" s="386">
        <f t="shared" si="64"/>
        <v>1</v>
      </c>
      <c r="O93" s="386">
        <f t="shared" si="100"/>
        <v>0.77562253451676533</v>
      </c>
      <c r="P93" s="4">
        <f t="shared" si="65"/>
        <v>4.2065175537102322</v>
      </c>
      <c r="Q93" s="386">
        <f t="shared" si="66"/>
        <v>47.213258715483278</v>
      </c>
      <c r="R93" s="386">
        <f t="shared" si="101"/>
        <v>-62.844070066644569</v>
      </c>
      <c r="S93" s="386">
        <f t="shared" si="67"/>
        <v>0.8802882428341624</v>
      </c>
      <c r="T93" s="386">
        <f t="shared" si="102"/>
        <v>-61.963781823810407</v>
      </c>
      <c r="U93" s="4">
        <f t="shared" si="68"/>
        <v>18.728982810953049</v>
      </c>
      <c r="V93" s="386">
        <f t="shared" si="103"/>
        <v>0.70154959426594954</v>
      </c>
      <c r="W93" s="386">
        <f t="shared" si="104"/>
        <v>0.70154959426594954</v>
      </c>
      <c r="X93" s="386">
        <f t="shared" si="69"/>
        <v>1.2143170209927443</v>
      </c>
      <c r="Y93" s="386">
        <f t="shared" si="105"/>
        <v>2.9491316549453859E-3</v>
      </c>
      <c r="Z93" s="603">
        <f t="shared" si="106"/>
        <v>2.9491316549453859E-3</v>
      </c>
      <c r="AA93" s="386">
        <f t="shared" si="70"/>
        <v>47.213258715483278</v>
      </c>
      <c r="AB93" s="386">
        <f t="shared" si="71"/>
        <v>12.705823251650399</v>
      </c>
      <c r="AC93" s="386">
        <f t="shared" si="72"/>
        <v>0</v>
      </c>
      <c r="AD93">
        <f t="shared" si="73"/>
        <v>0</v>
      </c>
      <c r="AE93" s="386">
        <f t="shared" si="74"/>
        <v>-8.2442996917487843</v>
      </c>
      <c r="AF93" s="386">
        <f t="shared" si="75"/>
        <v>0</v>
      </c>
      <c r="AG93" s="386">
        <f t="shared" si="76"/>
        <v>0</v>
      </c>
      <c r="AH93" s="386">
        <f t="shared" si="77"/>
        <v>0</v>
      </c>
      <c r="AI93" s="386">
        <f t="shared" si="78"/>
        <v>0</v>
      </c>
      <c r="AJ93" s="386">
        <f t="shared" si="79"/>
        <v>41.580450099179707</v>
      </c>
      <c r="AK93" s="386">
        <f t="shared" si="80"/>
        <v>3.2849742778557101</v>
      </c>
      <c r="AL93" s="386">
        <f t="shared" si="81"/>
        <v>4.133115387624029</v>
      </c>
      <c r="AM93">
        <f t="shared" si="82"/>
        <v>0</v>
      </c>
      <c r="AN93" s="386">
        <f t="shared" si="83"/>
        <v>21.626759207450633</v>
      </c>
      <c r="AO93" s="386">
        <f t="shared" si="84"/>
        <v>22.364211769807223</v>
      </c>
      <c r="AP93" s="386">
        <f t="shared" si="85"/>
        <v>0.95030013936108948</v>
      </c>
      <c r="AQ93" s="386">
        <f t="shared" si="86"/>
        <v>2.2654867256637163</v>
      </c>
      <c r="AR93" s="386">
        <f t="shared" si="87"/>
        <v>3.9704014812068809</v>
      </c>
      <c r="AS93" s="386">
        <f t="shared" si="88"/>
        <v>12.705823251650399</v>
      </c>
      <c r="AT93" s="386">
        <f t="shared" si="89"/>
        <v>0</v>
      </c>
      <c r="AU93" s="386">
        <f t="shared" si="90"/>
        <v>0.95039999999999991</v>
      </c>
      <c r="AV93" s="386">
        <f t="shared" si="91"/>
        <v>5.1868014913511216</v>
      </c>
      <c r="AW93" s="386">
        <f t="shared" si="92"/>
        <v>0.249</v>
      </c>
      <c r="AX93" s="386">
        <f t="shared" si="93"/>
        <v>0.14400000000000002</v>
      </c>
      <c r="AY93" s="386">
        <f t="shared" si="94"/>
        <v>1.2671999999999999</v>
      </c>
      <c r="AZ93" s="386">
        <f t="shared" si="95"/>
        <v>0.10439999999999998</v>
      </c>
      <c r="BA93" s="386">
        <f t="shared" si="113"/>
        <v>1.4112</v>
      </c>
      <c r="BB93" s="386">
        <f t="shared" si="114"/>
        <v>-36.109020609629667</v>
      </c>
      <c r="BC93">
        <f t="shared" si="96"/>
        <v>480</v>
      </c>
      <c r="BD93" s="604">
        <f t="shared" si="107"/>
        <v>1.0813465969937506</v>
      </c>
      <c r="BE93" s="614">
        <f t="shared" si="97"/>
        <v>1128.8579603725316</v>
      </c>
      <c r="BF93" s="614">
        <f t="shared" si="98"/>
        <v>198.52007406034403</v>
      </c>
      <c r="BG93" s="9"/>
      <c r="BH93" s="4">
        <f t="shared" si="108"/>
        <v>108.13465969937506</v>
      </c>
      <c r="BI93" s="386">
        <f t="shared" si="109"/>
        <v>-61.963781823810407</v>
      </c>
      <c r="BJ93" s="386">
        <f t="shared" si="110"/>
        <v>18.303260996908726</v>
      </c>
      <c r="BK93" s="386">
        <f t="shared" si="111"/>
        <v>0.31363199999999997</v>
      </c>
      <c r="BL93" s="386">
        <f t="shared" si="112"/>
        <v>5.1868014913511216</v>
      </c>
      <c r="BR93" s="18"/>
      <c r="BS93" s="19"/>
    </row>
    <row r="94" spans="1:71" x14ac:dyDescent="0.3">
      <c r="G94">
        <v>85</v>
      </c>
      <c r="H94" s="610">
        <f t="shared" si="59"/>
        <v>11.375</v>
      </c>
      <c r="I94" s="4" t="str">
        <f t="shared" si="60"/>
        <v>BOOST</v>
      </c>
      <c r="J94">
        <f t="shared" si="99"/>
        <v>2</v>
      </c>
      <c r="K94">
        <f t="shared" si="61"/>
        <v>10</v>
      </c>
      <c r="L94" s="4">
        <f t="shared" si="62"/>
        <v>46.886446886446883</v>
      </c>
      <c r="M94" s="4">
        <f t="shared" si="63"/>
        <v>44.244350342272661</v>
      </c>
      <c r="N94" s="386">
        <f t="shared" si="64"/>
        <v>1</v>
      </c>
      <c r="O94" s="386">
        <f t="shared" si="100"/>
        <v>0.77398244244428116</v>
      </c>
      <c r="P94" s="4">
        <f t="shared" si="65"/>
        <v>4.2283877632965128</v>
      </c>
      <c r="Q94" s="386">
        <f t="shared" si="66"/>
        <v>46.902332993416621</v>
      </c>
      <c r="R94" s="386">
        <f t="shared" si="101"/>
        <v>-66.401579474268075</v>
      </c>
      <c r="S94" s="386">
        <f t="shared" si="67"/>
        <v>0.89086878890276322</v>
      </c>
      <c r="T94" s="386">
        <f t="shared" si="102"/>
        <v>-65.510710685365311</v>
      </c>
      <c r="U94" s="4">
        <f t="shared" si="68"/>
        <v>18.642577647102755</v>
      </c>
      <c r="V94" s="386">
        <f t="shared" si="103"/>
        <v>0.69509140265651059</v>
      </c>
      <c r="W94" s="386">
        <f t="shared" si="104"/>
        <v>0.69509140265651059</v>
      </c>
      <c r="X94" s="386">
        <f t="shared" si="69"/>
        <v>1.2206304066886806</v>
      </c>
      <c r="Y94" s="386">
        <f t="shared" si="105"/>
        <v>2.9798771794659474E-3</v>
      </c>
      <c r="Z94" s="603">
        <f t="shared" si="106"/>
        <v>2.9798771794659474E-3</v>
      </c>
      <c r="AA94" s="386">
        <f t="shared" si="70"/>
        <v>46.902332993416621</v>
      </c>
      <c r="AB94" s="386">
        <f t="shared" si="71"/>
        <v>12.539024389284425</v>
      </c>
      <c r="AC94" s="386">
        <f t="shared" si="72"/>
        <v>0</v>
      </c>
      <c r="AD94">
        <f t="shared" si="73"/>
        <v>0</v>
      </c>
      <c r="AE94" s="386">
        <f t="shared" si="74"/>
        <v>-8.3160789392767693</v>
      </c>
      <c r="AF94" s="386">
        <f t="shared" si="75"/>
        <v>0</v>
      </c>
      <c r="AG94" s="386">
        <f t="shared" si="76"/>
        <v>0</v>
      </c>
      <c r="AH94" s="386">
        <f t="shared" si="77"/>
        <v>0</v>
      </c>
      <c r="AI94" s="386">
        <f t="shared" si="78"/>
        <v>0</v>
      </c>
      <c r="AJ94" s="386">
        <f t="shared" si="79"/>
        <v>41.262924020444515</v>
      </c>
      <c r="AK94" s="386">
        <f t="shared" si="80"/>
        <v>3.2349949075622559</v>
      </c>
      <c r="AL94" s="386">
        <f t="shared" si="81"/>
        <v>4.1058640773759585</v>
      </c>
      <c r="AM94">
        <f t="shared" si="82"/>
        <v>0</v>
      </c>
      <c r="AN94" s="386">
        <f t="shared" si="83"/>
        <v>20.795574518143052</v>
      </c>
      <c r="AO94" s="386">
        <f t="shared" si="84"/>
        <v>22.297980659879503</v>
      </c>
      <c r="AP94" s="386">
        <f t="shared" si="85"/>
        <v>0.94467988886588472</v>
      </c>
      <c r="AQ94" s="386">
        <f t="shared" si="86"/>
        <v>2.2505494505494505</v>
      </c>
      <c r="AR94" s="386">
        <f t="shared" si="87"/>
        <v>3.9395525530064184</v>
      </c>
      <c r="AS94" s="386">
        <f t="shared" si="88"/>
        <v>12.539024389284425</v>
      </c>
      <c r="AT94" s="386">
        <f t="shared" si="89"/>
        <v>0</v>
      </c>
      <c r="AU94" s="386">
        <f t="shared" si="90"/>
        <v>0.95039999999999991</v>
      </c>
      <c r="AV94" s="386">
        <f t="shared" si="91"/>
        <v>5.1078866961509304</v>
      </c>
      <c r="AW94" s="386">
        <f t="shared" si="92"/>
        <v>0.249</v>
      </c>
      <c r="AX94" s="386">
        <f t="shared" si="93"/>
        <v>0.14400000000000002</v>
      </c>
      <c r="AY94" s="386">
        <f t="shared" si="94"/>
        <v>1.2671999999999999</v>
      </c>
      <c r="AZ94" s="386">
        <f t="shared" si="95"/>
        <v>0.10439999999999998</v>
      </c>
      <c r="BA94" s="386">
        <f t="shared" si="113"/>
        <v>1.4112</v>
      </c>
      <c r="BB94" s="386">
        <f t="shared" si="114"/>
        <v>-40.675104577505678</v>
      </c>
      <c r="BC94">
        <f t="shared" si="96"/>
        <v>480</v>
      </c>
      <c r="BD94" s="604">
        <f t="shared" si="107"/>
        <v>1.0925854760367923</v>
      </c>
      <c r="BE94" s="614">
        <f t="shared" si="97"/>
        <v>1087.2987259071526</v>
      </c>
      <c r="BF94" s="614">
        <f t="shared" si="98"/>
        <v>196.97762765032093</v>
      </c>
      <c r="BG94" s="9"/>
      <c r="BH94" s="4">
        <f t="shared" si="108"/>
        <v>109.25854760367923</v>
      </c>
      <c r="BI94" s="386">
        <f t="shared" si="109"/>
        <v>-65.510710685365311</v>
      </c>
      <c r="BJ94" s="386">
        <f t="shared" si="110"/>
        <v>17.369448131872698</v>
      </c>
      <c r="BK94" s="386">
        <f t="shared" si="111"/>
        <v>0.31363199999999997</v>
      </c>
      <c r="BL94" s="386">
        <f t="shared" si="112"/>
        <v>5.1078866961509304</v>
      </c>
      <c r="BR94" s="18"/>
      <c r="BS94" s="19"/>
    </row>
    <row r="95" spans="1:71" x14ac:dyDescent="0.3">
      <c r="G95">
        <v>86</v>
      </c>
      <c r="H95" s="610">
        <f t="shared" si="59"/>
        <v>11.45</v>
      </c>
      <c r="I95" s="4" t="str">
        <f t="shared" si="60"/>
        <v>BOOST</v>
      </c>
      <c r="J95">
        <f t="shared" si="99"/>
        <v>2</v>
      </c>
      <c r="K95">
        <f t="shared" si="61"/>
        <v>10</v>
      </c>
      <c r="L95" s="4">
        <f t="shared" si="62"/>
        <v>46.579330422125182</v>
      </c>
      <c r="M95" s="4">
        <f t="shared" si="63"/>
        <v>43.925801732717922</v>
      </c>
      <c r="N95" s="386">
        <f t="shared" si="64"/>
        <v>1</v>
      </c>
      <c r="O95" s="386">
        <f t="shared" si="100"/>
        <v>0.77234336982968377</v>
      </c>
      <c r="P95" s="4">
        <f t="shared" si="65"/>
        <v>4.2501142747376415</v>
      </c>
      <c r="Q95" s="386">
        <f t="shared" si="66"/>
        <v>46.59548596004278</v>
      </c>
      <c r="R95" s="386">
        <f t="shared" si="101"/>
        <v>-70.413801797139953</v>
      </c>
      <c r="S95" s="386">
        <f t="shared" si="67"/>
        <v>0.90145071390808262</v>
      </c>
      <c r="T95" s="386">
        <f t="shared" si="102"/>
        <v>-69.512351083231877</v>
      </c>
      <c r="U95" s="4">
        <f t="shared" si="68"/>
        <v>18.557069593291018</v>
      </c>
      <c r="V95" s="386">
        <f t="shared" si="103"/>
        <v>0.68872966378049216</v>
      </c>
      <c r="W95" s="386">
        <f t="shared" si="104"/>
        <v>0.68872966378049216</v>
      </c>
      <c r="X95" s="386">
        <f t="shared" si="69"/>
        <v>1.2269023103032242</v>
      </c>
      <c r="Y95" s="386">
        <f t="shared" si="105"/>
        <v>3.0105785580547776E-3</v>
      </c>
      <c r="Z95" s="603">
        <f t="shared" si="106"/>
        <v>3.0105785580547776E-3</v>
      </c>
      <c r="AA95" s="386">
        <f t="shared" si="70"/>
        <v>46.59548596004278</v>
      </c>
      <c r="AB95" s="386">
        <f t="shared" si="71"/>
        <v>12.3754940775595</v>
      </c>
      <c r="AC95" s="386">
        <f t="shared" si="72"/>
        <v>0</v>
      </c>
      <c r="AD95">
        <f t="shared" si="73"/>
        <v>0</v>
      </c>
      <c r="AE95" s="386">
        <f t="shared" si="74"/>
        <v>-8.3896034268489768</v>
      </c>
      <c r="AF95" s="386">
        <f t="shared" si="75"/>
        <v>0</v>
      </c>
      <c r="AG95" s="386">
        <f t="shared" si="76"/>
        <v>0</v>
      </c>
      <c r="AH95" s="386">
        <f t="shared" si="77"/>
        <v>0</v>
      </c>
      <c r="AI95" s="386">
        <f t="shared" si="78"/>
        <v>0</v>
      </c>
      <c r="AJ95" s="386">
        <f t="shared" si="79"/>
        <v>40.949542762842839</v>
      </c>
      <c r="AK95" s="386">
        <f t="shared" si="80"/>
        <v>3.1860435997231988</v>
      </c>
      <c r="AL95" s="386">
        <f t="shared" si="81"/>
        <v>4.0789697711922743</v>
      </c>
      <c r="AM95">
        <f t="shared" si="82"/>
        <v>0</v>
      </c>
      <c r="AN95" s="386">
        <f t="shared" si="83"/>
        <v>20.025325222278955</v>
      </c>
      <c r="AO95" s="386">
        <f t="shared" si="84"/>
        <v>22.232279670934545</v>
      </c>
      <c r="AP95" s="386">
        <f t="shared" si="85"/>
        <v>0.93912109279663403</v>
      </c>
      <c r="AQ95" s="386">
        <f t="shared" si="86"/>
        <v>2.2358078602620086</v>
      </c>
      <c r="AR95" s="386">
        <f t="shared" si="87"/>
        <v>3.9091647714818754</v>
      </c>
      <c r="AS95" s="386">
        <f t="shared" si="88"/>
        <v>12.3754940775595</v>
      </c>
      <c r="AT95" s="386">
        <f t="shared" si="89"/>
        <v>0</v>
      </c>
      <c r="AU95" s="386">
        <f t="shared" si="90"/>
        <v>0.95039999999999991</v>
      </c>
      <c r="AV95" s="386">
        <f t="shared" si="91"/>
        <v>5.0305951574576833</v>
      </c>
      <c r="AW95" s="386">
        <f t="shared" si="92"/>
        <v>0.249</v>
      </c>
      <c r="AX95" s="386">
        <f t="shared" si="93"/>
        <v>0.14400000000000002</v>
      </c>
      <c r="AY95" s="386">
        <f t="shared" si="94"/>
        <v>1.2671999999999999</v>
      </c>
      <c r="AZ95" s="386">
        <f t="shared" si="95"/>
        <v>0.10439999999999998</v>
      </c>
      <c r="BA95" s="386">
        <f t="shared" si="113"/>
        <v>1.4112</v>
      </c>
      <c r="BB95" s="386">
        <f t="shared" si="114"/>
        <v>-45.634529116523787</v>
      </c>
      <c r="BC95">
        <f t="shared" si="96"/>
        <v>480</v>
      </c>
      <c r="BD95" s="604">
        <f t="shared" si="107"/>
        <v>1.1050602135195176</v>
      </c>
      <c r="BE95" s="614">
        <f t="shared" si="97"/>
        <v>1048.7862611139476</v>
      </c>
      <c r="BF95" s="614">
        <f t="shared" si="98"/>
        <v>195.45823857409377</v>
      </c>
      <c r="BG95" s="9"/>
      <c r="BH95" s="4">
        <f t="shared" si="108"/>
        <v>110.50602135195176</v>
      </c>
      <c r="BI95" s="386">
        <f t="shared" si="109"/>
        <v>-69.512351083231877</v>
      </c>
      <c r="BJ95" s="386">
        <f t="shared" si="110"/>
        <v>16.495286566911851</v>
      </c>
      <c r="BK95" s="386">
        <f t="shared" si="111"/>
        <v>0.31363199999999997</v>
      </c>
      <c r="BL95" s="386">
        <f t="shared" si="112"/>
        <v>5.0305951574576833</v>
      </c>
      <c r="BR95" s="18"/>
      <c r="BS95" s="19"/>
    </row>
    <row r="96" spans="1:71" x14ac:dyDescent="0.3">
      <c r="G96">
        <v>87</v>
      </c>
      <c r="H96" s="610">
        <f t="shared" si="59"/>
        <v>11.525</v>
      </c>
      <c r="I96" s="4" t="str">
        <f t="shared" si="60"/>
        <v>BOOST</v>
      </c>
      <c r="J96">
        <f t="shared" si="99"/>
        <v>2</v>
      </c>
      <c r="K96">
        <f t="shared" si="61"/>
        <v>10</v>
      </c>
      <c r="L96" s="4">
        <f t="shared" si="62"/>
        <v>46.276211135213302</v>
      </c>
      <c r="M96" s="4">
        <f t="shared" si="63"/>
        <v>43.611997384281644</v>
      </c>
      <c r="N96" s="386">
        <f t="shared" si="64"/>
        <v>1</v>
      </c>
      <c r="O96" s="386">
        <f t="shared" si="100"/>
        <v>0.77070529671259369</v>
      </c>
      <c r="P96" s="4">
        <f t="shared" si="65"/>
        <v>4.2716975880361732</v>
      </c>
      <c r="Q96" s="386">
        <f t="shared" si="66"/>
        <v>46.292638007799276</v>
      </c>
      <c r="R96" s="386">
        <f t="shared" si="101"/>
        <v>-74.973552794812363</v>
      </c>
      <c r="S96" s="386">
        <f t="shared" si="67"/>
        <v>0.91203297078582968</v>
      </c>
      <c r="T96" s="386">
        <f t="shared" si="102"/>
        <v>-74.061519824026533</v>
      </c>
      <c r="U96" s="4">
        <f t="shared" si="68"/>
        <v>18.472440831262983</v>
      </c>
      <c r="V96" s="386">
        <f t="shared" si="103"/>
        <v>0.68246214052902376</v>
      </c>
      <c r="W96" s="386">
        <f t="shared" si="104"/>
        <v>0.68246214052902376</v>
      </c>
      <c r="X96" s="386">
        <f t="shared" si="69"/>
        <v>1.2331328761746798</v>
      </c>
      <c r="Y96" s="386">
        <f t="shared" si="105"/>
        <v>3.0412333806056763E-3</v>
      </c>
      <c r="Z96" s="603">
        <f t="shared" si="106"/>
        <v>3.0412333806056763E-3</v>
      </c>
      <c r="AA96" s="386">
        <f t="shared" si="70"/>
        <v>46.292638007799276</v>
      </c>
      <c r="AB96" s="386">
        <f t="shared" si="71"/>
        <v>12.215147502210511</v>
      </c>
      <c r="AC96" s="386">
        <f t="shared" si="72"/>
        <v>0</v>
      </c>
      <c r="AD96">
        <f t="shared" si="73"/>
        <v>0</v>
      </c>
      <c r="AE96" s="386">
        <f t="shared" si="74"/>
        <v>-8.4649326285208613</v>
      </c>
      <c r="AF96" s="386">
        <f t="shared" si="75"/>
        <v>0</v>
      </c>
      <c r="AG96" s="386">
        <f t="shared" si="76"/>
        <v>0</v>
      </c>
      <c r="AH96" s="386">
        <f t="shared" si="77"/>
        <v>0</v>
      </c>
      <c r="AI96" s="386">
        <f t="shared" si="78"/>
        <v>0</v>
      </c>
      <c r="AJ96" s="386">
        <f t="shared" si="79"/>
        <v>40.640224823419885</v>
      </c>
      <c r="AK96" s="386">
        <f t="shared" si="80"/>
        <v>3.138092960026416</v>
      </c>
      <c r="AL96" s="386">
        <f t="shared" si="81"/>
        <v>4.0524254993623892</v>
      </c>
      <c r="AM96">
        <f t="shared" si="82"/>
        <v>0</v>
      </c>
      <c r="AN96" s="386">
        <f t="shared" si="83"/>
        <v>19.309552799936831</v>
      </c>
      <c r="AO96" s="386">
        <f t="shared" si="84"/>
        <v>22.167103103992375</v>
      </c>
      <c r="AP96" s="386">
        <f t="shared" si="85"/>
        <v>0.93362287404375388</v>
      </c>
      <c r="AQ96" s="386">
        <f t="shared" si="86"/>
        <v>2.2212581344902387</v>
      </c>
      <c r="AR96" s="386">
        <f t="shared" si="87"/>
        <v>3.8792282550429862</v>
      </c>
      <c r="AS96" s="386">
        <f t="shared" si="88"/>
        <v>12.215147502210511</v>
      </c>
      <c r="AT96" s="386">
        <f t="shared" si="89"/>
        <v>0</v>
      </c>
      <c r="AU96" s="386">
        <f t="shared" si="90"/>
        <v>0.95039999999999991</v>
      </c>
      <c r="AV96" s="386">
        <f t="shared" si="91"/>
        <v>4.954883621094341</v>
      </c>
      <c r="AW96" s="386">
        <f t="shared" si="92"/>
        <v>0.249</v>
      </c>
      <c r="AX96" s="386">
        <f t="shared" si="93"/>
        <v>0.14400000000000002</v>
      </c>
      <c r="AY96" s="386">
        <f t="shared" si="94"/>
        <v>1.2671999999999999</v>
      </c>
      <c r="AZ96" s="386">
        <f t="shared" si="95"/>
        <v>0.10439999999999998</v>
      </c>
      <c r="BA96" s="386">
        <f t="shared" si="113"/>
        <v>1.4112</v>
      </c>
      <c r="BB96" s="386">
        <f t="shared" si="114"/>
        <v>-51.086684402563598</v>
      </c>
      <c r="BC96">
        <f t="shared" si="96"/>
        <v>480</v>
      </c>
      <c r="BD96" s="604">
        <f t="shared" si="107"/>
        <v>1.1191072474199235</v>
      </c>
      <c r="BE96" s="614">
        <f t="shared" si="97"/>
        <v>1012.9976399968415</v>
      </c>
      <c r="BF96" s="614">
        <f t="shared" si="98"/>
        <v>193.9614127521493</v>
      </c>
      <c r="BG96" s="9"/>
      <c r="BH96" s="4">
        <f t="shared" si="108"/>
        <v>111.91072474199235</v>
      </c>
      <c r="BI96" s="386">
        <f t="shared" si="109"/>
        <v>-74.061519824026533</v>
      </c>
      <c r="BJ96" s="386">
        <f t="shared" si="110"/>
        <v>15.674248426458957</v>
      </c>
      <c r="BK96" s="386">
        <f t="shared" si="111"/>
        <v>0.31363199999999997</v>
      </c>
      <c r="BL96" s="386">
        <f t="shared" si="112"/>
        <v>4.954883621094341</v>
      </c>
      <c r="BR96" s="18"/>
      <c r="BS96" s="19"/>
    </row>
    <row r="97" spans="7:71" x14ac:dyDescent="0.3">
      <c r="G97">
        <v>88</v>
      </c>
      <c r="H97" s="610">
        <f t="shared" si="59"/>
        <v>11.6</v>
      </c>
      <c r="I97" s="4" t="str">
        <f t="shared" si="60"/>
        <v>BOOST</v>
      </c>
      <c r="J97">
        <f t="shared" si="99"/>
        <v>2</v>
      </c>
      <c r="K97">
        <f t="shared" si="61"/>
        <v>10</v>
      </c>
      <c r="L97" s="4">
        <f t="shared" si="62"/>
        <v>45.977011494252878</v>
      </c>
      <c r="M97" s="4">
        <f t="shared" si="63"/>
        <v>43.302828618968391</v>
      </c>
      <c r="N97" s="386">
        <f t="shared" si="64"/>
        <v>1</v>
      </c>
      <c r="O97" s="386">
        <f t="shared" si="100"/>
        <v>0.76906820365033624</v>
      </c>
      <c r="P97" s="4">
        <f t="shared" si="65"/>
        <v>4.2931381901205352</v>
      </c>
      <c r="Q97" s="386">
        <f t="shared" si="66"/>
        <v>45.993711587229875</v>
      </c>
      <c r="R97" s="386">
        <f t="shared" si="101"/>
        <v>-80.200757603201197</v>
      </c>
      <c r="S97" s="386">
        <f t="shared" si="67"/>
        <v>0.92261451700788211</v>
      </c>
      <c r="T97" s="386">
        <f t="shared" si="102"/>
        <v>-79.27814308619331</v>
      </c>
      <c r="U97" s="4">
        <f t="shared" si="68"/>
        <v>18.388674041362421</v>
      </c>
      <c r="V97" s="386">
        <f t="shared" si="103"/>
        <v>0.67628666599895237</v>
      </c>
      <c r="W97" s="386">
        <f t="shared" si="104"/>
        <v>0.67628666599895237</v>
      </c>
      <c r="X97" s="386">
        <f t="shared" si="69"/>
        <v>1.239322244867177</v>
      </c>
      <c r="Y97" s="386">
        <f t="shared" si="105"/>
        <v>3.0718392532452384E-3</v>
      </c>
      <c r="Z97" s="603">
        <f t="shared" si="106"/>
        <v>3.0718392532452384E-3</v>
      </c>
      <c r="AA97" s="386">
        <f t="shared" si="70"/>
        <v>45.993711587229875</v>
      </c>
      <c r="AB97" s="386">
        <f t="shared" si="71"/>
        <v>12.057902581744916</v>
      </c>
      <c r="AC97" s="386">
        <f t="shared" si="72"/>
        <v>0</v>
      </c>
      <c r="AD97">
        <f t="shared" si="73"/>
        <v>0</v>
      </c>
      <c r="AE97" s="386">
        <f t="shared" si="74"/>
        <v>-8.5421287996609436</v>
      </c>
      <c r="AF97" s="386">
        <f t="shared" si="75"/>
        <v>0</v>
      </c>
      <c r="AG97" s="386">
        <f t="shared" si="76"/>
        <v>0</v>
      </c>
      <c r="AH97" s="386">
        <f t="shared" si="77"/>
        <v>0</v>
      </c>
      <c r="AI97" s="386">
        <f t="shared" si="78"/>
        <v>0</v>
      </c>
      <c r="AJ97" s="386">
        <f t="shared" si="79"/>
        <v>40.334890817398509</v>
      </c>
      <c r="AK97" s="386">
        <f t="shared" si="80"/>
        <v>3.0911164927777715</v>
      </c>
      <c r="AL97" s="386">
        <f t="shared" si="81"/>
        <v>4.0262244724268577</v>
      </c>
      <c r="AM97">
        <f t="shared" si="82"/>
        <v>0</v>
      </c>
      <c r="AN97" s="386">
        <f t="shared" si="83"/>
        <v>18.64268023238791</v>
      </c>
      <c r="AO97" s="386">
        <f t="shared" si="84"/>
        <v>22.10244530177204</v>
      </c>
      <c r="AP97" s="386">
        <f t="shared" si="85"/>
        <v>0.92818436780386726</v>
      </c>
      <c r="AQ97" s="386">
        <f t="shared" si="86"/>
        <v>2.2068965517241383</v>
      </c>
      <c r="AR97" s="386">
        <f t="shared" si="87"/>
        <v>3.849733390110667</v>
      </c>
      <c r="AS97" s="386">
        <f t="shared" si="88"/>
        <v>12.057902581744916</v>
      </c>
      <c r="AT97" s="386">
        <f t="shared" si="89"/>
        <v>0</v>
      </c>
      <c r="AU97" s="386">
        <f t="shared" si="90"/>
        <v>0.95039999999999991</v>
      </c>
      <c r="AV97" s="386">
        <f t="shared" si="91"/>
        <v>4.8807102517543761</v>
      </c>
      <c r="AW97" s="386">
        <f t="shared" si="92"/>
        <v>0.249</v>
      </c>
      <c r="AX97" s="386">
        <f t="shared" si="93"/>
        <v>0.14400000000000002</v>
      </c>
      <c r="AY97" s="386">
        <f t="shared" si="94"/>
        <v>1.2671999999999999</v>
      </c>
      <c r="AZ97" s="386">
        <f t="shared" si="95"/>
        <v>0.10439999999999998</v>
      </c>
      <c r="BA97" s="386">
        <f t="shared" si="113"/>
        <v>1.4112</v>
      </c>
      <c r="BB97" s="386">
        <f t="shared" si="114"/>
        <v>-57.157189506349077</v>
      </c>
      <c r="BC97">
        <f t="shared" si="96"/>
        <v>480</v>
      </c>
      <c r="BD97" s="604">
        <f t="shared" si="107"/>
        <v>1.135173610826256</v>
      </c>
      <c r="BE97" s="614">
        <f t="shared" si="97"/>
        <v>979.65401161939542</v>
      </c>
      <c r="BF97" s="614">
        <f t="shared" si="98"/>
        <v>192.48666950553334</v>
      </c>
      <c r="BG97" s="9"/>
      <c r="BH97" s="4">
        <f t="shared" si="108"/>
        <v>113.5173610826256</v>
      </c>
      <c r="BI97" s="386">
        <f t="shared" si="109"/>
        <v>-79.27814308619331</v>
      </c>
      <c r="BJ97" s="386">
        <f t="shared" si="110"/>
        <v>14.900684822837635</v>
      </c>
      <c r="BK97" s="386">
        <f t="shared" si="111"/>
        <v>0.31363199999999997</v>
      </c>
      <c r="BL97" s="386">
        <f t="shared" si="112"/>
        <v>4.8807102517543761</v>
      </c>
      <c r="BR97" s="18"/>
      <c r="BS97" s="19"/>
    </row>
    <row r="98" spans="7:71" x14ac:dyDescent="0.3">
      <c r="G98">
        <v>89</v>
      </c>
      <c r="H98" s="610">
        <f t="shared" si="59"/>
        <v>11.675000000000001</v>
      </c>
      <c r="I98" s="4" t="str">
        <f t="shared" si="60"/>
        <v>BOOST</v>
      </c>
      <c r="J98">
        <f t="shared" si="99"/>
        <v>2</v>
      </c>
      <c r="K98">
        <f t="shared" si="61"/>
        <v>10</v>
      </c>
      <c r="L98" s="4">
        <f t="shared" si="62"/>
        <v>45.68165596002855</v>
      </c>
      <c r="M98" s="4">
        <f t="shared" si="63"/>
        <v>42.998190133744146</v>
      </c>
      <c r="N98" s="386">
        <f t="shared" si="64"/>
        <v>1</v>
      </c>
      <c r="O98" s="386">
        <f t="shared" si="100"/>
        <v>0.7674320717012646</v>
      </c>
      <c r="P98" s="4">
        <f t="shared" si="65"/>
        <v>4.3144365552695403</v>
      </c>
      <c r="Q98" s="386">
        <f t="shared" si="66"/>
        <v>45.698631140872614</v>
      </c>
      <c r="R98" s="386">
        <f t="shared" si="101"/>
        <v>-86.253127837253686</v>
      </c>
      <c r="S98" s="386">
        <f t="shared" si="67"/>
        <v>0.93319431460120028</v>
      </c>
      <c r="T98" s="386">
        <f t="shared" si="102"/>
        <v>-85.319933522652491</v>
      </c>
      <c r="U98" s="4">
        <f t="shared" si="68"/>
        <v>18.305752384391273</v>
      </c>
      <c r="V98" s="386">
        <f t="shared" si="103"/>
        <v>0.67020114071729353</v>
      </c>
      <c r="W98" s="386">
        <f t="shared" si="104"/>
        <v>0.67020114071729353</v>
      </c>
      <c r="X98" s="386">
        <f t="shared" si="69"/>
        <v>1.2454705532932155</v>
      </c>
      <c r="Y98" s="386">
        <f t="shared" si="105"/>
        <v>3.1023937982410173E-3</v>
      </c>
      <c r="Z98" s="603">
        <f t="shared" si="106"/>
        <v>3.1023937982410173E-3</v>
      </c>
      <c r="AA98" s="386">
        <f t="shared" si="70"/>
        <v>45.698631140872614</v>
      </c>
      <c r="AB98" s="386">
        <f t="shared" si="71"/>
        <v>11.903679862452336</v>
      </c>
      <c r="AC98" s="386">
        <f t="shared" si="72"/>
        <v>0</v>
      </c>
      <c r="AD98">
        <f t="shared" si="73"/>
        <v>0</v>
      </c>
      <c r="AE98" s="386">
        <f t="shared" si="74"/>
        <v>-8.6212571408430652</v>
      </c>
      <c r="AF98" s="386">
        <f t="shared" si="75"/>
        <v>0</v>
      </c>
      <c r="AG98" s="386">
        <f t="shared" si="76"/>
        <v>0</v>
      </c>
      <c r="AH98" s="386">
        <f t="shared" si="77"/>
        <v>0</v>
      </c>
      <c r="AI98" s="386">
        <f t="shared" si="78"/>
        <v>0</v>
      </c>
      <c r="AJ98" s="386">
        <f t="shared" si="79"/>
        <v>40.033463409762277</v>
      </c>
      <c r="AK98" s="386">
        <f t="shared" si="80"/>
        <v>3.0450885659034723</v>
      </c>
      <c r="AL98" s="386">
        <f t="shared" si="81"/>
        <v>4.0003600753877118</v>
      </c>
      <c r="AM98">
        <f t="shared" si="82"/>
        <v>0</v>
      </c>
      <c r="AN98" s="386">
        <f t="shared" si="83"/>
        <v>18.019866574025322</v>
      </c>
      <c r="AO98" s="386">
        <f t="shared" si="84"/>
        <v>22.038300650657188</v>
      </c>
      <c r="AP98" s="386">
        <f t="shared" si="85"/>
        <v>0.92280472158063842</v>
      </c>
      <c r="AQ98" s="386">
        <f t="shared" si="86"/>
        <v>2.1927194860813706</v>
      </c>
      <c r="AR98" s="386">
        <f t="shared" si="87"/>
        <v>3.8206708226026262</v>
      </c>
      <c r="AS98" s="386">
        <f t="shared" si="88"/>
        <v>11.903679862452336</v>
      </c>
      <c r="AT98" s="386">
        <f t="shared" si="89"/>
        <v>0</v>
      </c>
      <c r="AU98" s="386">
        <f t="shared" si="90"/>
        <v>0.95039999999999991</v>
      </c>
      <c r="AV98" s="386">
        <f t="shared" si="91"/>
        <v>4.8080345777423252</v>
      </c>
      <c r="AW98" s="386">
        <f t="shared" si="92"/>
        <v>0.249</v>
      </c>
      <c r="AX98" s="386">
        <f t="shared" si="93"/>
        <v>0.14400000000000002</v>
      </c>
      <c r="AY98" s="386">
        <f t="shared" si="94"/>
        <v>1.2671999999999999</v>
      </c>
      <c r="AZ98" s="386">
        <f t="shared" si="95"/>
        <v>0.10439999999999998</v>
      </c>
      <c r="BA98" s="386">
        <f t="shared" si="113"/>
        <v>1.4112</v>
      </c>
      <c r="BB98" s="386">
        <f t="shared" si="114"/>
        <v>-64.008715154609774</v>
      </c>
      <c r="BC98">
        <f t="shared" si="96"/>
        <v>480</v>
      </c>
      <c r="BD98" s="604">
        <f t="shared" si="107"/>
        <v>1.1538703273036108</v>
      </c>
      <c r="BE98" s="614">
        <f t="shared" si="97"/>
        <v>948.513328701266</v>
      </c>
      <c r="BF98" s="614">
        <f t="shared" si="98"/>
        <v>191.03354113013131</v>
      </c>
      <c r="BG98" s="9"/>
      <c r="BH98" s="4">
        <f t="shared" si="108"/>
        <v>115.38703273036108</v>
      </c>
      <c r="BI98" s="386">
        <f t="shared" si="109"/>
        <v>-85.319933522652491</v>
      </c>
      <c r="BJ98" s="386">
        <f t="shared" si="110"/>
        <v>14.169680255784883</v>
      </c>
      <c r="BK98" s="386">
        <f t="shared" si="111"/>
        <v>0.31363199999999997</v>
      </c>
      <c r="BL98" s="386">
        <f t="shared" si="112"/>
        <v>4.8080345777423252</v>
      </c>
      <c r="BR98" s="18"/>
      <c r="BS98" s="19"/>
    </row>
    <row r="99" spans="7:71" x14ac:dyDescent="0.3">
      <c r="G99">
        <v>90</v>
      </c>
      <c r="H99" s="610">
        <f t="shared" si="59"/>
        <v>11.75</v>
      </c>
      <c r="I99" s="4" t="str">
        <f t="shared" si="60"/>
        <v>BOOST</v>
      </c>
      <c r="J99">
        <f t="shared" si="99"/>
        <v>2</v>
      </c>
      <c r="K99">
        <f t="shared" si="61"/>
        <v>10</v>
      </c>
      <c r="L99" s="4">
        <f t="shared" si="62"/>
        <v>45.39007092198581</v>
      </c>
      <c r="M99" s="4">
        <f t="shared" si="63"/>
        <v>42.697979868277024</v>
      </c>
      <c r="N99" s="386">
        <f t="shared" si="64"/>
        <v>1</v>
      </c>
      <c r="O99" s="386">
        <f t="shared" si="100"/>
        <v>0.76579688240872446</v>
      </c>
      <c r="P99" s="4">
        <f t="shared" si="65"/>
        <v>4.3355931455204741</v>
      </c>
      <c r="Q99" s="386">
        <f t="shared" si="66"/>
        <v>45.407323039680051</v>
      </c>
      <c r="R99" s="386">
        <f t="shared" si="101"/>
        <v>-93.342316426903537</v>
      </c>
      <c r="S99" s="386">
        <f t="shared" si="67"/>
        <v>0.94377133016754367</v>
      </c>
      <c r="T99" s="386">
        <f t="shared" si="102"/>
        <v>-92.398545096735987</v>
      </c>
      <c r="U99" s="4">
        <f t="shared" si="68"/>
        <v>18.223659484278283</v>
      </c>
      <c r="V99" s="386">
        <f t="shared" si="103"/>
        <v>0.6642035299978517</v>
      </c>
      <c r="W99" s="386">
        <f t="shared" si="104"/>
        <v>0.6642035299978517</v>
      </c>
      <c r="X99" s="386">
        <f t="shared" si="69"/>
        <v>1.2515779348314711</v>
      </c>
      <c r="Y99" s="386">
        <f t="shared" si="105"/>
        <v>3.1328946539140204E-3</v>
      </c>
      <c r="Z99" s="603">
        <f t="shared" si="106"/>
        <v>3.1328946539140204E-3</v>
      </c>
      <c r="AA99" s="386">
        <f t="shared" si="70"/>
        <v>45.407323039680051</v>
      </c>
      <c r="AB99" s="386">
        <f t="shared" si="71"/>
        <v>11.752402418090197</v>
      </c>
      <c r="AC99" s="386">
        <f t="shared" si="72"/>
        <v>0</v>
      </c>
      <c r="AD99">
        <f t="shared" si="73"/>
        <v>0</v>
      </c>
      <c r="AE99" s="386">
        <f t="shared" si="74"/>
        <v>-8.7023859734756179</v>
      </c>
      <c r="AF99" s="386">
        <f t="shared" si="75"/>
        <v>0</v>
      </c>
      <c r="AG99" s="386">
        <f t="shared" si="76"/>
        <v>0</v>
      </c>
      <c r="AH99" s="386">
        <f t="shared" si="77"/>
        <v>0</v>
      </c>
      <c r="AI99" s="386">
        <f t="shared" si="78"/>
        <v>0</v>
      </c>
      <c r="AJ99" s="386">
        <f t="shared" si="79"/>
        <v>39.735867249473223</v>
      </c>
      <c r="AK99" s="386">
        <f t="shared" si="80"/>
        <v>2.9999843775287416</v>
      </c>
      <c r="AL99" s="386">
        <f t="shared" si="81"/>
        <v>3.9748258621405563</v>
      </c>
      <c r="AM99">
        <f t="shared" si="82"/>
        <v>0</v>
      </c>
      <c r="AN99" s="386">
        <f t="shared" si="83"/>
        <v>17.436889395521536</v>
      </c>
      <c r="AO99" s="386">
        <f t="shared" si="84"/>
        <v>21.974663582455587</v>
      </c>
      <c r="AP99" s="386">
        <f t="shared" si="85"/>
        <v>0.91748309516798965</v>
      </c>
      <c r="AQ99" s="386">
        <f t="shared" si="86"/>
        <v>2.1787234042553187</v>
      </c>
      <c r="AR99" s="386">
        <f t="shared" si="87"/>
        <v>3.7920314497151026</v>
      </c>
      <c r="AS99" s="386">
        <f t="shared" si="88"/>
        <v>11.752402418090197</v>
      </c>
      <c r="AT99" s="386">
        <f t="shared" si="89"/>
        <v>0</v>
      </c>
      <c r="AU99" s="386">
        <f t="shared" si="90"/>
        <v>0.95039999999999991</v>
      </c>
      <c r="AV99" s="386">
        <f t="shared" si="91"/>
        <v>4.7368174382032757</v>
      </c>
      <c r="AW99" s="386">
        <f t="shared" si="92"/>
        <v>0.249</v>
      </c>
      <c r="AX99" s="386">
        <f t="shared" si="93"/>
        <v>0.14400000000000002</v>
      </c>
      <c r="AY99" s="386">
        <f t="shared" si="94"/>
        <v>1.2671999999999999</v>
      </c>
      <c r="AZ99" s="386">
        <f t="shared" si="95"/>
        <v>0.10439999999999998</v>
      </c>
      <c r="BA99" s="386">
        <f t="shared" si="113"/>
        <v>1.4112</v>
      </c>
      <c r="BB99" s="386">
        <f t="shared" si="114"/>
        <v>-71.857256362119941</v>
      </c>
      <c r="BC99">
        <f t="shared" si="96"/>
        <v>480</v>
      </c>
      <c r="BD99" s="604">
        <f t="shared" si="107"/>
        <v>1.1760591300034835</v>
      </c>
      <c r="BE99" s="614">
        <f t="shared" si="97"/>
        <v>919.3644697760767</v>
      </c>
      <c r="BF99" s="614">
        <f t="shared" si="98"/>
        <v>189.60157248575513</v>
      </c>
      <c r="BG99" s="9"/>
      <c r="BH99" s="4">
        <f t="shared" si="108"/>
        <v>117.60591300034835</v>
      </c>
      <c r="BI99" s="386">
        <f t="shared" si="109"/>
        <v>-92.398545096735987</v>
      </c>
      <c r="BJ99" s="386">
        <f t="shared" si="110"/>
        <v>13.476934871761021</v>
      </c>
      <c r="BK99" s="386">
        <f t="shared" si="111"/>
        <v>0.31363199999999997</v>
      </c>
      <c r="BL99" s="386">
        <f t="shared" si="112"/>
        <v>4.7368174382032757</v>
      </c>
      <c r="BR99" s="18"/>
      <c r="BS99" s="19"/>
    </row>
    <row r="100" spans="7:71" x14ac:dyDescent="0.3">
      <c r="G100">
        <v>91</v>
      </c>
      <c r="H100" s="610">
        <f t="shared" si="59"/>
        <v>11.824999999999999</v>
      </c>
      <c r="I100" s="4" t="str">
        <f t="shared" si="60"/>
        <v>BOOST</v>
      </c>
      <c r="J100">
        <f t="shared" si="99"/>
        <v>2</v>
      </c>
      <c r="K100">
        <f t="shared" si="61"/>
        <v>10</v>
      </c>
      <c r="L100" s="4">
        <f t="shared" si="62"/>
        <v>45.102184637068355</v>
      </c>
      <c r="M100" s="4">
        <f t="shared" si="63"/>
        <v>42.402098878922729</v>
      </c>
      <c r="N100" s="386">
        <f t="shared" si="64"/>
        <v>1</v>
      </c>
      <c r="O100" s="386">
        <f t="shared" si="100"/>
        <v>0.76416261778563022</v>
      </c>
      <c r="P100" s="4">
        <f t="shared" si="65"/>
        <v>4.3566084110614813</v>
      </c>
      <c r="Q100" s="386">
        <f t="shared" si="66"/>
        <v>45.119715521858986</v>
      </c>
      <c r="R100" s="386">
        <f t="shared" si="101"/>
        <v>-101.7591353933143</v>
      </c>
      <c r="S100" s="386">
        <f t="shared" si="67"/>
        <v>0.95434453490389193</v>
      </c>
      <c r="T100" s="386">
        <f t="shared" si="102"/>
        <v>-100.8047908584104</v>
      </c>
      <c r="U100" s="4">
        <f t="shared" si="68"/>
        <v>18.142379411514195</v>
      </c>
      <c r="V100" s="386">
        <f t="shared" si="103"/>
        <v>0.65829186142266827</v>
      </c>
      <c r="W100" s="386">
        <f t="shared" si="104"/>
        <v>0.65829186142266827</v>
      </c>
      <c r="X100" s="386">
        <f t="shared" si="69"/>
        <v>1.2576445194400672</v>
      </c>
      <c r="Y100" s="386">
        <f t="shared" si="105"/>
        <v>3.1633394745552747E-3</v>
      </c>
      <c r="Z100" s="603">
        <f t="shared" si="106"/>
        <v>3.1633394745552747E-3</v>
      </c>
      <c r="AA100" s="386">
        <f t="shared" si="70"/>
        <v>45.119715521858986</v>
      </c>
      <c r="AB100" s="386">
        <f t="shared" si="71"/>
        <v>11.603995754008851</v>
      </c>
      <c r="AC100" s="386">
        <f t="shared" si="72"/>
        <v>0</v>
      </c>
      <c r="AD100">
        <f t="shared" si="73"/>
        <v>0</v>
      </c>
      <c r="AE100" s="386">
        <f t="shared" si="74"/>
        <v>-8.7855869281599919</v>
      </c>
      <c r="AF100" s="386">
        <f t="shared" si="75"/>
        <v>0</v>
      </c>
      <c r="AG100" s="386">
        <f t="shared" si="76"/>
        <v>0</v>
      </c>
      <c r="AH100" s="386">
        <f t="shared" si="77"/>
        <v>0</v>
      </c>
      <c r="AI100" s="386">
        <f t="shared" si="78"/>
        <v>0</v>
      </c>
      <c r="AJ100" s="386">
        <f t="shared" si="79"/>
        <v>39.442028906206446</v>
      </c>
      <c r="AK100" s="386">
        <f t="shared" si="80"/>
        <v>2.9557799240522469</v>
      </c>
      <c r="AL100" s="386">
        <f t="shared" si="81"/>
        <v>3.9496155501185233</v>
      </c>
      <c r="AM100">
        <f t="shared" si="82"/>
        <v>0</v>
      </c>
      <c r="AN100" s="386">
        <f t="shared" si="83"/>
        <v>16.890049059344189</v>
      </c>
      <c r="AO100" s="386">
        <f t="shared" si="84"/>
        <v>21.911528575967896</v>
      </c>
      <c r="AP100" s="386">
        <f t="shared" si="85"/>
        <v>0.91221866061736967</v>
      </c>
      <c r="AQ100" s="386">
        <f t="shared" si="86"/>
        <v>2.1649048625792813</v>
      </c>
      <c r="AR100" s="386">
        <f t="shared" si="87"/>
        <v>3.76380641199045</v>
      </c>
      <c r="AS100" s="386">
        <f t="shared" si="88"/>
        <v>11.603995754008851</v>
      </c>
      <c r="AT100" s="386">
        <f t="shared" si="89"/>
        <v>0</v>
      </c>
      <c r="AU100" s="386">
        <f t="shared" si="90"/>
        <v>0.95039999999999991</v>
      </c>
      <c r="AV100" s="386">
        <f t="shared" si="91"/>
        <v>4.6670209327140739</v>
      </c>
      <c r="AW100" s="386">
        <f t="shared" si="92"/>
        <v>0.249</v>
      </c>
      <c r="AX100" s="386">
        <f t="shared" si="93"/>
        <v>0.14400000000000002</v>
      </c>
      <c r="AY100" s="386">
        <f t="shared" si="94"/>
        <v>1.2671999999999999</v>
      </c>
      <c r="AZ100" s="386">
        <f t="shared" si="95"/>
        <v>0.10439999999999998</v>
      </c>
      <c r="BA100" s="386">
        <f t="shared" si="113"/>
        <v>1.4112</v>
      </c>
      <c r="BB100" s="386">
        <f t="shared" si="114"/>
        <v>-80.997446181624468</v>
      </c>
      <c r="BC100">
        <f t="shared" si="96"/>
        <v>480</v>
      </c>
      <c r="BD100" s="604">
        <f t="shared" si="107"/>
        <v>1.2029998189397408</v>
      </c>
      <c r="BE100" s="614">
        <f t="shared" si="97"/>
        <v>892.02245296720935</v>
      </c>
      <c r="BF100" s="614">
        <f t="shared" si="98"/>
        <v>188.19032059952249</v>
      </c>
      <c r="BG100" s="9"/>
      <c r="BH100" s="4">
        <f t="shared" si="108"/>
        <v>120.29998189397408</v>
      </c>
      <c r="BI100" s="386">
        <f t="shared" si="109"/>
        <v>-100.8047908584104</v>
      </c>
      <c r="BJ100" s="386">
        <f t="shared" si="110"/>
        <v>12.818668543174647</v>
      </c>
      <c r="BK100" s="386">
        <f t="shared" si="111"/>
        <v>0.31363199999999997</v>
      </c>
      <c r="BL100" s="386">
        <f t="shared" si="112"/>
        <v>4.6670209327140739</v>
      </c>
      <c r="BR100" s="18"/>
      <c r="BS100" s="19"/>
    </row>
    <row r="101" spans="7:71" x14ac:dyDescent="0.3">
      <c r="G101">
        <v>92</v>
      </c>
      <c r="H101" s="610">
        <f t="shared" si="59"/>
        <v>11.9</v>
      </c>
      <c r="I101" s="4" t="str">
        <f t="shared" si="60"/>
        <v>BOOST</v>
      </c>
      <c r="J101">
        <f t="shared" si="99"/>
        <v>2</v>
      </c>
      <c r="K101">
        <f t="shared" si="61"/>
        <v>10</v>
      </c>
      <c r="L101" s="4">
        <f t="shared" si="62"/>
        <v>44.817927170868344</v>
      </c>
      <c r="M101" s="4">
        <f t="shared" si="63"/>
        <v>42.110451218610606</v>
      </c>
      <c r="N101" s="386">
        <f t="shared" si="64"/>
        <v>1</v>
      </c>
      <c r="O101" s="386">
        <f t="shared" si="100"/>
        <v>0.76252926029962542</v>
      </c>
      <c r="P101" s="4">
        <f t="shared" si="65"/>
        <v>4.3774827906089619</v>
      </c>
      <c r="Q101" s="386">
        <f t="shared" si="66"/>
        <v>44.835738634023109</v>
      </c>
      <c r="R101" s="386">
        <f t="shared" si="101"/>
        <v>-111.91438013980611</v>
      </c>
      <c r="S101" s="386">
        <f t="shared" si="67"/>
        <v>0.96491290462354518</v>
      </c>
      <c r="T101" s="386">
        <f t="shared" si="102"/>
        <v>-110.94946723518257</v>
      </c>
      <c r="U101" s="4">
        <f t="shared" si="68"/>
        <v>18.061896667313366</v>
      </c>
      <c r="V101" s="386">
        <f t="shared" si="103"/>
        <v>0.65246422244141145</v>
      </c>
      <c r="W101" s="386">
        <f t="shared" si="104"/>
        <v>0.65246422244141145</v>
      </c>
      <c r="X101" s="386">
        <f t="shared" si="69"/>
        <v>1.2636704337655194</v>
      </c>
      <c r="Y101" s="386">
        <f t="shared" si="105"/>
        <v>3.1937259303462719E-3</v>
      </c>
      <c r="Z101" s="603">
        <f t="shared" si="106"/>
        <v>3.1937259303462719E-3</v>
      </c>
      <c r="AA101" s="386">
        <f t="shared" si="70"/>
        <v>44.835738634023109</v>
      </c>
      <c r="AB101" s="386">
        <f t="shared" si="71"/>
        <v>11.458387715493066</v>
      </c>
      <c r="AC101" s="386">
        <f t="shared" si="72"/>
        <v>0</v>
      </c>
      <c r="AD101">
        <f t="shared" si="73"/>
        <v>0</v>
      </c>
      <c r="AE101" s="386">
        <f t="shared" si="74"/>
        <v>-8.8709351468675912</v>
      </c>
      <c r="AF101" s="386">
        <f t="shared" si="75"/>
        <v>0</v>
      </c>
      <c r="AG101" s="386">
        <f t="shared" si="76"/>
        <v>0</v>
      </c>
      <c r="AH101" s="386">
        <f t="shared" si="77"/>
        <v>0</v>
      </c>
      <c r="AI101" s="386">
        <f t="shared" si="78"/>
        <v>0</v>
      </c>
      <c r="AJ101" s="386">
        <f t="shared" si="79"/>
        <v>39.151876809489998</v>
      </c>
      <c r="AK101" s="386">
        <f t="shared" si="80"/>
        <v>2.9124519696404132</v>
      </c>
      <c r="AL101" s="386">
        <f t="shared" si="81"/>
        <v>3.9247230151387842</v>
      </c>
      <c r="AM101">
        <f t="shared" si="82"/>
        <v>0</v>
      </c>
      <c r="AN101" s="386">
        <f t="shared" si="83"/>
        <v>16.376090239230262</v>
      </c>
      <c r="AO101" s="386">
        <f t="shared" si="84"/>
        <v>21.848890158379934</v>
      </c>
      <c r="AP101" s="386">
        <f t="shared" si="85"/>
        <v>0.90701060219060792</v>
      </c>
      <c r="AQ101" s="386">
        <f t="shared" si="86"/>
        <v>2.1512605042016806</v>
      </c>
      <c r="AR101" s="386">
        <f t="shared" si="87"/>
        <v>3.7359870856605499</v>
      </c>
      <c r="AS101" s="386">
        <f t="shared" si="88"/>
        <v>11.458387715493066</v>
      </c>
      <c r="AT101" s="386">
        <f t="shared" si="89"/>
        <v>0</v>
      </c>
      <c r="AU101" s="386">
        <f t="shared" si="90"/>
        <v>0.95039999999999991</v>
      </c>
      <c r="AV101" s="386">
        <f t="shared" si="91"/>
        <v>4.5986083731164422</v>
      </c>
      <c r="AW101" s="386">
        <f t="shared" si="92"/>
        <v>0.249</v>
      </c>
      <c r="AX101" s="386">
        <f t="shared" si="93"/>
        <v>0.14400000000000002</v>
      </c>
      <c r="AY101" s="386">
        <f t="shared" si="94"/>
        <v>1.2671999999999999</v>
      </c>
      <c r="AZ101" s="386">
        <f t="shared" si="95"/>
        <v>0.10439999999999998</v>
      </c>
      <c r="BA101" s="386">
        <f t="shared" si="113"/>
        <v>1.4112</v>
      </c>
      <c r="BB101" s="386">
        <f t="shared" si="114"/>
        <v>-91.843458735671149</v>
      </c>
      <c r="BC101">
        <f t="shared" si="96"/>
        <v>480</v>
      </c>
      <c r="BD101" s="604">
        <f t="shared" si="107"/>
        <v>1.236614481457694</v>
      </c>
      <c r="BE101" s="614">
        <f t="shared" si="97"/>
        <v>866.32451196151305</v>
      </c>
      <c r="BF101" s="614">
        <f t="shared" si="98"/>
        <v>186.7993542830275</v>
      </c>
      <c r="BG101" s="9"/>
      <c r="BH101" s="4">
        <f t="shared" si="108"/>
        <v>123.6614481457694</v>
      </c>
      <c r="BI101" s="386">
        <f t="shared" si="109"/>
        <v>-110.94946723518257</v>
      </c>
      <c r="BJ101" s="386">
        <f t="shared" si="110"/>
        <v>12.191542178023221</v>
      </c>
      <c r="BK101" s="386">
        <f t="shared" si="111"/>
        <v>0.31363199999999997</v>
      </c>
      <c r="BL101" s="386">
        <f t="shared" si="112"/>
        <v>4.5986083731164422</v>
      </c>
      <c r="BR101" s="18"/>
      <c r="BS101" s="19"/>
    </row>
    <row r="102" spans="7:71" x14ac:dyDescent="0.3">
      <c r="G102">
        <v>93</v>
      </c>
      <c r="H102" s="610">
        <f t="shared" si="59"/>
        <v>11.975000000000001</v>
      </c>
      <c r="I102" s="4" t="str">
        <f t="shared" si="60"/>
        <v>BOOST</v>
      </c>
      <c r="J102">
        <f t="shared" si="99"/>
        <v>2</v>
      </c>
      <c r="K102">
        <f t="shared" si="61"/>
        <v>10</v>
      </c>
      <c r="L102" s="4">
        <f t="shared" si="62"/>
        <v>44.53723034098816</v>
      </c>
      <c r="M102" s="4">
        <f t="shared" si="63"/>
        <v>41.822943822308417</v>
      </c>
      <c r="N102" s="386">
        <f t="shared" si="64"/>
        <v>1</v>
      </c>
      <c r="O102" s="386">
        <f t="shared" si="100"/>
        <v>0.76089679285880429</v>
      </c>
      <c r="P102" s="4">
        <f t="shared" si="65"/>
        <v>4.3982167117706314</v>
      </c>
      <c r="Q102" s="386">
        <f t="shared" si="66"/>
        <v>44.555324174557164</v>
      </c>
      <c r="R102" s="386">
        <f t="shared" si="101"/>
        <v>-124.40782430537237</v>
      </c>
      <c r="S102" s="386">
        <f t="shared" si="67"/>
        <v>0.97547541977782615</v>
      </c>
      <c r="T102" s="386">
        <f t="shared" si="102"/>
        <v>-123.43234888559455</v>
      </c>
      <c r="U102" s="4">
        <f t="shared" si="68"/>
        <v>17.982196168464476</v>
      </c>
      <c r="V102" s="386">
        <f t="shared" si="103"/>
        <v>0.64671875808227697</v>
      </c>
      <c r="W102" s="386">
        <f t="shared" si="104"/>
        <v>0.64671875808227697</v>
      </c>
      <c r="X102" s="386">
        <f t="shared" si="69"/>
        <v>1.2696558012475425</v>
      </c>
      <c r="Y102" s="386">
        <f t="shared" si="105"/>
        <v>3.2240517072830788E-3</v>
      </c>
      <c r="Z102" s="603">
        <f t="shared" si="106"/>
        <v>3.2240517072830788E-3</v>
      </c>
      <c r="AA102" s="386">
        <f t="shared" si="70"/>
        <v>44.555324174557164</v>
      </c>
      <c r="AB102" s="386">
        <f t="shared" si="71"/>
        <v>11.315508400109305</v>
      </c>
      <c r="AC102" s="386">
        <f t="shared" si="72"/>
        <v>0</v>
      </c>
      <c r="AD102">
        <f t="shared" si="73"/>
        <v>0</v>
      </c>
      <c r="AE102" s="386">
        <f t="shared" si="74"/>
        <v>-8.9585095001326138</v>
      </c>
      <c r="AF102" s="386">
        <f t="shared" si="75"/>
        <v>0</v>
      </c>
      <c r="AG102" s="386">
        <f t="shared" si="76"/>
        <v>0</v>
      </c>
      <c r="AH102" s="386">
        <f t="shared" si="77"/>
        <v>0</v>
      </c>
      <c r="AI102" s="386">
        <f t="shared" si="78"/>
        <v>0</v>
      </c>
      <c r="AJ102" s="386">
        <f t="shared" si="79"/>
        <v>38.865341190144221</v>
      </c>
      <c r="AK102" s="386">
        <f t="shared" si="80"/>
        <v>2.86997801707001</v>
      </c>
      <c r="AL102" s="386">
        <f t="shared" si="81"/>
        <v>3.900142286442716</v>
      </c>
      <c r="AM102">
        <f t="shared" si="82"/>
        <v>0</v>
      </c>
      <c r="AN102" s="386">
        <f t="shared" si="83"/>
        <v>15.892137165176027</v>
      </c>
      <c r="AO102" s="386">
        <f t="shared" si="84"/>
        <v>21.786742906491483</v>
      </c>
      <c r="AP102" s="386">
        <f t="shared" si="85"/>
        <v>0.90185811629975821</v>
      </c>
      <c r="AQ102" s="386">
        <f t="shared" si="86"/>
        <v>2.1377870563674315</v>
      </c>
      <c r="AR102" s="386">
        <f t="shared" si="87"/>
        <v>3.7085650752563408</v>
      </c>
      <c r="AS102" s="386">
        <f t="shared" si="88"/>
        <v>11.315508400109305</v>
      </c>
      <c r="AT102" s="386">
        <f t="shared" si="89"/>
        <v>0</v>
      </c>
      <c r="AU102" s="386">
        <f t="shared" si="90"/>
        <v>0.95039999999999991</v>
      </c>
      <c r="AV102" s="386">
        <f t="shared" si="91"/>
        <v>4.5315442374789638</v>
      </c>
      <c r="AW102" s="386">
        <f t="shared" si="92"/>
        <v>0.249</v>
      </c>
      <c r="AX102" s="386">
        <f t="shared" si="93"/>
        <v>0.14400000000000002</v>
      </c>
      <c r="AY102" s="386">
        <f t="shared" si="94"/>
        <v>1.2671999999999999</v>
      </c>
      <c r="AZ102" s="386">
        <f t="shared" si="95"/>
        <v>0.10439999999999998</v>
      </c>
      <c r="BA102" s="386">
        <f t="shared" si="113"/>
        <v>1.4112</v>
      </c>
      <c r="BB102" s="386">
        <f t="shared" si="114"/>
        <v>-104.99806909802628</v>
      </c>
      <c r="BC102">
        <f t="shared" si="96"/>
        <v>480</v>
      </c>
      <c r="BD102" s="604">
        <f t="shared" si="107"/>
        <v>1.2799934092218661</v>
      </c>
      <c r="BE102" s="614">
        <f t="shared" si="97"/>
        <v>842.12685825880135</v>
      </c>
      <c r="BF102" s="614">
        <f t="shared" si="98"/>
        <v>185.42825376281704</v>
      </c>
      <c r="BG102" s="9"/>
      <c r="BH102" s="4">
        <f t="shared" si="108"/>
        <v>127.9993409221866</v>
      </c>
      <c r="BI102" s="386">
        <f t="shared" si="109"/>
        <v>-123.43234888559455</v>
      </c>
      <c r="BJ102" s="386">
        <f t="shared" si="110"/>
        <v>11.592592740299756</v>
      </c>
      <c r="BK102" s="386">
        <f t="shared" si="111"/>
        <v>0.31363199999999997</v>
      </c>
      <c r="BL102" s="386">
        <f t="shared" si="112"/>
        <v>4.5315442374789638</v>
      </c>
      <c r="BR102" s="18"/>
      <c r="BS102" s="19"/>
    </row>
    <row r="103" spans="7:71" x14ac:dyDescent="0.3">
      <c r="G103">
        <v>94</v>
      </c>
      <c r="H103" s="610">
        <f t="shared" si="59"/>
        <v>12.05</v>
      </c>
      <c r="I103" s="4" t="str">
        <f t="shared" si="60"/>
        <v>BOOST</v>
      </c>
      <c r="J103">
        <f t="shared" si="99"/>
        <v>2</v>
      </c>
      <c r="K103">
        <f t="shared" si="61"/>
        <v>10</v>
      </c>
      <c r="L103" s="4">
        <f t="shared" si="62"/>
        <v>44.260027662517288</v>
      </c>
      <c r="M103" s="4">
        <f t="shared" si="63"/>
        <v>41.539486397762673</v>
      </c>
      <c r="N103" s="386">
        <f t="shared" si="64"/>
        <v>1</v>
      </c>
      <c r="O103" s="386">
        <f t="shared" si="100"/>
        <v>0.75926519879796583</v>
      </c>
      <c r="P103" s="4">
        <f t="shared" si="65"/>
        <v>4.4188105913948856</v>
      </c>
      <c r="Q103" s="386">
        <f t="shared" si="66"/>
        <v>44.278405639096214</v>
      </c>
      <c r="R103" s="386">
        <f t="shared" si="101"/>
        <v>-140.1510111038495</v>
      </c>
      <c r="S103" s="386">
        <f t="shared" si="67"/>
        <v>0.98603106547835595</v>
      </c>
      <c r="T103" s="386">
        <f t="shared" si="102"/>
        <v>-139.16498003837114</v>
      </c>
      <c r="U103" s="4">
        <f t="shared" si="68"/>
        <v>17.90326323283465</v>
      </c>
      <c r="V103" s="386">
        <f t="shared" si="103"/>
        <v>0.64105366876833814</v>
      </c>
      <c r="W103" s="386">
        <f t="shared" si="104"/>
        <v>0.64105366876833814</v>
      </c>
      <c r="X103" s="386">
        <f t="shared" si="69"/>
        <v>1.2756007422199034</v>
      </c>
      <c r="Y103" s="386">
        <f t="shared" si="105"/>
        <v>3.2543145071039369E-3</v>
      </c>
      <c r="Z103" s="603">
        <f t="shared" si="106"/>
        <v>3.2543145071039369E-3</v>
      </c>
      <c r="AA103" s="386">
        <f t="shared" si="70"/>
        <v>44.278405639096214</v>
      </c>
      <c r="AB103" s="386">
        <f t="shared" si="71"/>
        <v>11.17529007385998</v>
      </c>
      <c r="AC103" s="386">
        <f t="shared" si="72"/>
        <v>0</v>
      </c>
      <c r="AD103">
        <f t="shared" si="73"/>
        <v>0</v>
      </c>
      <c r="AE103" s="386">
        <f t="shared" si="74"/>
        <v>-9.0483928205777833</v>
      </c>
      <c r="AF103" s="386">
        <f t="shared" si="75"/>
        <v>0</v>
      </c>
      <c r="AG103" s="386">
        <f t="shared" si="76"/>
        <v>0</v>
      </c>
      <c r="AH103" s="386">
        <f t="shared" si="77"/>
        <v>0</v>
      </c>
      <c r="AI103" s="386">
        <f t="shared" si="78"/>
        <v>0</v>
      </c>
      <c r="AJ103" s="386">
        <f t="shared" si="79"/>
        <v>38.582354023919514</v>
      </c>
      <c r="AK103" s="386">
        <f t="shared" si="80"/>
        <v>2.8283362798514107</v>
      </c>
      <c r="AL103" s="386">
        <f t="shared" si="81"/>
        <v>3.8758675419212887</v>
      </c>
      <c r="AM103">
        <f t="shared" si="82"/>
        <v>0</v>
      </c>
      <c r="AN103" s="386">
        <f t="shared" si="83"/>
        <v>15.435639872719301</v>
      </c>
      <c r="AO103" s="386">
        <f t="shared" si="84"/>
        <v>21.725081447794143</v>
      </c>
      <c r="AP103" s="386">
        <f t="shared" si="85"/>
        <v>0.89676041143524954</v>
      </c>
      <c r="AQ103" s="386">
        <f t="shared" si="86"/>
        <v>2.1244813278008299</v>
      </c>
      <c r="AR103" s="386">
        <f t="shared" si="87"/>
        <v>3.681532206474035</v>
      </c>
      <c r="AS103" s="386">
        <f t="shared" si="88"/>
        <v>11.17529007385998</v>
      </c>
      <c r="AT103" s="386">
        <f t="shared" si="89"/>
        <v>0</v>
      </c>
      <c r="AU103" s="386">
        <f t="shared" si="90"/>
        <v>0.95039999999999991</v>
      </c>
      <c r="AV103" s="386">
        <f t="shared" si="91"/>
        <v>4.4657941260811747</v>
      </c>
      <c r="AW103" s="386">
        <f t="shared" si="92"/>
        <v>0.249</v>
      </c>
      <c r="AX103" s="386">
        <f t="shared" si="93"/>
        <v>0.14400000000000002</v>
      </c>
      <c r="AY103" s="386">
        <f t="shared" si="94"/>
        <v>1.2671999999999999</v>
      </c>
      <c r="AZ103" s="386">
        <f t="shared" si="95"/>
        <v>0.10439999999999998</v>
      </c>
      <c r="BA103" s="386">
        <f t="shared" si="113"/>
        <v>1.4112</v>
      </c>
      <c r="BB103" s="386">
        <f t="shared" si="114"/>
        <v>-121.375498670399</v>
      </c>
      <c r="BC103">
        <f t="shared" si="96"/>
        <v>480</v>
      </c>
      <c r="BD103" s="604">
        <f t="shared" si="107"/>
        <v>1.3384473124964946</v>
      </c>
      <c r="BE103" s="614">
        <f t="shared" si="97"/>
        <v>819.30199363596512</v>
      </c>
      <c r="BF103" s="614">
        <f t="shared" si="98"/>
        <v>184.07661032370174</v>
      </c>
      <c r="BG103" s="9"/>
      <c r="BH103" s="4">
        <f t="shared" si="108"/>
        <v>133.84473124964947</v>
      </c>
      <c r="BI103" s="386">
        <f t="shared" si="109"/>
        <v>-139.16498003837114</v>
      </c>
      <c r="BJ103" s="386">
        <f t="shared" si="110"/>
        <v>11.019179258615553</v>
      </c>
      <c r="BK103" s="386">
        <f t="shared" si="111"/>
        <v>0.31363199999999997</v>
      </c>
      <c r="BL103" s="386">
        <f t="shared" si="112"/>
        <v>4.4657941260811747</v>
      </c>
      <c r="BR103" s="18"/>
      <c r="BS103" s="19"/>
    </row>
    <row r="104" spans="7:71" x14ac:dyDescent="0.3">
      <c r="G104">
        <v>95</v>
      </c>
      <c r="H104" s="610">
        <f t="shared" si="59"/>
        <v>12.125</v>
      </c>
      <c r="I104" s="4" t="str">
        <f t="shared" si="60"/>
        <v>BOOST</v>
      </c>
      <c r="J104">
        <f t="shared" si="99"/>
        <v>2</v>
      </c>
      <c r="K104">
        <f t="shared" si="61"/>
        <v>10</v>
      </c>
      <c r="L104" s="4">
        <f t="shared" si="62"/>
        <v>43.986254295532646</v>
      </c>
      <c r="M104" s="4">
        <f t="shared" si="63"/>
        <v>41.259991321231439</v>
      </c>
      <c r="N104" s="386">
        <f t="shared" si="64"/>
        <v>1</v>
      </c>
      <c r="O104" s="386">
        <f t="shared" si="100"/>
        <v>0.75763446186538019</v>
      </c>
      <c r="P104" s="4">
        <f t="shared" si="65"/>
        <v>4.4392648359070535</v>
      </c>
      <c r="Q104" s="386">
        <f t="shared" si="66"/>
        <v>44.004918168028382</v>
      </c>
      <c r="R104" s="386">
        <f t="shared" si="101"/>
        <v>-160.60008760127053</v>
      </c>
      <c r="S104" s="386">
        <f t="shared" si="67"/>
        <v>0.99657883151982818</v>
      </c>
      <c r="T104" s="386">
        <f t="shared" si="102"/>
        <v>-159.6035087697507</v>
      </c>
      <c r="U104" s="4">
        <f t="shared" si="68"/>
        <v>17.825083565493976</v>
      </c>
      <c r="V104" s="386">
        <f t="shared" si="103"/>
        <v>0.63546720823368685</v>
      </c>
      <c r="W104" s="386">
        <f t="shared" si="104"/>
        <v>0.63546720823368685</v>
      </c>
      <c r="X104" s="386">
        <f t="shared" si="69"/>
        <v>1.2815053740074887</v>
      </c>
      <c r="Y104" s="386">
        <f t="shared" si="105"/>
        <v>3.2845120472201469E-3</v>
      </c>
      <c r="Z104" s="603">
        <f t="shared" si="106"/>
        <v>3.2845120472201469E-3</v>
      </c>
      <c r="AA104" s="386">
        <f t="shared" si="70"/>
        <v>44.004918168028382</v>
      </c>
      <c r="AB104" s="386">
        <f t="shared" si="71"/>
        <v>11.037667090956784</v>
      </c>
      <c r="AC104" s="386">
        <f t="shared" si="72"/>
        <v>0</v>
      </c>
      <c r="AD104">
        <f t="shared" si="73"/>
        <v>0</v>
      </c>
      <c r="AE104" s="386">
        <f t="shared" si="74"/>
        <v>-9.1406721542241023</v>
      </c>
      <c r="AF104" s="386">
        <f t="shared" si="75"/>
        <v>0</v>
      </c>
      <c r="AG104" s="386">
        <f t="shared" si="76"/>
        <v>0</v>
      </c>
      <c r="AH104" s="386">
        <f t="shared" si="77"/>
        <v>0</v>
      </c>
      <c r="AI104" s="386">
        <f t="shared" si="78"/>
        <v>0</v>
      </c>
      <c r="AJ104" s="386">
        <f t="shared" si="79"/>
        <v>38.302848977237034</v>
      </c>
      <c r="AK104" s="386">
        <f t="shared" si="80"/>
        <v>2.7875056555687534</v>
      </c>
      <c r="AL104" s="386">
        <f t="shared" si="81"/>
        <v>3.8518931035176527</v>
      </c>
      <c r="AM104">
        <f t="shared" si="82"/>
        <v>0</v>
      </c>
      <c r="AN104" s="386">
        <f t="shared" si="83"/>
        <v>15.004329334891834</v>
      </c>
      <c r="AO104" s="386">
        <f t="shared" si="84"/>
        <v>21.663900461409217</v>
      </c>
      <c r="AP104" s="386">
        <f t="shared" si="85"/>
        <v>0.89171670808350822</v>
      </c>
      <c r="AQ104" s="386">
        <f t="shared" si="86"/>
        <v>2.1113402061855671</v>
      </c>
      <c r="AR104" s="386">
        <f t="shared" si="87"/>
        <v>3.6548805192888314</v>
      </c>
      <c r="AS104" s="386">
        <f t="shared" si="88"/>
        <v>11.037667090956784</v>
      </c>
      <c r="AT104" s="386">
        <f t="shared" si="89"/>
        <v>0</v>
      </c>
      <c r="AU104" s="386">
        <f t="shared" si="90"/>
        <v>0.95039999999999991</v>
      </c>
      <c r="AV104" s="386">
        <f t="shared" si="91"/>
        <v>4.4013247193190841</v>
      </c>
      <c r="AW104" s="386">
        <f t="shared" si="92"/>
        <v>0.249</v>
      </c>
      <c r="AX104" s="386">
        <f t="shared" si="93"/>
        <v>0.14400000000000002</v>
      </c>
      <c r="AY104" s="386">
        <f t="shared" si="94"/>
        <v>1.2671999999999999</v>
      </c>
      <c r="AZ104" s="386">
        <f t="shared" si="95"/>
        <v>0.10439999999999998</v>
      </c>
      <c r="BA104" s="386">
        <f t="shared" si="113"/>
        <v>1.4112</v>
      </c>
      <c r="BB104" s="386">
        <f t="shared" si="114"/>
        <v>-142.43429463019413</v>
      </c>
      <c r="BC104">
        <f t="shared" si="96"/>
        <v>480</v>
      </c>
      <c r="BD104" s="604">
        <f t="shared" si="107"/>
        <v>1.4219453942282325</v>
      </c>
      <c r="BE104" s="614">
        <f t="shared" si="97"/>
        <v>797.73646674459167</v>
      </c>
      <c r="BF104" s="614">
        <f t="shared" si="98"/>
        <v>182.74402596444156</v>
      </c>
      <c r="BG104" s="9"/>
      <c r="BH104" s="4">
        <f t="shared" si="108"/>
        <v>142.19453942282325</v>
      </c>
      <c r="BI104" s="386">
        <f t="shared" si="109"/>
        <v>-159.6035087697507</v>
      </c>
      <c r="BJ104" s="386">
        <f t="shared" si="110"/>
        <v>10.468937699956562</v>
      </c>
      <c r="BK104" s="386">
        <f t="shared" si="111"/>
        <v>0.31363199999999997</v>
      </c>
      <c r="BL104" s="386">
        <f t="shared" si="112"/>
        <v>4.4013247193190841</v>
      </c>
      <c r="BR104" s="18"/>
      <c r="BS104" s="19"/>
    </row>
    <row r="105" spans="7:71" x14ac:dyDescent="0.3">
      <c r="G105">
        <v>96</v>
      </c>
      <c r="H105" s="610">
        <f t="shared" si="59"/>
        <v>12.2</v>
      </c>
      <c r="I105" s="4" t="str">
        <f t="shared" si="60"/>
        <v>BOOST</v>
      </c>
      <c r="J105">
        <f t="shared" si="99"/>
        <v>2</v>
      </c>
      <c r="K105">
        <f t="shared" si="61"/>
        <v>10</v>
      </c>
      <c r="L105" s="4">
        <f t="shared" si="62"/>
        <v>43.715846994535518</v>
      </c>
      <c r="M105" s="4">
        <f t="shared" si="63"/>
        <v>40.984373537943313</v>
      </c>
      <c r="N105" s="386">
        <f t="shared" si="64"/>
        <v>1</v>
      </c>
      <c r="O105" s="386">
        <f t="shared" si="100"/>
        <v>0.75600456621004575</v>
      </c>
      <c r="P105" s="4">
        <f t="shared" si="65"/>
        <v>4.4595798416331398</v>
      </c>
      <c r="Q105" s="386">
        <f t="shared" si="66"/>
        <v>43.734798495934164</v>
      </c>
      <c r="R105" s="386">
        <f t="shared" si="101"/>
        <v>-188.2339387500181</v>
      </c>
      <c r="S105" s="386">
        <f t="shared" si="67"/>
        <v>1.0071177124032746</v>
      </c>
      <c r="T105" s="386">
        <f t="shared" si="102"/>
        <v>-187.22682103761483</v>
      </c>
      <c r="U105" s="4">
        <f t="shared" si="68"/>
        <v>17.747643245428986</v>
      </c>
      <c r="V105" s="386">
        <f t="shared" si="103"/>
        <v>0.62995768153404219</v>
      </c>
      <c r="W105" s="386">
        <f t="shared" si="104"/>
        <v>0.62995768153404219</v>
      </c>
      <c r="X105" s="386">
        <f t="shared" si="69"/>
        <v>1.2873698110197611</v>
      </c>
      <c r="Y105" s="386">
        <f t="shared" si="105"/>
        <v>3.3146420606501108E-3</v>
      </c>
      <c r="Z105" s="603">
        <f t="shared" si="106"/>
        <v>3.3146420606501108E-3</v>
      </c>
      <c r="AA105" s="386">
        <f t="shared" si="70"/>
        <v>43.734798495934164</v>
      </c>
      <c r="AB105" s="386">
        <f t="shared" si="71"/>
        <v>10.902575817035803</v>
      </c>
      <c r="AC105" s="386">
        <f t="shared" si="72"/>
        <v>0</v>
      </c>
      <c r="AD105">
        <f t="shared" si="73"/>
        <v>0</v>
      </c>
      <c r="AE105" s="386">
        <f t="shared" si="74"/>
        <v>-9.2354390311846402</v>
      </c>
      <c r="AF105" s="386">
        <f t="shared" si="75"/>
        <v>0</v>
      </c>
      <c r="AG105" s="386">
        <f t="shared" si="76"/>
        <v>0</v>
      </c>
      <c r="AH105" s="386">
        <f t="shared" si="77"/>
        <v>0</v>
      </c>
      <c r="AI105" s="386">
        <f t="shared" si="78"/>
        <v>0</v>
      </c>
      <c r="AJ105" s="386">
        <f t="shared" si="79"/>
        <v>38.026761354941399</v>
      </c>
      <c r="AK105" s="386">
        <f t="shared" si="80"/>
        <v>2.7474657003767629</v>
      </c>
      <c r="AL105" s="386">
        <f t="shared" si="81"/>
        <v>3.828213432799306</v>
      </c>
      <c r="AM105">
        <f t="shared" si="82"/>
        <v>0</v>
      </c>
      <c r="AN105" s="386">
        <f t="shared" si="83"/>
        <v>14.596179810171876</v>
      </c>
      <c r="AO105" s="386">
        <f t="shared" si="84"/>
        <v>21.603194678896475</v>
      </c>
      <c r="AP105" s="386">
        <f t="shared" si="85"/>
        <v>0.88672623863517186</v>
      </c>
      <c r="AQ105" s="386">
        <f t="shared" si="86"/>
        <v>2.098360655737705</v>
      </c>
      <c r="AR105" s="386">
        <f t="shared" si="87"/>
        <v>3.6286022613072961</v>
      </c>
      <c r="AS105" s="386">
        <f t="shared" si="88"/>
        <v>10.902575817035803</v>
      </c>
      <c r="AT105" s="386">
        <f t="shared" si="89"/>
        <v>0</v>
      </c>
      <c r="AU105" s="386">
        <f t="shared" si="90"/>
        <v>0.95039999999999991</v>
      </c>
      <c r="AV105" s="386">
        <f t="shared" si="91"/>
        <v>4.3381037374369935</v>
      </c>
      <c r="AW105" s="386">
        <f t="shared" si="92"/>
        <v>0.249</v>
      </c>
      <c r="AX105" s="386">
        <f t="shared" si="93"/>
        <v>0.14400000000000002</v>
      </c>
      <c r="AY105" s="386">
        <f t="shared" si="94"/>
        <v>1.2671999999999999</v>
      </c>
      <c r="AZ105" s="386">
        <f t="shared" si="95"/>
        <v>0.10439999999999998</v>
      </c>
      <c r="BA105" s="386">
        <f t="shared" si="113"/>
        <v>1.4112</v>
      </c>
      <c r="BB105" s="386">
        <f t="shared" si="114"/>
        <v>-170.6555019362886</v>
      </c>
      <c r="BC105">
        <f t="shared" si="96"/>
        <v>480</v>
      </c>
      <c r="BD105" s="604">
        <f t="shared" si="107"/>
        <v>1.5516681337618006</v>
      </c>
      <c r="BE105" s="614">
        <f t="shared" si="97"/>
        <v>777.32899050859373</v>
      </c>
      <c r="BF105" s="614">
        <f t="shared" si="98"/>
        <v>181.43011306536479</v>
      </c>
      <c r="BG105" s="9"/>
      <c r="BH105" s="4">
        <f t="shared" si="108"/>
        <v>155.16681337618004</v>
      </c>
      <c r="BI105" s="386">
        <f t="shared" si="109"/>
        <v>-187.22682103761483</v>
      </c>
      <c r="BJ105" s="386">
        <f t="shared" si="110"/>
        <v>9.9397430402945322</v>
      </c>
      <c r="BK105" s="386">
        <f t="shared" si="111"/>
        <v>0.31363199999999997</v>
      </c>
      <c r="BL105" s="386">
        <f t="shared" si="112"/>
        <v>4.3381037374369935</v>
      </c>
      <c r="BR105" s="18"/>
      <c r="BS105" s="19"/>
    </row>
    <row r="106" spans="7:71" x14ac:dyDescent="0.3">
      <c r="G106">
        <v>97</v>
      </c>
      <c r="H106" s="610">
        <f t="shared" si="59"/>
        <v>12.274999999999999</v>
      </c>
      <c r="I106" s="4" t="str">
        <f t="shared" si="60"/>
        <v>BOOST</v>
      </c>
      <c r="J106">
        <f t="shared" si="99"/>
        <v>2</v>
      </c>
      <c r="K106">
        <f t="shared" si="61"/>
        <v>10</v>
      </c>
      <c r="L106" s="4">
        <f t="shared" si="62"/>
        <v>43.448744059742026</v>
      </c>
      <c r="M106" s="4">
        <f t="shared" si="63"/>
        <v>40.712550467032067</v>
      </c>
      <c r="N106" s="386">
        <f t="shared" si="64"/>
        <v>1</v>
      </c>
      <c r="O106" s="386">
        <f t="shared" ref="O106:O137" si="115">CHOOSE(J106,0,(Vout+(Rdson3+Rdcr)*L106-H106)/(Vout+(Rdson3-Rdson4-Rs)*L106),IF(H106&gt;Vout,D_min_boost_exitBB_to_buck, (Vout-H106*D_max_buck_BB)/Vout))</f>
        <v>0.75437549636941237</v>
      </c>
      <c r="P106" s="4">
        <f t="shared" si="65"/>
        <v>4.4797559951115451</v>
      </c>
      <c r="Q106" s="386">
        <f t="shared" si="66"/>
        <v>43.467984902879337</v>
      </c>
      <c r="R106" s="386">
        <f t="shared" si="101"/>
        <v>-227.64334283834259</v>
      </c>
      <c r="S106" s="386">
        <f t="shared" si="67"/>
        <v>1.0176467073597355</v>
      </c>
      <c r="T106" s="386">
        <f t="shared" si="102"/>
        <v>-226.62569613098285</v>
      </c>
      <c r="U106" s="4">
        <f t="shared" si="68"/>
        <v>17.670928712815531</v>
      </c>
      <c r="V106" s="386">
        <f t="shared" si="103"/>
        <v>0.62452344314681674</v>
      </c>
      <c r="W106" s="386">
        <f t="shared" si="104"/>
        <v>0.62452344314681674</v>
      </c>
      <c r="X106" s="386">
        <f t="shared" si="69"/>
        <v>1.2931941648407452</v>
      </c>
      <c r="Y106" s="386">
        <f t="shared" si="105"/>
        <v>3.3447022959563052E-3</v>
      </c>
      <c r="Z106" s="603">
        <f t="shared" si="106"/>
        <v>3.3447022959563052E-3</v>
      </c>
      <c r="AA106" s="386">
        <f t="shared" si="70"/>
        <v>43.467984902879337</v>
      </c>
      <c r="AB106" s="386">
        <f t="shared" si="71"/>
        <v>10.769954555646592</v>
      </c>
      <c r="AC106" s="386">
        <f t="shared" si="72"/>
        <v>0</v>
      </c>
      <c r="AD106">
        <f t="shared" si="73"/>
        <v>0</v>
      </c>
      <c r="AE106" s="386">
        <f t="shared" si="74"/>
        <v>-9.3327897575093548</v>
      </c>
      <c r="AF106" s="386">
        <f t="shared" si="75"/>
        <v>0</v>
      </c>
      <c r="AG106" s="386">
        <f t="shared" si="76"/>
        <v>0</v>
      </c>
      <c r="AH106" s="386">
        <f t="shared" si="77"/>
        <v>0</v>
      </c>
      <c r="AI106" s="386">
        <f t="shared" si="78"/>
        <v>0</v>
      </c>
      <c r="AJ106" s="386">
        <f t="shared" si="79"/>
        <v>37.754028049978736</v>
      </c>
      <c r="AK106" s="386">
        <f t="shared" si="80"/>
        <v>2.7081966045973043</v>
      </c>
      <c r="AL106" s="386">
        <f t="shared" si="81"/>
        <v>3.80482312669259</v>
      </c>
      <c r="AM106">
        <f t="shared" si="82"/>
        <v>0</v>
      </c>
      <c r="AN106" s="386">
        <f t="shared" si="83"/>
        <v>14.209377087831488</v>
      </c>
      <c r="AO106" s="386">
        <f t="shared" si="84"/>
        <v>21.542958884943474</v>
      </c>
      <c r="AP106" s="386">
        <f t="shared" si="85"/>
        <v>0.88178824728489336</v>
      </c>
      <c r="AQ106" s="386">
        <f t="shared" si="86"/>
        <v>2.0855397148676174</v>
      </c>
      <c r="AR106" s="386">
        <f t="shared" si="87"/>
        <v>3.6026898813498036</v>
      </c>
      <c r="AS106" s="386">
        <f t="shared" si="88"/>
        <v>10.769954555646592</v>
      </c>
      <c r="AT106" s="386">
        <f t="shared" si="89"/>
        <v>0</v>
      </c>
      <c r="AU106" s="386">
        <f t="shared" si="90"/>
        <v>0.95039999999999991</v>
      </c>
      <c r="AV106" s="386">
        <f t="shared" si="91"/>
        <v>4.2760999019957433</v>
      </c>
      <c r="AW106" s="386">
        <f t="shared" si="92"/>
        <v>0.249</v>
      </c>
      <c r="AX106" s="386">
        <f t="shared" si="93"/>
        <v>0.14400000000000002</v>
      </c>
      <c r="AY106" s="386">
        <f t="shared" si="94"/>
        <v>1.2671999999999999</v>
      </c>
      <c r="AZ106" s="386">
        <f t="shared" si="95"/>
        <v>0.10439999999999998</v>
      </c>
      <c r="BA106" s="386">
        <f t="shared" si="113"/>
        <v>1.4112</v>
      </c>
      <c r="BB106" s="386">
        <f t="shared" si="114"/>
        <v>-210.63185087187239</v>
      </c>
      <c r="BC106">
        <f t="shared" si="96"/>
        <v>480</v>
      </c>
      <c r="BD106" s="604">
        <f t="shared" si="107"/>
        <v>1.7819478715417216</v>
      </c>
      <c r="BE106" s="614">
        <f t="shared" si="97"/>
        <v>757.98885439157436</v>
      </c>
      <c r="BF106" s="614">
        <f t="shared" si="98"/>
        <v>180.13449406749018</v>
      </c>
      <c r="BG106" s="9"/>
      <c r="BH106" s="4">
        <f t="shared" si="108"/>
        <v>178.19478715417216</v>
      </c>
      <c r="BI106" s="386">
        <f t="shared" si="109"/>
        <v>-226.62569613098285</v>
      </c>
      <c r="BJ106" s="386">
        <f t="shared" si="110"/>
        <v>9.4296772116719367</v>
      </c>
      <c r="BK106" s="386">
        <f t="shared" si="111"/>
        <v>0.31363199999999997</v>
      </c>
      <c r="BL106" s="386">
        <f t="shared" si="112"/>
        <v>4.2760999019957433</v>
      </c>
      <c r="BR106" s="18"/>
      <c r="BS106" s="19"/>
    </row>
    <row r="107" spans="7:71" x14ac:dyDescent="0.3">
      <c r="G107">
        <v>98</v>
      </c>
      <c r="H107" s="610">
        <f t="shared" si="59"/>
        <v>12.35</v>
      </c>
      <c r="I107" s="4" t="str">
        <f t="shared" si="60"/>
        <v>BOOST</v>
      </c>
      <c r="J107">
        <f t="shared" si="99"/>
        <v>2</v>
      </c>
      <c r="K107">
        <f t="shared" si="61"/>
        <v>10</v>
      </c>
      <c r="L107" s="4">
        <f t="shared" si="62"/>
        <v>43.184885290148451</v>
      </c>
      <c r="M107" s="4">
        <f t="shared" si="63"/>
        <v>40.444441910712548</v>
      </c>
      <c r="N107" s="386">
        <f t="shared" si="64"/>
        <v>1</v>
      </c>
      <c r="O107" s="386">
        <f t="shared" si="115"/>
        <v>0.75274723725755521</v>
      </c>
      <c r="P107" s="4">
        <f t="shared" si="65"/>
        <v>4.4997936733933477</v>
      </c>
      <c r="Q107" s="386">
        <f t="shared" si="66"/>
        <v>43.204417167482688</v>
      </c>
      <c r="R107" s="386">
        <f t="shared" si="101"/>
        <v>-288.38866899963864</v>
      </c>
      <c r="S107" s="386">
        <f t="shared" si="67"/>
        <v>1.0281648203743408</v>
      </c>
      <c r="T107" s="386">
        <f t="shared" si="102"/>
        <v>-287.3605041792643</v>
      </c>
      <c r="U107" s="4">
        <f t="shared" si="68"/>
        <v>17.59492675682338</v>
      </c>
      <c r="V107" s="386">
        <f t="shared" si="103"/>
        <v>0.61916289515595857</v>
      </c>
      <c r="W107" s="386">
        <f t="shared" si="104"/>
        <v>0.61916289515595857</v>
      </c>
      <c r="X107" s="386">
        <f t="shared" si="69"/>
        <v>1.2989785443157122</v>
      </c>
      <c r="Y107" s="386">
        <f t="shared" si="105"/>
        <v>3.3746905171851338E-3</v>
      </c>
      <c r="Z107" s="603">
        <f t="shared" si="106"/>
        <v>3.3746905171851338E-3</v>
      </c>
      <c r="AA107" s="386">
        <f t="shared" si="70"/>
        <v>43.204417167482688</v>
      </c>
      <c r="AB107" s="386">
        <f t="shared" si="71"/>
        <v>10.639743477856676</v>
      </c>
      <c r="AC107" s="386">
        <f t="shared" si="72"/>
        <v>0</v>
      </c>
      <c r="AD107">
        <f t="shared" si="73"/>
        <v>0</v>
      </c>
      <c r="AE107" s="386">
        <f t="shared" si="74"/>
        <v>-9.4328257301342688</v>
      </c>
      <c r="AF107" s="386">
        <f t="shared" si="75"/>
        <v>0</v>
      </c>
      <c r="AG107" s="386">
        <f t="shared" si="76"/>
        <v>0</v>
      </c>
      <c r="AH107" s="386">
        <f t="shared" si="77"/>
        <v>0</v>
      </c>
      <c r="AI107" s="386">
        <f t="shared" si="78"/>
        <v>0</v>
      </c>
      <c r="AJ107" s="386">
        <f t="shared" si="79"/>
        <v>37.484587494917946</v>
      </c>
      <c r="AK107" s="386">
        <f t="shared" si="80"/>
        <v>2.6696791693619017</v>
      </c>
      <c r="AL107" s="386">
        <f t="shared" si="81"/>
        <v>3.7817169133725943</v>
      </c>
      <c r="AM107">
        <f t="shared" si="82"/>
        <v>0</v>
      </c>
      <c r="AN107" s="386">
        <f t="shared" si="83"/>
        <v>13.842291580442913</v>
      </c>
      <c r="AO107" s="386">
        <f t="shared" si="84"/>
        <v>21.483187917944445</v>
      </c>
      <c r="AP107" s="386">
        <f t="shared" si="85"/>
        <v>0.87690198992365698</v>
      </c>
      <c r="AQ107" s="386">
        <f t="shared" si="86"/>
        <v>2.0728744939271255</v>
      </c>
      <c r="AR107" s="386">
        <f t="shared" si="87"/>
        <v>3.5771360232547136</v>
      </c>
      <c r="AS107" s="386">
        <f t="shared" si="88"/>
        <v>10.639743477856676</v>
      </c>
      <c r="AT107" s="386">
        <f t="shared" si="89"/>
        <v>0</v>
      </c>
      <c r="AU107" s="386">
        <f t="shared" si="90"/>
        <v>0.95039999999999991</v>
      </c>
      <c r="AV107" s="386">
        <f t="shared" si="91"/>
        <v>4.2152828989924762</v>
      </c>
      <c r="AW107" s="386">
        <f t="shared" si="92"/>
        <v>0.249</v>
      </c>
      <c r="AX107" s="386">
        <f t="shared" si="93"/>
        <v>0.14400000000000002</v>
      </c>
      <c r="AY107" s="386">
        <f t="shared" si="94"/>
        <v>1.2671999999999999</v>
      </c>
      <c r="AZ107" s="386">
        <f t="shared" si="95"/>
        <v>0.10439999999999998</v>
      </c>
      <c r="BA107" s="386">
        <f t="shared" si="113"/>
        <v>1.4112</v>
      </c>
      <c r="BB107" s="386">
        <f t="shared" si="114"/>
        <v>-271.92548182103525</v>
      </c>
      <c r="BC107">
        <f t="shared" si="96"/>
        <v>480</v>
      </c>
      <c r="BD107" s="604">
        <f t="shared" si="107"/>
        <v>2.3068658488357152</v>
      </c>
      <c r="BE107" s="614">
        <f t="shared" si="97"/>
        <v>739.63457902214566</v>
      </c>
      <c r="BF107" s="614">
        <f t="shared" si="98"/>
        <v>178.85680116273568</v>
      </c>
      <c r="BG107" s="9"/>
      <c r="BH107" s="4">
        <f t="shared" si="108"/>
        <v>230.68658488357153</v>
      </c>
      <c r="BI107" s="386">
        <f t="shared" si="109"/>
        <v>-287.3605041792643</v>
      </c>
      <c r="BJ107" s="386">
        <f t="shared" si="110"/>
        <v>8.9370018735633572</v>
      </c>
      <c r="BK107" s="386">
        <f t="shared" si="111"/>
        <v>0.31363199999999997</v>
      </c>
      <c r="BL107" s="386">
        <f t="shared" si="112"/>
        <v>4.2152828989924762</v>
      </c>
      <c r="BR107" s="18"/>
      <c r="BS107" s="19"/>
    </row>
    <row r="108" spans="7:71" x14ac:dyDescent="0.3">
      <c r="G108">
        <v>99</v>
      </c>
      <c r="H108" s="610">
        <f t="shared" si="59"/>
        <v>12.425000000000001</v>
      </c>
      <c r="I108" s="4" t="str">
        <f t="shared" si="60"/>
        <v>BOOST</v>
      </c>
      <c r="J108">
        <f t="shared" si="99"/>
        <v>2</v>
      </c>
      <c r="K108">
        <f t="shared" si="61"/>
        <v>10</v>
      </c>
      <c r="L108" s="4">
        <f t="shared" si="62"/>
        <v>42.924211938296445</v>
      </c>
      <c r="M108" s="4">
        <f t="shared" si="63"/>
        <v>40.179969967476509</v>
      </c>
      <c r="N108" s="386">
        <f t="shared" si="64"/>
        <v>1</v>
      </c>
      <c r="O108" s="386">
        <f t="shared" si="115"/>
        <v>0.75111977415377729</v>
      </c>
      <c r="P108" s="4">
        <f t="shared" si="65"/>
        <v>4.5196932443315667</v>
      </c>
      <c r="Q108" s="386">
        <f t="shared" si="66"/>
        <v>42.944036521683614</v>
      </c>
      <c r="R108" s="386">
        <f t="shared" si="101"/>
        <v>-394.21956888879987</v>
      </c>
      <c r="S108" s="386">
        <f t="shared" si="67"/>
        <v>1.0386710602107245</v>
      </c>
      <c r="T108" s="386">
        <f t="shared" si="102"/>
        <v>-393.18089782858914</v>
      </c>
      <c r="U108" s="4">
        <f t="shared" si="68"/>
        <v>17.51962450392617</v>
      </c>
      <c r="V108" s="386">
        <f t="shared" si="103"/>
        <v>0.61387448551714063</v>
      </c>
      <c r="W108" s="386">
        <f t="shared" si="104"/>
        <v>0.61387448551714063</v>
      </c>
      <c r="X108" s="386">
        <f t="shared" si="69"/>
        <v>1.3047230556346816</v>
      </c>
      <c r="Y108" s="386">
        <f t="shared" si="105"/>
        <v>3.4046045038094008E-3</v>
      </c>
      <c r="Z108" s="603">
        <f t="shared" si="106"/>
        <v>3.4046045038094008E-3</v>
      </c>
      <c r="AA108" s="386">
        <f t="shared" si="70"/>
        <v>42.944036521683614</v>
      </c>
      <c r="AB108" s="386">
        <f t="shared" si="71"/>
        <v>10.511884554821467</v>
      </c>
      <c r="AC108" s="386">
        <f t="shared" si="72"/>
        <v>0</v>
      </c>
      <c r="AD108">
        <f t="shared" si="73"/>
        <v>0</v>
      </c>
      <c r="AE108" s="386">
        <f t="shared" si="74"/>
        <v>-9.535653777097254</v>
      </c>
      <c r="AF108" s="386">
        <f t="shared" si="75"/>
        <v>0</v>
      </c>
      <c r="AG108" s="386">
        <f t="shared" si="76"/>
        <v>0</v>
      </c>
      <c r="AH108" s="386">
        <f t="shared" si="77"/>
        <v>0</v>
      </c>
      <c r="AI108" s="386">
        <f t="shared" si="78"/>
        <v>0</v>
      </c>
      <c r="AJ108" s="386">
        <f t="shared" si="79"/>
        <v>37.218379615236799</v>
      </c>
      <c r="AK108" s="386">
        <f t="shared" si="80"/>
        <v>2.631894784249361</v>
      </c>
      <c r="AL108" s="386">
        <f t="shared" si="81"/>
        <v>3.7588896483019343</v>
      </c>
      <c r="AM108">
        <f t="shared" si="82"/>
        <v>0</v>
      </c>
      <c r="AN108" s="386">
        <f t="shared" si="83"/>
        <v>13.493455421754881</v>
      </c>
      <c r="AO108" s="386">
        <f t="shared" si="84"/>
        <v>21.42387667047732</v>
      </c>
      <c r="AP108" s="386">
        <f t="shared" si="85"/>
        <v>0.87206673402446255</v>
      </c>
      <c r="AQ108" s="386">
        <f t="shared" si="86"/>
        <v>2.0603621730382295</v>
      </c>
      <c r="AR108" s="386">
        <f t="shared" si="87"/>
        <v>3.5519335198962856</v>
      </c>
      <c r="AS108" s="386">
        <f t="shared" si="88"/>
        <v>10.511884554821467</v>
      </c>
      <c r="AT108" s="386">
        <f t="shared" si="89"/>
        <v>0</v>
      </c>
      <c r="AU108" s="386">
        <f t="shared" si="90"/>
        <v>0.95039999999999991</v>
      </c>
      <c r="AV108" s="386">
        <f t="shared" si="91"/>
        <v>4.155623343551623</v>
      </c>
      <c r="AW108" s="386">
        <f t="shared" si="92"/>
        <v>0.249</v>
      </c>
      <c r="AX108" s="386">
        <f t="shared" si="93"/>
        <v>0.14400000000000002</v>
      </c>
      <c r="AY108" s="386">
        <f t="shared" si="94"/>
        <v>1.2671999999999999</v>
      </c>
      <c r="AZ108" s="386">
        <f t="shared" si="95"/>
        <v>0.10439999999999998</v>
      </c>
      <c r="BA108" s="386">
        <f t="shared" si="113"/>
        <v>1.4112</v>
      </c>
      <c r="BB108" s="386">
        <f t="shared" si="114"/>
        <v>-378.28766023046256</v>
      </c>
      <c r="BC108">
        <f t="shared" si="96"/>
        <v>480</v>
      </c>
      <c r="BD108" s="604">
        <f t="shared" si="107"/>
        <v>4.7191914087080971</v>
      </c>
      <c r="BE108" s="614">
        <f t="shared" si="97"/>
        <v>722.19277108774406</v>
      </c>
      <c r="BF108" s="614">
        <f t="shared" si="98"/>
        <v>177.59667599481429</v>
      </c>
      <c r="BG108" s="9"/>
      <c r="BH108" s="4">
        <f t="shared" si="108"/>
        <v>471.91914087080971</v>
      </c>
      <c r="BI108" s="386">
        <f t="shared" si="109"/>
        <v>-393.18089782858914</v>
      </c>
      <c r="BJ108" s="386">
        <f t="shared" si="110"/>
        <v>8.4601351645539129</v>
      </c>
      <c r="BK108" s="386">
        <f t="shared" si="111"/>
        <v>0.31363199999999997</v>
      </c>
      <c r="BL108" s="386">
        <f t="shared" si="112"/>
        <v>4.155623343551623</v>
      </c>
      <c r="BR108" s="18"/>
      <c r="BS108" s="19"/>
    </row>
    <row r="109" spans="7:71" x14ac:dyDescent="0.3">
      <c r="G109">
        <v>100</v>
      </c>
      <c r="H109" s="610">
        <f t="shared" si="59"/>
        <v>12.5</v>
      </c>
      <c r="I109" s="4" t="str">
        <f t="shared" si="60"/>
        <v>BOOST</v>
      </c>
      <c r="J109">
        <f t="shared" si="99"/>
        <v>2</v>
      </c>
      <c r="K109">
        <f t="shared" si="61"/>
        <v>10</v>
      </c>
      <c r="L109" s="4">
        <f t="shared" si="62"/>
        <v>42.666666666666664</v>
      </c>
      <c r="M109" s="4">
        <f t="shared" si="63"/>
        <v>39.919058949100531</v>
      </c>
      <c r="N109" s="386">
        <f t="shared" si="64"/>
        <v>1</v>
      </c>
      <c r="O109" s="386">
        <f t="shared" si="115"/>
        <v>0.74949309269162212</v>
      </c>
      <c r="P109" s="4">
        <f t="shared" si="65"/>
        <v>4.5394550668599241</v>
      </c>
      <c r="Q109" s="386">
        <f t="shared" si="66"/>
        <v>42.686785607138198</v>
      </c>
      <c r="R109" s="386">
        <f t="shared" si="101"/>
        <v>-624.92889670452178</v>
      </c>
      <c r="S109" s="386">
        <f t="shared" si="67"/>
        <v>1.0491644404357634</v>
      </c>
      <c r="T109" s="386">
        <f t="shared" si="102"/>
        <v>-623.87973226408599</v>
      </c>
      <c r="U109" s="4">
        <f t="shared" si="68"/>
        <v>17.445009406692034</v>
      </c>
      <c r="V109" s="386">
        <f t="shared" si="103"/>
        <v>0.60865670639914704</v>
      </c>
      <c r="W109" s="386">
        <f t="shared" si="104"/>
        <v>0.60865670639914704</v>
      </c>
      <c r="X109" s="386">
        <f t="shared" si="69"/>
        <v>1.3104278024128939</v>
      </c>
      <c r="Y109" s="386">
        <f t="shared" si="105"/>
        <v>3.4344420506733733E-3</v>
      </c>
      <c r="Z109" s="603">
        <f t="shared" si="106"/>
        <v>3.4344420506733733E-3</v>
      </c>
      <c r="AA109" s="386">
        <f t="shared" si="70"/>
        <v>42.686785607138198</v>
      </c>
      <c r="AB109" s="386">
        <f t="shared" si="71"/>
        <v>10.38632149317775</v>
      </c>
      <c r="AC109" s="386">
        <f t="shared" si="72"/>
        <v>0</v>
      </c>
      <c r="AD109">
        <f t="shared" si="73"/>
        <v>0</v>
      </c>
      <c r="AE109" s="386">
        <f t="shared" si="74"/>
        <v>-9.6413865254171505</v>
      </c>
      <c r="AF109" s="386">
        <f t="shared" si="75"/>
        <v>0</v>
      </c>
      <c r="AG109" s="386">
        <f t="shared" si="76"/>
        <v>0</v>
      </c>
      <c r="AH109" s="386">
        <f t="shared" si="77"/>
        <v>0</v>
      </c>
      <c r="AI109" s="386">
        <f t="shared" si="78"/>
        <v>0</v>
      </c>
      <c r="AJ109" s="386">
        <f t="shared" si="79"/>
        <v>36.955345784298416</v>
      </c>
      <c r="AK109" s="386">
        <f t="shared" si="80"/>
        <v>2.5948254058704188</v>
      </c>
      <c r="AL109" s="386">
        <f t="shared" si="81"/>
        <v>3.7363363104121228</v>
      </c>
      <c r="AM109">
        <f t="shared" si="82"/>
        <v>0</v>
      </c>
      <c r="AN109" s="386">
        <f t="shared" si="83"/>
        <v>13.161542891179906</v>
      </c>
      <c r="AO109" s="386">
        <f t="shared" si="84"/>
        <v>21.365020089686737</v>
      </c>
      <c r="AP109" s="386">
        <f t="shared" si="85"/>
        <v>0.86728175852216394</v>
      </c>
      <c r="AQ109" s="386">
        <f t="shared" si="86"/>
        <v>2.048</v>
      </c>
      <c r="AR109" s="386">
        <f t="shared" si="87"/>
        <v>3.5270753874085496</v>
      </c>
      <c r="AS109" s="386">
        <f t="shared" si="88"/>
        <v>10.38632149317775</v>
      </c>
      <c r="AT109" s="386">
        <f t="shared" si="89"/>
        <v>0</v>
      </c>
      <c r="AU109" s="386">
        <f t="shared" si="90"/>
        <v>0.95039999999999991</v>
      </c>
      <c r="AV109" s="386">
        <f t="shared" si="91"/>
        <v>4.0970927461111879</v>
      </c>
      <c r="AW109" s="386">
        <f t="shared" si="92"/>
        <v>0.249</v>
      </c>
      <c r="AX109" s="386">
        <f t="shared" si="93"/>
        <v>0.14400000000000002</v>
      </c>
      <c r="AY109" s="386">
        <f t="shared" si="94"/>
        <v>1.2671999999999999</v>
      </c>
      <c r="AZ109" s="386">
        <f t="shared" si="95"/>
        <v>0.10439999999999998</v>
      </c>
      <c r="BA109" s="386">
        <f t="shared" si="113"/>
        <v>1.4112</v>
      </c>
      <c r="BB109" s="386">
        <f t="shared" si="114"/>
        <v>-609.5127166163536</v>
      </c>
      <c r="BC109">
        <f t="shared" si="96"/>
        <v>480</v>
      </c>
      <c r="BD109" s="604">
        <f t="shared" si="107"/>
        <v>-3.706199765864461</v>
      </c>
      <c r="BE109" s="614">
        <f t="shared" si="97"/>
        <v>705.5971445589953</v>
      </c>
      <c r="BF109" s="614">
        <f t="shared" si="98"/>
        <v>176.35376937042747</v>
      </c>
      <c r="BG109" s="9"/>
      <c r="BH109" s="4">
        <f t="shared" si="108"/>
        <v>-370.61997658644611</v>
      </c>
      <c r="BI109" s="386">
        <f t="shared" si="109"/>
        <v>-623.87973226408599</v>
      </c>
      <c r="BJ109" s="386">
        <f t="shared" si="110"/>
        <v>7.997631753171305</v>
      </c>
      <c r="BK109" s="386">
        <f t="shared" si="111"/>
        <v>0.31363199999999997</v>
      </c>
      <c r="BL109" s="386">
        <f t="shared" si="112"/>
        <v>4.0970927461111879</v>
      </c>
      <c r="BR109" s="18"/>
      <c r="BS109" s="19"/>
    </row>
    <row r="110" spans="7:71" x14ac:dyDescent="0.3">
      <c r="G110">
        <v>101</v>
      </c>
      <c r="H110" s="610">
        <f t="shared" si="59"/>
        <v>12.574999999999999</v>
      </c>
      <c r="I110" s="4" t="str">
        <f t="shared" si="60"/>
        <v>BOOST</v>
      </c>
      <c r="J110">
        <f t="shared" si="99"/>
        <v>2</v>
      </c>
      <c r="K110">
        <f t="shared" si="61"/>
        <v>10</v>
      </c>
      <c r="L110" s="4">
        <f t="shared" si="62"/>
        <v>42.412193505632871</v>
      </c>
      <c r="M110" s="4">
        <f t="shared" si="63"/>
        <v>39.661635301271126</v>
      </c>
      <c r="N110" s="386">
        <f t="shared" si="64"/>
        <v>1</v>
      </c>
      <c r="O110" s="386">
        <f t="shared" si="115"/>
        <v>0.74786717884828346</v>
      </c>
      <c r="P110" s="4">
        <f t="shared" si="65"/>
        <v>4.5590794912615378</v>
      </c>
      <c r="Q110" s="386">
        <f t="shared" si="66"/>
        <v>42.432608433175744</v>
      </c>
      <c r="R110" s="386">
        <f t="shared" ref="R110:R173" si="116">(Q110^2*Rdcr*(1+Ltc*Ta-Ltc*25))/(1-Q110^2*Rdcr*Ltc*ThetaCa)</f>
        <v>-1519.4855298767015</v>
      </c>
      <c r="S110" s="386">
        <f t="shared" ref="S110:S173" si="117">7.759*10^-3*Fsw^0.9458*(0.00787*P110)^2.304</f>
        <v>1.0596439794446166</v>
      </c>
      <c r="T110" s="386">
        <f t="shared" ref="T110:T173" si="118">R110+S110</f>
        <v>-1518.4258858972569</v>
      </c>
      <c r="U110" s="4">
        <f t="shared" si="68"/>
        <v>17.371069233031658</v>
      </c>
      <c r="V110" s="386">
        <f t="shared" ref="V110:V173" si="119">RCoutEsr*U110^2</f>
        <v>0.60350809259755822</v>
      </c>
      <c r="W110" s="386">
        <f t="shared" ref="W110:W173" si="120">V110</f>
        <v>0.60350809259755822</v>
      </c>
      <c r="X110" s="386">
        <f t="shared" si="69"/>
        <v>1.3160928857683756</v>
      </c>
      <c r="Y110" s="386">
        <f t="shared" ref="Y110:Y173" si="121">RCinEsr*X110^2</f>
        <v>3.4642009679402607E-3</v>
      </c>
      <c r="Z110" s="603">
        <f t="shared" ref="Z110:Z173" si="122">Y110</f>
        <v>3.4642009679402607E-3</v>
      </c>
      <c r="AA110" s="386">
        <f t="shared" si="70"/>
        <v>42.432608433175744</v>
      </c>
      <c r="AB110" s="386">
        <f t="shared" si="71"/>
        <v>10.262999673126339</v>
      </c>
      <c r="AC110" s="386">
        <f t="shared" si="72"/>
        <v>0</v>
      </c>
      <c r="AD110">
        <f t="shared" si="73"/>
        <v>0</v>
      </c>
      <c r="AE110" s="386">
        <f t="shared" si="74"/>
        <v>-9.7501427992963272</v>
      </c>
      <c r="AF110" s="386">
        <f t="shared" si="75"/>
        <v>0</v>
      </c>
      <c r="AG110" s="386">
        <f t="shared" si="76"/>
        <v>0</v>
      </c>
      <c r="AH110" s="386">
        <f t="shared" si="77"/>
        <v>0</v>
      </c>
      <c r="AI110" s="386">
        <f t="shared" si="78"/>
        <v>0</v>
      </c>
      <c r="AJ110" s="386">
        <f t="shared" si="79"/>
        <v>36.695428779947292</v>
      </c>
      <c r="AK110" s="386">
        <f t="shared" si="80"/>
        <v>2.5584535373539499</v>
      </c>
      <c r="AL110" s="386">
        <f t="shared" si="81"/>
        <v>3.7140519984215934</v>
      </c>
      <c r="AM110">
        <f t="shared" si="82"/>
        <v>0</v>
      </c>
      <c r="AN110" s="386">
        <f t="shared" si="83"/>
        <v>12.845353614482631</v>
      </c>
      <c r="AO110" s="386">
        <f t="shared" si="84"/>
        <v>21.306613177580171</v>
      </c>
      <c r="AP110" s="386">
        <f t="shared" si="85"/>
        <v>0.86254635368816268</v>
      </c>
      <c r="AQ110" s="386">
        <f t="shared" si="86"/>
        <v>2.035785288270378</v>
      </c>
      <c r="AR110" s="386">
        <f t="shared" si="87"/>
        <v>3.5025548196076337</v>
      </c>
      <c r="AS110" s="386">
        <f t="shared" si="88"/>
        <v>10.262999673126339</v>
      </c>
      <c r="AT110" s="386">
        <f t="shared" si="89"/>
        <v>0</v>
      </c>
      <c r="AU110" s="386">
        <f t="shared" si="90"/>
        <v>0.95039999999999991</v>
      </c>
      <c r="AV110" s="386">
        <f t="shared" si="91"/>
        <v>4.0396634800325524</v>
      </c>
      <c r="AW110" s="386">
        <f t="shared" si="92"/>
        <v>0.249</v>
      </c>
      <c r="AX110" s="386">
        <f t="shared" si="93"/>
        <v>0.14400000000000002</v>
      </c>
      <c r="AY110" s="386">
        <f t="shared" si="94"/>
        <v>1.2671999999999999</v>
      </c>
      <c r="AZ110" s="386">
        <f t="shared" si="95"/>
        <v>0.10439999999999998</v>
      </c>
      <c r="BA110" s="386">
        <f t="shared" ref="BA110:BA173" si="123">SUM(AX110:AY110)</f>
        <v>1.4112</v>
      </c>
      <c r="BB110" s="386">
        <f t="shared" ref="BB110:BB173" si="124">SUM(T110,W110,Z110,AE110,AI110,AN110,AR110, AT110,AU110,BA110,AV110,AW110)</f>
        <v>-1504.570884488865</v>
      </c>
      <c r="BC110">
        <f t="shared" si="96"/>
        <v>480</v>
      </c>
      <c r="BD110" s="604">
        <f t="shared" ref="BD110:BD173" si="125">BC110/(BC110+BB110)</f>
        <v>-0.46848881543170245</v>
      </c>
      <c r="BE110" s="614">
        <f t="shared" si="97"/>
        <v>689.78768072413152</v>
      </c>
      <c r="BF110" s="614">
        <f t="shared" si="98"/>
        <v>175.12774098038167</v>
      </c>
      <c r="BG110" s="9"/>
      <c r="BH110" s="4">
        <f t="shared" ref="BH110:BH173" si="126">BD110*100</f>
        <v>-46.848881543170243</v>
      </c>
      <c r="BI110" s="386">
        <f t="shared" ref="BI110:BI173" si="127">T110</f>
        <v>-1518.4258858972569</v>
      </c>
      <c r="BJ110" s="386">
        <f t="shared" ref="BJ110:BJ173" si="128">AE110+AI110+AN110+AR110+AU110</f>
        <v>7.5481656347939374</v>
      </c>
      <c r="BK110" s="386">
        <f t="shared" ref="BK110:BK173" si="129">AI110+AU110*0.33</f>
        <v>0.31363199999999997</v>
      </c>
      <c r="BL110" s="386">
        <f t="shared" ref="BL110:BL173" si="130">AV110</f>
        <v>4.0396634800325524</v>
      </c>
    </row>
    <row r="111" spans="7:71" x14ac:dyDescent="0.3">
      <c r="G111">
        <v>102</v>
      </c>
      <c r="H111" s="610">
        <f t="shared" si="59"/>
        <v>12.65</v>
      </c>
      <c r="I111" s="4" t="str">
        <f t="shared" si="60"/>
        <v>BOOST</v>
      </c>
      <c r="J111">
        <f t="shared" si="99"/>
        <v>2</v>
      </c>
      <c r="K111">
        <f t="shared" si="61"/>
        <v>10</v>
      </c>
      <c r="L111" s="4">
        <f t="shared" si="62"/>
        <v>42.160737812911727</v>
      </c>
      <c r="M111" s="4">
        <f t="shared" si="63"/>
        <v>39.407627527642077</v>
      </c>
      <c r="N111" s="386">
        <f t="shared" si="64"/>
        <v>1</v>
      </c>
      <c r="O111" s="386">
        <f t="shared" si="115"/>
        <v>0.74624201893439024</v>
      </c>
      <c r="P111" s="4">
        <f t="shared" si="65"/>
        <v>4.5785668594279372</v>
      </c>
      <c r="Q111" s="386">
        <f t="shared" si="66"/>
        <v>42.181450336250954</v>
      </c>
      <c r="R111" s="386">
        <f t="shared" si="116"/>
        <v>3453.8115668934024</v>
      </c>
      <c r="S111" s="386">
        <f t="shared" si="117"/>
        <v>1.0701087004859782</v>
      </c>
      <c r="T111" s="386">
        <f t="shared" si="118"/>
        <v>3454.8816755938883</v>
      </c>
      <c r="U111" s="4">
        <f t="shared" si="68"/>
        <v>17.297792055881466</v>
      </c>
      <c r="V111" s="386">
        <f t="shared" si="119"/>
        <v>0.59842722001703197</v>
      </c>
      <c r="W111" s="386">
        <f t="shared" si="120"/>
        <v>0.59842722001703197</v>
      </c>
      <c r="X111" s="386">
        <f t="shared" si="69"/>
        <v>1.3217184043967096</v>
      </c>
      <c r="Y111" s="386">
        <f t="shared" si="121"/>
        <v>3.4938790810419679E-3</v>
      </c>
      <c r="Z111" s="603">
        <f t="shared" si="122"/>
        <v>3.4938790810419679E-3</v>
      </c>
      <c r="AA111" s="386">
        <f t="shared" si="70"/>
        <v>42.181450336250954</v>
      </c>
      <c r="AB111" s="386">
        <f t="shared" si="71"/>
        <v>10.141866089076753</v>
      </c>
      <c r="AC111" s="386">
        <f t="shared" si="72"/>
        <v>0</v>
      </c>
      <c r="AD111">
        <f t="shared" si="73"/>
        <v>0</v>
      </c>
      <c r="AE111" s="386">
        <f t="shared" si="74"/>
        <v>-9.8620480516031606</v>
      </c>
      <c r="AF111" s="386">
        <f t="shared" si="75"/>
        <v>0</v>
      </c>
      <c r="AG111" s="386">
        <f t="shared" si="76"/>
        <v>0</v>
      </c>
      <c r="AH111" s="386">
        <f t="shared" si="77"/>
        <v>0</v>
      </c>
      <c r="AI111" s="386">
        <f t="shared" si="78"/>
        <v>0</v>
      </c>
      <c r="AJ111" s="386">
        <f t="shared" si="79"/>
        <v>36.438572742657001</v>
      </c>
      <c r="AK111" s="386">
        <f t="shared" si="80"/>
        <v>2.522762208691621</v>
      </c>
      <c r="AL111" s="386">
        <f t="shared" si="81"/>
        <v>3.6920319272847064</v>
      </c>
      <c r="AM111">
        <f t="shared" si="82"/>
        <v>0</v>
      </c>
      <c r="AN111" s="386">
        <f t="shared" si="83"/>
        <v>12.543798091934322</v>
      </c>
      <c r="AO111" s="386">
        <f t="shared" si="84"/>
        <v>21.248650991244119</v>
      </c>
      <c r="AP111" s="386">
        <f t="shared" si="85"/>
        <v>0.85785982100062941</v>
      </c>
      <c r="AQ111" s="386">
        <f t="shared" si="86"/>
        <v>2.0237154150197627</v>
      </c>
      <c r="AR111" s="386">
        <f t="shared" si="87"/>
        <v>3.4783651826053159</v>
      </c>
      <c r="AS111" s="386">
        <f t="shared" si="88"/>
        <v>10.141866089076753</v>
      </c>
      <c r="AT111" s="386">
        <f t="shared" si="89"/>
        <v>0</v>
      </c>
      <c r="AU111" s="386">
        <f t="shared" si="90"/>
        <v>0.95039999999999991</v>
      </c>
      <c r="AV111" s="386">
        <f t="shared" si="91"/>
        <v>3.9833087505657176</v>
      </c>
      <c r="AW111" s="386">
        <f t="shared" si="92"/>
        <v>0.249</v>
      </c>
      <c r="AX111" s="386">
        <f t="shared" si="93"/>
        <v>0.14400000000000002</v>
      </c>
      <c r="AY111" s="386">
        <f t="shared" si="94"/>
        <v>1.2671999999999999</v>
      </c>
      <c r="AZ111" s="386">
        <f t="shared" si="95"/>
        <v>0.10439999999999998</v>
      </c>
      <c r="BA111" s="386">
        <f t="shared" si="123"/>
        <v>1.4112</v>
      </c>
      <c r="BB111" s="386">
        <f t="shared" si="124"/>
        <v>3468.2376206664881</v>
      </c>
      <c r="BC111">
        <f t="shared" si="96"/>
        <v>480</v>
      </c>
      <c r="BD111" s="604">
        <f t="shared" si="125"/>
        <v>0.12157322991086157</v>
      </c>
      <c r="BE111" s="614">
        <f t="shared" si="97"/>
        <v>674.70990459671611</v>
      </c>
      <c r="BF111" s="614">
        <f t="shared" si="98"/>
        <v>173.9182591302658</v>
      </c>
      <c r="BG111" s="9"/>
      <c r="BH111" s="4">
        <f t="shared" si="126"/>
        <v>12.157322991086158</v>
      </c>
      <c r="BI111" s="386">
        <f t="shared" si="127"/>
        <v>3454.8816755938883</v>
      </c>
      <c r="BJ111" s="386">
        <f t="shared" si="128"/>
        <v>7.1105152229364776</v>
      </c>
      <c r="BK111" s="386">
        <f t="shared" si="129"/>
        <v>0.31363199999999997</v>
      </c>
      <c r="BL111" s="386">
        <f t="shared" si="130"/>
        <v>3.9833087505657176</v>
      </c>
    </row>
    <row r="112" spans="7:71" x14ac:dyDescent="0.3">
      <c r="G112">
        <v>103</v>
      </c>
      <c r="H112" s="610">
        <f t="shared" si="59"/>
        <v>12.725000000000001</v>
      </c>
      <c r="I112" s="4" t="str">
        <f t="shared" si="60"/>
        <v>BOOST</v>
      </c>
      <c r="J112">
        <f t="shared" si="99"/>
        <v>2</v>
      </c>
      <c r="K112">
        <f t="shared" si="61"/>
        <v>10</v>
      </c>
      <c r="L112" s="4">
        <f t="shared" si="62"/>
        <v>41.91224623444662</v>
      </c>
      <c r="M112" s="4">
        <f t="shared" si="63"/>
        <v>39.156966117151121</v>
      </c>
      <c r="N112" s="386">
        <f t="shared" si="64"/>
        <v>1</v>
      </c>
      <c r="O112" s="386">
        <f t="shared" si="115"/>
        <v>0.74461759958415408</v>
      </c>
      <c r="P112" s="4">
        <f t="shared" si="65"/>
        <v>4.5979175051088417</v>
      </c>
      <c r="Q112" s="386">
        <f t="shared" si="66"/>
        <v>41.933257940830217</v>
      </c>
      <c r="R112" s="386">
        <f t="shared" si="116"/>
        <v>804.65091557648043</v>
      </c>
      <c r="S112" s="386">
        <f t="shared" si="117"/>
        <v>1.080557631687592</v>
      </c>
      <c r="T112" s="386">
        <f t="shared" si="118"/>
        <v>805.73147320816804</v>
      </c>
      <c r="U112" s="4">
        <f t="shared" si="68"/>
        <v>17.225166243301381</v>
      </c>
      <c r="V112" s="386">
        <f t="shared" si="119"/>
        <v>0.59341270421873882</v>
      </c>
      <c r="W112" s="386">
        <f t="shared" si="120"/>
        <v>0.59341270421873882</v>
      </c>
      <c r="X112" s="386">
        <f t="shared" si="69"/>
        <v>1.3273044546431412</v>
      </c>
      <c r="Y112" s="386">
        <f t="shared" si="121"/>
        <v>3.5234742306310528E-3</v>
      </c>
      <c r="Z112" s="603">
        <f t="shared" si="122"/>
        <v>3.5234742306310528E-3</v>
      </c>
      <c r="AA112" s="386">
        <f t="shared" si="70"/>
        <v>41.933257940830217</v>
      </c>
      <c r="AB112" s="386">
        <f t="shared" si="71"/>
        <v>10.022869292733542</v>
      </c>
      <c r="AC112" s="386">
        <f t="shared" si="72"/>
        <v>0</v>
      </c>
      <c r="AD112">
        <f t="shared" si="73"/>
        <v>0</v>
      </c>
      <c r="AE112" s="386">
        <f t="shared" si="74"/>
        <v>-9.9772348319250241</v>
      </c>
      <c r="AF112" s="386">
        <f t="shared" si="75"/>
        <v>0</v>
      </c>
      <c r="AG112" s="386">
        <f t="shared" si="76"/>
        <v>0</v>
      </c>
      <c r="AH112" s="386">
        <f t="shared" si="77"/>
        <v>0</v>
      </c>
      <c r="AI112" s="386">
        <f t="shared" si="78"/>
        <v>0</v>
      </c>
      <c r="AJ112" s="386">
        <f t="shared" si="79"/>
        <v>36.184723135165655</v>
      </c>
      <c r="AK112" s="386">
        <f t="shared" si="80"/>
        <v>2.4877349579003258</v>
      </c>
      <c r="AL112" s="386">
        <f t="shared" si="81"/>
        <v>3.670271424766328</v>
      </c>
      <c r="AM112">
        <f t="shared" si="82"/>
        <v>0</v>
      </c>
      <c r="AN112" s="386">
        <f t="shared" si="83"/>
        <v>12.255885186222194</v>
      </c>
      <c r="AO112" s="386">
        <f t="shared" si="84"/>
        <v>21.191128642986612</v>
      </c>
      <c r="AP112" s="386">
        <f t="shared" si="85"/>
        <v>0.85322147301085449</v>
      </c>
      <c r="AQ112" s="386">
        <f t="shared" si="86"/>
        <v>2.011787819253438</v>
      </c>
      <c r="AR112" s="386">
        <f t="shared" si="87"/>
        <v>3.454500009606845</v>
      </c>
      <c r="AS112" s="386">
        <f t="shared" si="88"/>
        <v>10.022869292733542</v>
      </c>
      <c r="AT112" s="386">
        <f t="shared" si="89"/>
        <v>0</v>
      </c>
      <c r="AU112" s="386">
        <f t="shared" si="90"/>
        <v>0.95039999999999991</v>
      </c>
      <c r="AV112" s="386">
        <f t="shared" si="91"/>
        <v>3.9280025651057779</v>
      </c>
      <c r="AW112" s="386">
        <f t="shared" si="92"/>
        <v>0.249</v>
      </c>
      <c r="AX112" s="386">
        <f t="shared" si="93"/>
        <v>0.14400000000000002</v>
      </c>
      <c r="AY112" s="386">
        <f t="shared" si="94"/>
        <v>1.2671999999999999</v>
      </c>
      <c r="AZ112" s="386">
        <f t="shared" si="95"/>
        <v>0.10439999999999998</v>
      </c>
      <c r="BA112" s="386">
        <f t="shared" si="123"/>
        <v>1.4112</v>
      </c>
      <c r="BB112" s="386">
        <f t="shared" si="124"/>
        <v>818.60016231562713</v>
      </c>
      <c r="BC112">
        <f t="shared" si="96"/>
        <v>480</v>
      </c>
      <c r="BD112" s="604">
        <f t="shared" si="125"/>
        <v>0.36962878484789158</v>
      </c>
      <c r="BE112" s="614">
        <f t="shared" si="97"/>
        <v>660.31425931110971</v>
      </c>
      <c r="BF112" s="614">
        <f t="shared" si="98"/>
        <v>172.72500048034226</v>
      </c>
      <c r="BG112" s="9"/>
      <c r="BH112" s="4">
        <f t="shared" si="126"/>
        <v>36.962878484789158</v>
      </c>
      <c r="BI112" s="386">
        <f t="shared" si="127"/>
        <v>805.73147320816804</v>
      </c>
      <c r="BJ112" s="386">
        <f t="shared" si="128"/>
        <v>6.6835503639040148</v>
      </c>
      <c r="BK112" s="386">
        <f t="shared" si="129"/>
        <v>0.31363199999999997</v>
      </c>
      <c r="BL112" s="386">
        <f t="shared" si="130"/>
        <v>3.9280025651057779</v>
      </c>
    </row>
    <row r="113" spans="7:64" x14ac:dyDescent="0.3">
      <c r="G113">
        <v>104</v>
      </c>
      <c r="H113" s="610">
        <f t="shared" si="59"/>
        <v>12.8</v>
      </c>
      <c r="I113" s="4" t="str">
        <f t="shared" si="60"/>
        <v>BOOST</v>
      </c>
      <c r="J113">
        <f t="shared" si="99"/>
        <v>2</v>
      </c>
      <c r="K113">
        <f t="shared" si="61"/>
        <v>10</v>
      </c>
      <c r="L113" s="4">
        <f t="shared" si="62"/>
        <v>41.666666666666664</v>
      </c>
      <c r="M113" s="4">
        <f t="shared" si="63"/>
        <v>38.909583474432758</v>
      </c>
      <c r="N113" s="386">
        <f t="shared" si="64"/>
        <v>1</v>
      </c>
      <c r="O113" s="386">
        <f t="shared" si="115"/>
        <v>0.74299390774586582</v>
      </c>
      <c r="P113" s="4">
        <f t="shared" si="65"/>
        <v>4.6171317541530765</v>
      </c>
      <c r="Q113" s="386">
        <f t="shared" si="66"/>
        <v>41.687979121653022</v>
      </c>
      <c r="R113" s="386">
        <f t="shared" si="116"/>
        <v>454.21496788165206</v>
      </c>
      <c r="S113" s="386">
        <f t="shared" si="117"/>
        <v>1.0909898060819465</v>
      </c>
      <c r="T113" s="386">
        <f t="shared" si="118"/>
        <v>455.30595768773401</v>
      </c>
      <c r="U113" s="4">
        <f t="shared" si="68"/>
        <v>17.15318044896739</v>
      </c>
      <c r="V113" s="386">
        <f t="shared" si="119"/>
        <v>0.58846319902967426</v>
      </c>
      <c r="W113" s="386">
        <f t="shared" si="120"/>
        <v>0.58846319902967426</v>
      </c>
      <c r="X113" s="386">
        <f t="shared" si="69"/>
        <v>1.332851130572124</v>
      </c>
      <c r="Y113" s="386">
        <f t="shared" si="121"/>
        <v>3.5529842725347781E-3</v>
      </c>
      <c r="Z113" s="603">
        <f t="shared" si="122"/>
        <v>3.5529842725347781E-3</v>
      </c>
      <c r="AA113" s="386">
        <f t="shared" si="70"/>
        <v>41.687979121653022</v>
      </c>
      <c r="AB113" s="386">
        <f t="shared" si="71"/>
        <v>9.9059593385100566</v>
      </c>
      <c r="AC113" s="386">
        <f t="shared" si="72"/>
        <v>0</v>
      </c>
      <c r="AD113">
        <f t="shared" si="73"/>
        <v>0</v>
      </c>
      <c r="AE113" s="386">
        <f t="shared" si="74"/>
        <v>-10.095843294859534</v>
      </c>
      <c r="AF113" s="386">
        <f t="shared" si="75"/>
        <v>0</v>
      </c>
      <c r="AG113" s="386">
        <f t="shared" si="76"/>
        <v>0</v>
      </c>
      <c r="AH113" s="386">
        <f t="shared" si="77"/>
        <v>0</v>
      </c>
      <c r="AI113" s="386">
        <f t="shared" si="78"/>
        <v>0</v>
      </c>
      <c r="AJ113" s="386">
        <f t="shared" si="79"/>
        <v>35.933826703537527</v>
      </c>
      <c r="AK113" s="386">
        <f t="shared" si="80"/>
        <v>2.4533558129637467</v>
      </c>
      <c r="AL113" s="386">
        <f t="shared" si="81"/>
        <v>3.648765928136839</v>
      </c>
      <c r="AM113">
        <f t="shared" si="82"/>
        <v>0</v>
      </c>
      <c r="AN113" s="386">
        <f t="shared" si="83"/>
        <v>11.980711267328916</v>
      </c>
      <c r="AO113" s="386">
        <f t="shared" si="84"/>
        <v>21.134041300411806</v>
      </c>
      <c r="AP113" s="386">
        <f t="shared" si="85"/>
        <v>0.84863063320627263</v>
      </c>
      <c r="AQ113" s="386">
        <f t="shared" si="86"/>
        <v>2</v>
      </c>
      <c r="AR113" s="386">
        <f t="shared" si="87"/>
        <v>3.4309529958862548</v>
      </c>
      <c r="AS113" s="386">
        <f t="shared" si="88"/>
        <v>9.9059593385100566</v>
      </c>
      <c r="AT113" s="386">
        <f t="shared" si="89"/>
        <v>0</v>
      </c>
      <c r="AU113" s="386">
        <f t="shared" si="90"/>
        <v>0.95039999999999991</v>
      </c>
      <c r="AV113" s="386">
        <f t="shared" si="91"/>
        <v>3.8737197046795999</v>
      </c>
      <c r="AW113" s="386">
        <f t="shared" si="92"/>
        <v>0.249</v>
      </c>
      <c r="AX113" s="386">
        <f t="shared" si="93"/>
        <v>0.14400000000000002</v>
      </c>
      <c r="AY113" s="386">
        <f t="shared" si="94"/>
        <v>1.2671999999999999</v>
      </c>
      <c r="AZ113" s="386">
        <f t="shared" si="95"/>
        <v>0.10439999999999998</v>
      </c>
      <c r="BA113" s="386">
        <f t="shared" si="123"/>
        <v>1.4112</v>
      </c>
      <c r="BB113" s="386">
        <f t="shared" si="124"/>
        <v>467.69811454407142</v>
      </c>
      <c r="BC113">
        <f t="shared" si="96"/>
        <v>480</v>
      </c>
      <c r="BD113" s="604">
        <f t="shared" si="125"/>
        <v>0.50649040304456394</v>
      </c>
      <c r="BE113" s="614">
        <f t="shared" si="97"/>
        <v>646.55556336644577</v>
      </c>
      <c r="BF113" s="614">
        <f t="shared" si="98"/>
        <v>171.54764979431275</v>
      </c>
      <c r="BG113" s="9"/>
      <c r="BH113" s="4">
        <f t="shared" si="126"/>
        <v>50.649040304456392</v>
      </c>
      <c r="BI113" s="386">
        <f t="shared" si="127"/>
        <v>455.30595768773401</v>
      </c>
      <c r="BJ113" s="386">
        <f t="shared" si="128"/>
        <v>6.2662209683556362</v>
      </c>
      <c r="BK113" s="386">
        <f t="shared" si="129"/>
        <v>0.31363199999999997</v>
      </c>
      <c r="BL113" s="386">
        <f t="shared" si="130"/>
        <v>3.8737197046795999</v>
      </c>
    </row>
    <row r="114" spans="7:64" x14ac:dyDescent="0.3">
      <c r="G114">
        <v>105</v>
      </c>
      <c r="H114" s="610">
        <f t="shared" si="59"/>
        <v>12.875</v>
      </c>
      <c r="I114" s="4" t="str">
        <f t="shared" si="60"/>
        <v>BOOST</v>
      </c>
      <c r="J114">
        <f t="shared" si="99"/>
        <v>2</v>
      </c>
      <c r="K114">
        <f t="shared" si="61"/>
        <v>10</v>
      </c>
      <c r="L114" s="4">
        <f t="shared" si="62"/>
        <v>41.423948220064723</v>
      </c>
      <c r="M114" s="4">
        <f t="shared" si="63"/>
        <v>38.665413853172517</v>
      </c>
      <c r="N114" s="386">
        <f t="shared" si="64"/>
        <v>1</v>
      </c>
      <c r="O114" s="386">
        <f t="shared" si="115"/>
        <v>0.74137093067272331</v>
      </c>
      <c r="P114" s="4">
        <f t="shared" si="65"/>
        <v>4.6362099247409807</v>
      </c>
      <c r="Q114" s="386">
        <f t="shared" si="66"/>
        <v>41.445562967312419</v>
      </c>
      <c r="R114" s="386">
        <f t="shared" si="116"/>
        <v>315.85482810660108</v>
      </c>
      <c r="S114" s="386">
        <f t="shared" si="117"/>
        <v>1.1014042616321422</v>
      </c>
      <c r="T114" s="386">
        <f t="shared" si="118"/>
        <v>316.9562323682332</v>
      </c>
      <c r="U114" s="4">
        <f t="shared" si="68"/>
        <v>17.081823603040203</v>
      </c>
      <c r="V114" s="386">
        <f t="shared" si="119"/>
        <v>0.58357739521076268</v>
      </c>
      <c r="W114" s="386">
        <f t="shared" si="120"/>
        <v>0.58357739521076268</v>
      </c>
      <c r="X114" s="386">
        <f t="shared" si="69"/>
        <v>1.33835852403441</v>
      </c>
      <c r="Y114" s="386">
        <f t="shared" si="121"/>
        <v>3.5824070777111289E-3</v>
      </c>
      <c r="Z114" s="603">
        <f t="shared" si="122"/>
        <v>3.5824070777111289E-3</v>
      </c>
      <c r="AA114" s="386">
        <f t="shared" si="70"/>
        <v>41.445562967312419</v>
      </c>
      <c r="AB114" s="386">
        <f t="shared" si="71"/>
        <v>9.7910877311615145</v>
      </c>
      <c r="AC114" s="386">
        <f t="shared" si="72"/>
        <v>0</v>
      </c>
      <c r="AD114">
        <f t="shared" si="73"/>
        <v>0</v>
      </c>
      <c r="AE114" s="386">
        <f t="shared" si="74"/>
        <v>-10.218021752638453</v>
      </c>
      <c r="AF114" s="386">
        <f t="shared" si="75"/>
        <v>0</v>
      </c>
      <c r="AG114" s="386">
        <f t="shared" si="76"/>
        <v>0</v>
      </c>
      <c r="AH114" s="386">
        <f t="shared" si="77"/>
        <v>0</v>
      </c>
      <c r="AI114" s="386">
        <f t="shared" si="78"/>
        <v>0</v>
      </c>
      <c r="AJ114" s="386">
        <f t="shared" si="79"/>
        <v>35.685831439592363</v>
      </c>
      <c r="AK114" s="386">
        <f t="shared" si="80"/>
        <v>2.4196092745164979</v>
      </c>
      <c r="AL114" s="386">
        <f t="shared" si="81"/>
        <v>3.6275109809826436</v>
      </c>
      <c r="AM114">
        <f t="shared" si="82"/>
        <v>0</v>
      </c>
      <c r="AN114" s="386">
        <f t="shared" si="83"/>
        <v>11.717450763907195</v>
      </c>
      <c r="AO114" s="386">
        <f t="shared" si="84"/>
        <v>21.077384186432138</v>
      </c>
      <c r="AP114" s="386">
        <f t="shared" si="85"/>
        <v>0.84408663587067312</v>
      </c>
      <c r="AQ114" s="386">
        <f t="shared" si="86"/>
        <v>1.9883495145631067</v>
      </c>
      <c r="AR114" s="386">
        <f t="shared" si="87"/>
        <v>3.4077179939327027</v>
      </c>
      <c r="AS114" s="386">
        <f t="shared" si="88"/>
        <v>9.7910877311615145</v>
      </c>
      <c r="AT114" s="386">
        <f t="shared" si="89"/>
        <v>0</v>
      </c>
      <c r="AU114" s="386">
        <f t="shared" si="90"/>
        <v>0.95039999999999991</v>
      </c>
      <c r="AV114" s="386">
        <f t="shared" si="91"/>
        <v>3.8204356966049966</v>
      </c>
      <c r="AW114" s="386">
        <f t="shared" si="92"/>
        <v>0.249</v>
      </c>
      <c r="AX114" s="386">
        <f t="shared" si="93"/>
        <v>0.14400000000000002</v>
      </c>
      <c r="AY114" s="386">
        <f t="shared" si="94"/>
        <v>1.2671999999999999</v>
      </c>
      <c r="AZ114" s="386">
        <f t="shared" si="95"/>
        <v>0.10439999999999998</v>
      </c>
      <c r="BA114" s="386">
        <f t="shared" si="123"/>
        <v>1.4112</v>
      </c>
      <c r="BB114" s="386">
        <f t="shared" si="124"/>
        <v>328.88157487232814</v>
      </c>
      <c r="BC114">
        <f t="shared" si="96"/>
        <v>480</v>
      </c>
      <c r="BD114" s="604">
        <f t="shared" si="125"/>
        <v>0.59341195906923949</v>
      </c>
      <c r="BE114" s="614">
        <f t="shared" si="97"/>
        <v>633.39253819535975</v>
      </c>
      <c r="BF114" s="614">
        <f t="shared" si="98"/>
        <v>170.38589969663514</v>
      </c>
      <c r="BG114" s="9"/>
      <c r="BH114" s="4">
        <f t="shared" si="126"/>
        <v>59.34119590692395</v>
      </c>
      <c r="BI114" s="386">
        <f t="shared" si="127"/>
        <v>316.9562323682332</v>
      </c>
      <c r="BJ114" s="386">
        <f t="shared" si="128"/>
        <v>5.8575470052014449</v>
      </c>
      <c r="BK114" s="386">
        <f t="shared" si="129"/>
        <v>0.31363199999999997</v>
      </c>
      <c r="BL114" s="386">
        <f t="shared" si="130"/>
        <v>3.8204356966049966</v>
      </c>
    </row>
    <row r="115" spans="7:64" x14ac:dyDescent="0.3">
      <c r="G115">
        <v>106</v>
      </c>
      <c r="H115" s="610">
        <f t="shared" si="59"/>
        <v>12.95</v>
      </c>
      <c r="I115" s="4" t="str">
        <f t="shared" si="60"/>
        <v>BOOST</v>
      </c>
      <c r="J115">
        <f t="shared" si="99"/>
        <v>2</v>
      </c>
      <c r="K115">
        <f t="shared" si="61"/>
        <v>10</v>
      </c>
      <c r="L115" s="4">
        <f t="shared" si="62"/>
        <v>41.184041184041185</v>
      </c>
      <c r="M115" s="4">
        <f t="shared" si="63"/>
        <v>38.424393292257818</v>
      </c>
      <c r="N115" s="386">
        <f t="shared" si="64"/>
        <v>1</v>
      </c>
      <c r="O115" s="386">
        <f t="shared" si="115"/>
        <v>0.73974865591397865</v>
      </c>
      <c r="P115" s="4">
        <f t="shared" si="65"/>
        <v>4.6551523276086462</v>
      </c>
      <c r="Q115" s="386">
        <f t="shared" si="66"/>
        <v>41.205959745101239</v>
      </c>
      <c r="R115" s="386">
        <f t="shared" si="116"/>
        <v>241.77914352565915</v>
      </c>
      <c r="S115" s="386">
        <f t="shared" si="117"/>
        <v>1.1118000412578992</v>
      </c>
      <c r="T115" s="386">
        <f t="shared" si="118"/>
        <v>242.89094356691706</v>
      </c>
      <c r="U115" s="4">
        <f t="shared" si="68"/>
        <v>17.011084903392547</v>
      </c>
      <c r="V115" s="386">
        <f t="shared" si="119"/>
        <v>0.57875401918085956</v>
      </c>
      <c r="W115" s="386">
        <f t="shared" si="120"/>
        <v>0.57875401918085956</v>
      </c>
      <c r="X115" s="386">
        <f t="shared" si="69"/>
        <v>1.3438267247317826</v>
      </c>
      <c r="Y115" s="386">
        <f t="shared" si="121"/>
        <v>3.6117405322067002E-3</v>
      </c>
      <c r="Z115" s="603">
        <f t="shared" si="122"/>
        <v>3.6117405322067002E-3</v>
      </c>
      <c r="AA115" s="386">
        <f t="shared" si="70"/>
        <v>41.205959745101239</v>
      </c>
      <c r="AB115" s="386">
        <f t="shared" si="71"/>
        <v>9.6782073755349511</v>
      </c>
      <c r="AC115" s="386">
        <f t="shared" si="72"/>
        <v>0</v>
      </c>
      <c r="AD115">
        <f t="shared" si="73"/>
        <v>0</v>
      </c>
      <c r="AE115" s="386">
        <f t="shared" si="74"/>
        <v>-10.343927276661448</v>
      </c>
      <c r="AF115" s="386">
        <f t="shared" si="75"/>
        <v>0</v>
      </c>
      <c r="AG115" s="386">
        <f t="shared" si="76"/>
        <v>0</v>
      </c>
      <c r="AH115" s="386">
        <f t="shared" si="77"/>
        <v>0</v>
      </c>
      <c r="AI115" s="386">
        <f t="shared" si="78"/>
        <v>0</v>
      </c>
      <c r="AJ115" s="386">
        <f t="shared" si="79"/>
        <v>35.440686544646937</v>
      </c>
      <c r="AK115" s="386">
        <f t="shared" si="80"/>
        <v>2.3864802992362453</v>
      </c>
      <c r="AL115" s="386">
        <f t="shared" si="81"/>
        <v>3.606502230127532</v>
      </c>
      <c r="AM115">
        <f t="shared" si="82"/>
        <v>0</v>
      </c>
      <c r="AN115" s="386">
        <f t="shared" si="83"/>
        <v>11.465347913031676</v>
      </c>
      <c r="AO115" s="386">
        <f t="shared" si="84"/>
        <v>21.021152579223273</v>
      </c>
      <c r="AP115" s="386">
        <f t="shared" si="85"/>
        <v>0.83958882594207196</v>
      </c>
      <c r="AQ115" s="386">
        <f t="shared" si="86"/>
        <v>1.9768339768339769</v>
      </c>
      <c r="AR115" s="386">
        <f t="shared" si="87"/>
        <v>3.3847890087616062</v>
      </c>
      <c r="AS115" s="386">
        <f t="shared" si="88"/>
        <v>9.6782073755349511</v>
      </c>
      <c r="AT115" s="386">
        <f t="shared" si="89"/>
        <v>0</v>
      </c>
      <c r="AU115" s="386">
        <f t="shared" si="90"/>
        <v>0.95039999999999991</v>
      </c>
      <c r="AV115" s="386">
        <f t="shared" si="91"/>
        <v>3.7681267882677556</v>
      </c>
      <c r="AW115" s="386">
        <f t="shared" si="92"/>
        <v>0.249</v>
      </c>
      <c r="AX115" s="386">
        <f t="shared" si="93"/>
        <v>0.14400000000000002</v>
      </c>
      <c r="AY115" s="386">
        <f t="shared" si="94"/>
        <v>1.2671999999999999</v>
      </c>
      <c r="AZ115" s="386">
        <f t="shared" si="95"/>
        <v>0.10439999999999998</v>
      </c>
      <c r="BA115" s="386">
        <f t="shared" si="123"/>
        <v>1.4112</v>
      </c>
      <c r="BB115" s="386">
        <f t="shared" si="124"/>
        <v>254.35824576002969</v>
      </c>
      <c r="BC115">
        <f t="shared" si="96"/>
        <v>480</v>
      </c>
      <c r="BD115" s="604">
        <f t="shared" si="125"/>
        <v>0.65363193342129677</v>
      </c>
      <c r="BE115" s="614">
        <f t="shared" si="97"/>
        <v>620.78739565158378</v>
      </c>
      <c r="BF115" s="614">
        <f t="shared" si="98"/>
        <v>169.2394504380803</v>
      </c>
      <c r="BG115" s="9"/>
      <c r="BH115" s="4">
        <f t="shared" si="126"/>
        <v>65.363193342129676</v>
      </c>
      <c r="BI115" s="386">
        <f t="shared" si="127"/>
        <v>242.89094356691706</v>
      </c>
      <c r="BJ115" s="386">
        <f t="shared" si="128"/>
        <v>5.4566096451318344</v>
      </c>
      <c r="BK115" s="386">
        <f t="shared" si="129"/>
        <v>0.31363199999999997</v>
      </c>
      <c r="BL115" s="386">
        <f t="shared" si="130"/>
        <v>3.7681267882677556</v>
      </c>
    </row>
    <row r="116" spans="7:64" x14ac:dyDescent="0.3">
      <c r="G116">
        <v>107</v>
      </c>
      <c r="H116" s="610">
        <f t="shared" si="59"/>
        <v>13.025</v>
      </c>
      <c r="I116" s="4" t="str">
        <f t="shared" si="60"/>
        <v>BOOST</v>
      </c>
      <c r="J116">
        <f t="shared" si="99"/>
        <v>2</v>
      </c>
      <c r="K116">
        <f t="shared" si="61"/>
        <v>10</v>
      </c>
      <c r="L116" s="4">
        <f t="shared" si="62"/>
        <v>40.946896992962252</v>
      </c>
      <c r="M116" s="4">
        <f t="shared" si="63"/>
        <v>38.186459554588261</v>
      </c>
      <c r="N116" s="386">
        <f t="shared" si="64"/>
        <v>1</v>
      </c>
      <c r="O116" s="386">
        <f t="shared" si="115"/>
        <v>0.73812707130639299</v>
      </c>
      <c r="P116" s="4">
        <f t="shared" si="65"/>
        <v>4.6739592662643545</v>
      </c>
      <c r="Q116" s="386">
        <f t="shared" si="66"/>
        <v>40.969120867072796</v>
      </c>
      <c r="R116" s="386">
        <f t="shared" si="116"/>
        <v>195.63409415377396</v>
      </c>
      <c r="S116" s="386">
        <f t="shared" si="117"/>
        <v>1.1221761928616987</v>
      </c>
      <c r="T116" s="386">
        <f t="shared" si="118"/>
        <v>196.75627034663566</v>
      </c>
      <c r="U116" s="4">
        <f t="shared" si="68"/>
        <v>16.940953807178399</v>
      </c>
      <c r="V116" s="386">
        <f t="shared" si="119"/>
        <v>0.57399183179390456</v>
      </c>
      <c r="W116" s="386">
        <f t="shared" si="120"/>
        <v>0.57399183179390456</v>
      </c>
      <c r="X116" s="386">
        <f t="shared" si="69"/>
        <v>1.3492558202795355</v>
      </c>
      <c r="Y116" s="386">
        <f t="shared" si="121"/>
        <v>3.6409825371164044E-3</v>
      </c>
      <c r="Z116" s="603">
        <f t="shared" si="122"/>
        <v>3.6409825371164044E-3</v>
      </c>
      <c r="AA116" s="386">
        <f t="shared" si="70"/>
        <v>40.969120867072796</v>
      </c>
      <c r="AB116" s="386">
        <f t="shared" si="71"/>
        <v>9.5672725283386733</v>
      </c>
      <c r="AC116" s="386">
        <f t="shared" si="72"/>
        <v>0</v>
      </c>
      <c r="AD116">
        <f t="shared" si="73"/>
        <v>0</v>
      </c>
      <c r="AE116" s="386">
        <f t="shared" si="74"/>
        <v>-10.473726353065612</v>
      </c>
      <c r="AF116" s="386">
        <f t="shared" si="75"/>
        <v>0</v>
      </c>
      <c r="AG116" s="386">
        <f t="shared" si="76"/>
        <v>0</v>
      </c>
      <c r="AH116" s="386">
        <f t="shared" si="77"/>
        <v>0</v>
      </c>
      <c r="AI116" s="386">
        <f t="shared" si="78"/>
        <v>0</v>
      </c>
      <c r="AJ116" s="386">
        <f t="shared" si="79"/>
        <v>35.198342394515286</v>
      </c>
      <c r="AK116" s="386">
        <f t="shared" si="80"/>
        <v>2.3539542839109111</v>
      </c>
      <c r="AL116" s="386">
        <f t="shared" si="81"/>
        <v>3.5857354226603868</v>
      </c>
      <c r="AM116">
        <f t="shared" si="82"/>
        <v>0</v>
      </c>
      <c r="AN116" s="386">
        <f t="shared" si="83"/>
        <v>11.223709534675544</v>
      </c>
      <c r="AO116" s="386">
        <f t="shared" si="84"/>
        <v>20.965341812126209</v>
      </c>
      <c r="AP116" s="386">
        <f t="shared" si="85"/>
        <v>0.83513655886864613</v>
      </c>
      <c r="AQ116" s="386">
        <f t="shared" si="86"/>
        <v>1.965451055662188</v>
      </c>
      <c r="AR116" s="386">
        <f t="shared" si="87"/>
        <v>3.3621601933844869</v>
      </c>
      <c r="AS116" s="386">
        <f t="shared" si="88"/>
        <v>9.5672725283386733</v>
      </c>
      <c r="AT116" s="386">
        <f t="shared" si="89"/>
        <v>0</v>
      </c>
      <c r="AU116" s="386">
        <f t="shared" si="90"/>
        <v>0.95039999999999991</v>
      </c>
      <c r="AV116" s="386">
        <f t="shared" si="91"/>
        <v>3.7167699219645964</v>
      </c>
      <c r="AW116" s="386">
        <f t="shared" si="92"/>
        <v>0.249</v>
      </c>
      <c r="AX116" s="386">
        <f t="shared" si="93"/>
        <v>0.14400000000000002</v>
      </c>
      <c r="AY116" s="386">
        <f t="shared" si="94"/>
        <v>1.2671999999999999</v>
      </c>
      <c r="AZ116" s="386">
        <f t="shared" si="95"/>
        <v>0.10439999999999998</v>
      </c>
      <c r="BA116" s="386">
        <f t="shared" si="123"/>
        <v>1.4112</v>
      </c>
      <c r="BB116" s="386">
        <f t="shared" si="124"/>
        <v>207.77341645792569</v>
      </c>
      <c r="BC116">
        <f t="shared" si="96"/>
        <v>480</v>
      </c>
      <c r="BD116" s="604">
        <f t="shared" si="125"/>
        <v>0.69790426398279359</v>
      </c>
      <c r="BE116" s="614">
        <f t="shared" si="97"/>
        <v>608.70547673377723</v>
      </c>
      <c r="BF116" s="614">
        <f t="shared" si="98"/>
        <v>168.10800966922434</v>
      </c>
      <c r="BG116" s="9"/>
      <c r="BH116" s="4">
        <f t="shared" si="126"/>
        <v>69.790426398279365</v>
      </c>
      <c r="BI116" s="386">
        <f t="shared" si="127"/>
        <v>196.75627034663566</v>
      </c>
      <c r="BJ116" s="386">
        <f t="shared" si="128"/>
        <v>5.0625433749944193</v>
      </c>
      <c r="BK116" s="386">
        <f t="shared" si="129"/>
        <v>0.31363199999999997</v>
      </c>
      <c r="BL116" s="386">
        <f t="shared" si="130"/>
        <v>3.7167699219645964</v>
      </c>
    </row>
    <row r="117" spans="7:64" x14ac:dyDescent="0.3">
      <c r="G117">
        <v>108</v>
      </c>
      <c r="H117" s="610">
        <f t="shared" si="59"/>
        <v>13.100000000000001</v>
      </c>
      <c r="I117" s="4" t="str">
        <f t="shared" si="60"/>
        <v>BOOST</v>
      </c>
      <c r="J117">
        <f t="shared" si="99"/>
        <v>2</v>
      </c>
      <c r="K117">
        <f t="shared" si="61"/>
        <v>10</v>
      </c>
      <c r="L117" s="4">
        <f t="shared" si="62"/>
        <v>40.712468193384218</v>
      </c>
      <c r="M117" s="4">
        <f t="shared" si="63"/>
        <v>37.951552068416049</v>
      </c>
      <c r="N117" s="386">
        <f t="shared" si="64"/>
        <v>1</v>
      </c>
      <c r="O117" s="386">
        <f t="shared" si="115"/>
        <v>0.73650616496598631</v>
      </c>
      <c r="P117" s="4">
        <f t="shared" si="65"/>
        <v>4.6926310371975024</v>
      </c>
      <c r="Q117" s="386">
        <f t="shared" si="66"/>
        <v>40.73499885726762</v>
      </c>
      <c r="R117" s="386">
        <f t="shared" si="116"/>
        <v>164.12969759237996</v>
      </c>
      <c r="S117" s="386">
        <f t="shared" si="117"/>
        <v>1.1325317693550263</v>
      </c>
      <c r="T117" s="386">
        <f t="shared" si="118"/>
        <v>165.262229361735</v>
      </c>
      <c r="U117" s="4">
        <f t="shared" si="68"/>
        <v>16.871420022728469</v>
      </c>
      <c r="V117" s="386">
        <f t="shared" si="119"/>
        <v>0.56928962716664611</v>
      </c>
      <c r="W117" s="386">
        <f t="shared" si="120"/>
        <v>0.56928962716664611</v>
      </c>
      <c r="X117" s="386">
        <f t="shared" si="69"/>
        <v>1.3546458962667856</v>
      </c>
      <c r="Y117" s="386">
        <f t="shared" si="121"/>
        <v>3.6701310085448854E-3</v>
      </c>
      <c r="Z117" s="603">
        <f t="shared" si="122"/>
        <v>3.6701310085448854E-3</v>
      </c>
      <c r="AA117" s="386">
        <f t="shared" si="70"/>
        <v>40.73499885726762</v>
      </c>
      <c r="AB117" s="386">
        <f t="shared" si="71"/>
        <v>9.4582387518390885</v>
      </c>
      <c r="AC117" s="386">
        <f t="shared" si="72"/>
        <v>0</v>
      </c>
      <c r="AD117">
        <f t="shared" si="73"/>
        <v>0</v>
      </c>
      <c r="AE117" s="386">
        <f t="shared" si="74"/>
        <v>-10.607595598079428</v>
      </c>
      <c r="AF117" s="386">
        <f t="shared" si="75"/>
        <v>0</v>
      </c>
      <c r="AG117" s="386">
        <f t="shared" si="76"/>
        <v>0</v>
      </c>
      <c r="AH117" s="386">
        <f t="shared" si="77"/>
        <v>0</v>
      </c>
      <c r="AI117" s="386">
        <f t="shared" si="78"/>
        <v>0</v>
      </c>
      <c r="AJ117" s="386">
        <f t="shared" si="79"/>
        <v>34.958750505717404</v>
      </c>
      <c r="AK117" s="386">
        <f t="shared" si="80"/>
        <v>2.3220170501498942</v>
      </c>
      <c r="AL117" s="386">
        <f t="shared" si="81"/>
        <v>3.5652064030650021</v>
      </c>
      <c r="AM117">
        <f t="shared" si="82"/>
        <v>0</v>
      </c>
      <c r="AN117" s="386">
        <f t="shared" si="83"/>
        <v>10.991898685434911</v>
      </c>
      <c r="AO117" s="386">
        <f t="shared" si="84"/>
        <v>20.909947273501128</v>
      </c>
      <c r="AP117" s="386">
        <f t="shared" si="85"/>
        <v>0.83072920046313481</v>
      </c>
      <c r="AQ117" s="386">
        <f t="shared" si="86"/>
        <v>1.9541984732824424</v>
      </c>
      <c r="AR117" s="386">
        <f t="shared" si="87"/>
        <v>3.3398258444317594</v>
      </c>
      <c r="AS117" s="386">
        <f t="shared" si="88"/>
        <v>9.4582387518390885</v>
      </c>
      <c r="AT117" s="386">
        <f t="shared" si="89"/>
        <v>0</v>
      </c>
      <c r="AU117" s="386">
        <f t="shared" si="90"/>
        <v>0.95039999999999991</v>
      </c>
      <c r="AV117" s="386">
        <f t="shared" si="91"/>
        <v>3.6663427107629909</v>
      </c>
      <c r="AW117" s="386">
        <f t="shared" si="92"/>
        <v>0.249</v>
      </c>
      <c r="AX117" s="386">
        <f t="shared" si="93"/>
        <v>0.14400000000000002</v>
      </c>
      <c r="AY117" s="386">
        <f t="shared" si="94"/>
        <v>1.2671999999999999</v>
      </c>
      <c r="AZ117" s="386">
        <f t="shared" si="95"/>
        <v>0.10439999999999998</v>
      </c>
      <c r="BA117" s="386">
        <f t="shared" si="123"/>
        <v>1.4112</v>
      </c>
      <c r="BB117" s="386">
        <f t="shared" si="124"/>
        <v>175.83626076246043</v>
      </c>
      <c r="BC117">
        <f t="shared" si="96"/>
        <v>480</v>
      </c>
      <c r="BD117" s="604">
        <f t="shared" si="125"/>
        <v>0.73188999864381221</v>
      </c>
      <c r="BE117" s="614">
        <f t="shared" si="97"/>
        <v>597.1149342717456</v>
      </c>
      <c r="BF117" s="614">
        <f t="shared" si="98"/>
        <v>166.99129222158797</v>
      </c>
      <c r="BG117" s="9"/>
      <c r="BH117" s="4">
        <f t="shared" si="126"/>
        <v>73.188999864381216</v>
      </c>
      <c r="BI117" s="386">
        <f t="shared" si="127"/>
        <v>165.262229361735</v>
      </c>
      <c r="BJ117" s="386">
        <f t="shared" si="128"/>
        <v>4.6745289317872434</v>
      </c>
      <c r="BK117" s="386">
        <f t="shared" si="129"/>
        <v>0.31363199999999997</v>
      </c>
      <c r="BL117" s="386">
        <f t="shared" si="130"/>
        <v>3.6663427107629909</v>
      </c>
    </row>
    <row r="118" spans="7:64" x14ac:dyDescent="0.3">
      <c r="G118">
        <v>109</v>
      </c>
      <c r="H118" s="610">
        <f t="shared" si="59"/>
        <v>13.175000000000001</v>
      </c>
      <c r="I118" s="4" t="str">
        <f t="shared" si="60"/>
        <v>BOOST</v>
      </c>
      <c r="J118">
        <f t="shared" si="99"/>
        <v>2</v>
      </c>
      <c r="K118">
        <f t="shared" si="61"/>
        <v>10</v>
      </c>
      <c r="L118" s="4">
        <f t="shared" si="62"/>
        <v>40.480708412397213</v>
      </c>
      <c r="M118" s="4">
        <f t="shared" si="63"/>
        <v>37.719611871093768</v>
      </c>
      <c r="N118" s="386">
        <f t="shared" si="64"/>
        <v>1</v>
      </c>
      <c r="O118" s="386">
        <f t="shared" si="115"/>
        <v>0.73488592528006769</v>
      </c>
      <c r="P118" s="4">
        <f t="shared" si="65"/>
        <v>4.7111679300803084</v>
      </c>
      <c r="Q118" s="386">
        <f t="shared" si="66"/>
        <v>40.503547320059646</v>
      </c>
      <c r="R118" s="386">
        <f t="shared" si="116"/>
        <v>141.25326508300333</v>
      </c>
      <c r="S118" s="386">
        <f t="shared" si="117"/>
        <v>1.1428658286846838</v>
      </c>
      <c r="T118" s="386">
        <f t="shared" si="118"/>
        <v>142.396130911688</v>
      </c>
      <c r="U118" s="4">
        <f t="shared" si="68"/>
        <v>16.802473501756801</v>
      </c>
      <c r="V118" s="386">
        <f t="shared" si="119"/>
        <v>0.56464623155447891</v>
      </c>
      <c r="W118" s="386">
        <f t="shared" si="120"/>
        <v>0.56464623155447891</v>
      </c>
      <c r="X118" s="386">
        <f t="shared" si="69"/>
        <v>1.3599970363146991</v>
      </c>
      <c r="Y118" s="386">
        <f t="shared" si="121"/>
        <v>3.6991838775695301E-3</v>
      </c>
      <c r="Z118" s="603">
        <f t="shared" si="122"/>
        <v>3.6991838775695301E-3</v>
      </c>
      <c r="AA118" s="386">
        <f t="shared" si="70"/>
        <v>40.503547320059646</v>
      </c>
      <c r="AB118" s="386">
        <f t="shared" si="71"/>
        <v>9.3510628693973725</v>
      </c>
      <c r="AC118" s="386">
        <f t="shared" si="72"/>
        <v>0</v>
      </c>
      <c r="AD118">
        <f t="shared" si="73"/>
        <v>0</v>
      </c>
      <c r="AE118" s="386">
        <f t="shared" si="74"/>
        <v>-10.745722539619965</v>
      </c>
      <c r="AF118" s="386">
        <f t="shared" si="75"/>
        <v>0</v>
      </c>
      <c r="AG118" s="386">
        <f t="shared" si="76"/>
        <v>0</v>
      </c>
      <c r="AH118" s="386">
        <f t="shared" si="77"/>
        <v>0</v>
      </c>
      <c r="AI118" s="386">
        <f t="shared" si="78"/>
        <v>0</v>
      </c>
      <c r="AJ118" s="386">
        <f t="shared" si="79"/>
        <v>34.721863502847611</v>
      </c>
      <c r="AK118" s="386">
        <f t="shared" si="80"/>
        <v>2.2906548297097236</v>
      </c>
      <c r="AL118" s="386">
        <f t="shared" si="81"/>
        <v>3.5449111104479343</v>
      </c>
      <c r="AM118">
        <f t="shared" si="82"/>
        <v>0</v>
      </c>
      <c r="AN118" s="386">
        <f t="shared" si="83"/>
        <v>10.769329069157404</v>
      </c>
      <c r="AO118" s="386">
        <f t="shared" si="84"/>
        <v>20.85496440653711</v>
      </c>
      <c r="AP118" s="386">
        <f t="shared" si="85"/>
        <v>0.82636612675606658</v>
      </c>
      <c r="AQ118" s="386">
        <f t="shared" si="86"/>
        <v>1.9430740037950662</v>
      </c>
      <c r="AR118" s="386">
        <f t="shared" si="87"/>
        <v>3.3177803979228795</v>
      </c>
      <c r="AS118" s="386">
        <f t="shared" si="88"/>
        <v>9.3510628693973725</v>
      </c>
      <c r="AT118" s="386">
        <f t="shared" si="89"/>
        <v>0</v>
      </c>
      <c r="AU118" s="386">
        <f t="shared" si="90"/>
        <v>0.95039999999999991</v>
      </c>
      <c r="AV118" s="386">
        <f t="shared" si="91"/>
        <v>3.6168234153311429</v>
      </c>
      <c r="AW118" s="386">
        <f t="shared" si="92"/>
        <v>0.249</v>
      </c>
      <c r="AX118" s="386">
        <f t="shared" si="93"/>
        <v>0.14400000000000002</v>
      </c>
      <c r="AY118" s="386">
        <f t="shared" si="94"/>
        <v>1.2671999999999999</v>
      </c>
      <c r="AZ118" s="386">
        <f t="shared" si="95"/>
        <v>0.10439999999999998</v>
      </c>
      <c r="BA118" s="386">
        <f t="shared" si="123"/>
        <v>1.4112</v>
      </c>
      <c r="BB118" s="386">
        <f t="shared" si="124"/>
        <v>152.53328666991152</v>
      </c>
      <c r="BC118">
        <f t="shared" si="96"/>
        <v>480</v>
      </c>
      <c r="BD118" s="604">
        <f t="shared" si="125"/>
        <v>0.7588533443465858</v>
      </c>
      <c r="BE118" s="614">
        <f t="shared" si="97"/>
        <v>585.9864534578702</v>
      </c>
      <c r="BF118" s="614">
        <f t="shared" si="98"/>
        <v>165.88901989614396</v>
      </c>
      <c r="BG118" s="9"/>
      <c r="BH118" s="4">
        <f t="shared" si="126"/>
        <v>75.885334434658574</v>
      </c>
      <c r="BI118" s="386">
        <f t="shared" si="127"/>
        <v>142.396130911688</v>
      </c>
      <c r="BJ118" s="386">
        <f t="shared" si="128"/>
        <v>4.2917869274603184</v>
      </c>
      <c r="BK118" s="386">
        <f t="shared" si="129"/>
        <v>0.31363199999999997</v>
      </c>
      <c r="BL118" s="386">
        <f t="shared" si="130"/>
        <v>3.6168234153311429</v>
      </c>
    </row>
    <row r="119" spans="7:64" x14ac:dyDescent="0.3">
      <c r="G119">
        <v>110</v>
      </c>
      <c r="H119" s="610">
        <f t="shared" si="59"/>
        <v>13.25</v>
      </c>
      <c r="I119" s="4" t="str">
        <f t="shared" si="60"/>
        <v>BOOST</v>
      </c>
      <c r="J119">
        <f t="shared" si="99"/>
        <v>2</v>
      </c>
      <c r="K119">
        <f t="shared" si="61"/>
        <v>10</v>
      </c>
      <c r="L119" s="4">
        <f t="shared" si="62"/>
        <v>40.251572327044023</v>
      </c>
      <c r="M119" s="4">
        <f t="shared" si="63"/>
        <v>37.490581555114531</v>
      </c>
      <c r="N119" s="386">
        <f t="shared" si="64"/>
        <v>1</v>
      </c>
      <c r="O119" s="386">
        <f t="shared" si="115"/>
        <v>0.73326634089953768</v>
      </c>
      <c r="P119" s="4">
        <f t="shared" si="65"/>
        <v>4.7295702279626211</v>
      </c>
      <c r="Q119" s="386">
        <f t="shared" si="66"/>
        <v>40.274720909577496</v>
      </c>
      <c r="R119" s="386">
        <f t="shared" si="116"/>
        <v>123.88807834643485</v>
      </c>
      <c r="S119" s="386">
        <f t="shared" si="117"/>
        <v>1.1531774338591771</v>
      </c>
      <c r="T119" s="386">
        <f t="shared" si="118"/>
        <v>125.04125578029402</v>
      </c>
      <c r="U119" s="4">
        <f t="shared" si="68"/>
        <v>16.734104431864587</v>
      </c>
      <c r="V119" s="386">
        <f t="shared" si="119"/>
        <v>0.5600605022731</v>
      </c>
      <c r="W119" s="386">
        <f t="shared" si="120"/>
        <v>0.5600605022731</v>
      </c>
      <c r="X119" s="386">
        <f t="shared" si="69"/>
        <v>1.3653093221327295</v>
      </c>
      <c r="Y119" s="386">
        <f t="shared" si="121"/>
        <v>3.7281390902050666E-3</v>
      </c>
      <c r="Z119" s="603">
        <f t="shared" si="122"/>
        <v>3.7281390902050666E-3</v>
      </c>
      <c r="AA119" s="386">
        <f t="shared" si="70"/>
        <v>40.274720909577496</v>
      </c>
      <c r="AB119" s="386">
        <f t="shared" si="71"/>
        <v>9.2457029227628453</v>
      </c>
      <c r="AC119" s="386">
        <f t="shared" si="72"/>
        <v>0</v>
      </c>
      <c r="AD119">
        <f t="shared" si="73"/>
        <v>0</v>
      </c>
      <c r="AE119" s="386">
        <f t="shared" si="74"/>
        <v>-10.888306472401871</v>
      </c>
      <c r="AF119" s="386">
        <f t="shared" si="75"/>
        <v>0</v>
      </c>
      <c r="AG119" s="386">
        <f t="shared" si="76"/>
        <v>0</v>
      </c>
      <c r="AH119" s="386">
        <f t="shared" si="77"/>
        <v>0</v>
      </c>
      <c r="AI119" s="386">
        <f t="shared" si="78"/>
        <v>0</v>
      </c>
      <c r="AJ119" s="386">
        <f t="shared" si="79"/>
        <v>34.487635087056603</v>
      </c>
      <c r="AK119" s="386">
        <f t="shared" si="80"/>
        <v>2.2598542504061574</v>
      </c>
      <c r="AL119" s="386">
        <f t="shared" si="81"/>
        <v>3.5248455758604935</v>
      </c>
      <c r="AM119">
        <f t="shared" si="82"/>
        <v>0</v>
      </c>
      <c r="AN119" s="386">
        <f t="shared" si="83"/>
        <v>10.555460101208279</v>
      </c>
      <c r="AO119" s="386">
        <f t="shared" si="84"/>
        <v>20.800388709021309</v>
      </c>
      <c r="AP119" s="386">
        <f t="shared" si="85"/>
        <v>0.82204672384812427</v>
      </c>
      <c r="AQ119" s="386">
        <f t="shared" si="86"/>
        <v>1.9320754716981132</v>
      </c>
      <c r="AR119" s="386">
        <f t="shared" si="87"/>
        <v>3.2960184251784348</v>
      </c>
      <c r="AS119" s="386">
        <f t="shared" si="88"/>
        <v>9.2457029227628453</v>
      </c>
      <c r="AT119" s="386">
        <f t="shared" si="89"/>
        <v>0</v>
      </c>
      <c r="AU119" s="386">
        <f t="shared" si="90"/>
        <v>0.95039999999999991</v>
      </c>
      <c r="AV119" s="386">
        <f t="shared" si="91"/>
        <v>3.5681909216939331</v>
      </c>
      <c r="AW119" s="386">
        <f t="shared" si="92"/>
        <v>0.249</v>
      </c>
      <c r="AX119" s="386">
        <f t="shared" si="93"/>
        <v>0.14400000000000002</v>
      </c>
      <c r="AY119" s="386">
        <f t="shared" si="94"/>
        <v>1.2671999999999999</v>
      </c>
      <c r="AZ119" s="386">
        <f t="shared" si="95"/>
        <v>0.10439999999999998</v>
      </c>
      <c r="BA119" s="386">
        <f t="shared" si="123"/>
        <v>1.4112</v>
      </c>
      <c r="BB119" s="386">
        <f t="shared" si="124"/>
        <v>134.74700739733612</v>
      </c>
      <c r="BC119">
        <f t="shared" si="96"/>
        <v>480</v>
      </c>
      <c r="BD119" s="604">
        <f t="shared" si="125"/>
        <v>0.78080900634585182</v>
      </c>
      <c r="BE119" s="614">
        <f t="shared" si="97"/>
        <v>575.29300506041398</v>
      </c>
      <c r="BF119" s="614">
        <f t="shared" si="98"/>
        <v>164.80092125892173</v>
      </c>
      <c r="BG119" s="9"/>
      <c r="BH119" s="4">
        <f t="shared" si="126"/>
        <v>78.080900634585177</v>
      </c>
      <c r="BI119" s="386">
        <f t="shared" si="127"/>
        <v>125.04125578029402</v>
      </c>
      <c r="BJ119" s="386">
        <f t="shared" si="128"/>
        <v>3.9135720539848435</v>
      </c>
      <c r="BK119" s="386">
        <f t="shared" si="129"/>
        <v>0.31363199999999997</v>
      </c>
      <c r="BL119" s="386">
        <f t="shared" si="130"/>
        <v>3.5681909216939331</v>
      </c>
    </row>
    <row r="120" spans="7:64" x14ac:dyDescent="0.3">
      <c r="G120">
        <v>111</v>
      </c>
      <c r="H120" s="610">
        <f t="shared" si="59"/>
        <v>13.325000000000001</v>
      </c>
      <c r="I120" s="4" t="str">
        <f t="shared" si="60"/>
        <v>BOOST</v>
      </c>
      <c r="J120">
        <f t="shared" si="99"/>
        <v>2</v>
      </c>
      <c r="K120">
        <f t="shared" si="61"/>
        <v>10</v>
      </c>
      <c r="L120" s="4">
        <f t="shared" si="62"/>
        <v>40.025015634771727</v>
      </c>
      <c r="M120" s="4">
        <f t="shared" si="63"/>
        <v>37.264405216335312</v>
      </c>
      <c r="N120" s="386">
        <f t="shared" si="64"/>
        <v>1</v>
      </c>
      <c r="O120" s="386">
        <f t="shared" si="115"/>
        <v>0.73164740073145251</v>
      </c>
      <c r="P120" s="4">
        <f t="shared" si="65"/>
        <v>4.7478382074600756</v>
      </c>
      <c r="Q120" s="386">
        <f t="shared" si="66"/>
        <v>40.048475300158508</v>
      </c>
      <c r="R120" s="386">
        <f t="shared" si="116"/>
        <v>110.25723678114126</v>
      </c>
      <c r="S120" s="386">
        <f t="shared" si="117"/>
        <v>1.1634656529751433</v>
      </c>
      <c r="T120" s="386">
        <f t="shared" si="118"/>
        <v>111.42070243411641</v>
      </c>
      <c r="U120" s="4">
        <f t="shared" si="68"/>
        <v>16.666303229327692</v>
      </c>
      <c r="V120" s="386">
        <f t="shared" si="119"/>
        <v>0.55553132666379734</v>
      </c>
      <c r="W120" s="386">
        <f t="shared" si="120"/>
        <v>0.55553132666379734</v>
      </c>
      <c r="X120" s="386">
        <f t="shared" si="69"/>
        <v>1.3705828335729324</v>
      </c>
      <c r="Y120" s="386">
        <f t="shared" si="121"/>
        <v>3.7569946073696169E-3</v>
      </c>
      <c r="Z120" s="603">
        <f t="shared" si="122"/>
        <v>3.7569946073696169E-3</v>
      </c>
      <c r="AA120" s="386">
        <f t="shared" si="70"/>
        <v>40.048475300158508</v>
      </c>
      <c r="AB120" s="386">
        <f t="shared" si="71"/>
        <v>9.1421181310442137</v>
      </c>
      <c r="AC120" s="386">
        <f t="shared" si="72"/>
        <v>0</v>
      </c>
      <c r="AD120">
        <f t="shared" si="73"/>
        <v>0</v>
      </c>
      <c r="AE120" s="386">
        <f t="shared" si="74"/>
        <v>-11.035559394752847</v>
      </c>
      <c r="AF120" s="386">
        <f t="shared" si="75"/>
        <v>0</v>
      </c>
      <c r="AG120" s="386">
        <f t="shared" si="76"/>
        <v>0</v>
      </c>
      <c r="AH120" s="386">
        <f t="shared" si="77"/>
        <v>0</v>
      </c>
      <c r="AI120" s="386">
        <f t="shared" si="78"/>
        <v>0</v>
      </c>
      <c r="AJ120" s="386">
        <f t="shared" si="79"/>
        <v>34.256020005603069</v>
      </c>
      <c r="AK120" s="386">
        <f t="shared" si="80"/>
        <v>2.2296023225861279</v>
      </c>
      <c r="AL120" s="386">
        <f t="shared" si="81"/>
        <v>3.5050059197111842</v>
      </c>
      <c r="AM120">
        <f t="shared" si="82"/>
        <v>0</v>
      </c>
      <c r="AN120" s="386">
        <f t="shared" si="83"/>
        <v>10.349792538900932</v>
      </c>
      <c r="AO120" s="386">
        <f t="shared" si="84"/>
        <v>20.746215733071132</v>
      </c>
      <c r="AP120" s="386">
        <f t="shared" si="85"/>
        <v>0.81777038776194355</v>
      </c>
      <c r="AQ120" s="386">
        <f t="shared" si="86"/>
        <v>1.9212007504690429</v>
      </c>
      <c r="AR120" s="386">
        <f t="shared" si="87"/>
        <v>3.2745346288690111</v>
      </c>
      <c r="AS120" s="386">
        <f t="shared" si="88"/>
        <v>9.1421181310442137</v>
      </c>
      <c r="AT120" s="386">
        <f t="shared" si="89"/>
        <v>0</v>
      </c>
      <c r="AU120" s="386">
        <f t="shared" si="90"/>
        <v>0.95039999999999991</v>
      </c>
      <c r="AV120" s="386">
        <f t="shared" si="91"/>
        <v>3.5204247198728336</v>
      </c>
      <c r="AW120" s="386">
        <f t="shared" si="92"/>
        <v>0.249</v>
      </c>
      <c r="AX120" s="386">
        <f t="shared" si="93"/>
        <v>0.14400000000000002</v>
      </c>
      <c r="AY120" s="386">
        <f t="shared" si="94"/>
        <v>1.2671999999999999</v>
      </c>
      <c r="AZ120" s="386">
        <f t="shared" si="95"/>
        <v>0.10439999999999998</v>
      </c>
      <c r="BA120" s="386">
        <f t="shared" si="123"/>
        <v>1.4112</v>
      </c>
      <c r="BB120" s="386">
        <f t="shared" si="124"/>
        <v>120.69978324827748</v>
      </c>
      <c r="BC120">
        <f t="shared" si="96"/>
        <v>480</v>
      </c>
      <c r="BD120" s="604">
        <f t="shared" si="125"/>
        <v>0.7990680426159058</v>
      </c>
      <c r="BE120" s="614">
        <f t="shared" si="97"/>
        <v>565.00962694504665</v>
      </c>
      <c r="BF120" s="614">
        <f t="shared" si="98"/>
        <v>163.72673144345055</v>
      </c>
      <c r="BG120" s="9"/>
      <c r="BH120" s="4">
        <f t="shared" si="126"/>
        <v>79.90680426159058</v>
      </c>
      <c r="BI120" s="386">
        <f t="shared" si="127"/>
        <v>111.42070243411641</v>
      </c>
      <c r="BJ120" s="386">
        <f t="shared" si="128"/>
        <v>3.5391677730170965</v>
      </c>
      <c r="BK120" s="386">
        <f t="shared" si="129"/>
        <v>0.31363199999999997</v>
      </c>
      <c r="BL120" s="386">
        <f t="shared" si="130"/>
        <v>3.5204247198728336</v>
      </c>
    </row>
    <row r="121" spans="7:64" x14ac:dyDescent="0.3">
      <c r="G121">
        <v>112</v>
      </c>
      <c r="H121" s="610">
        <f t="shared" si="59"/>
        <v>13.4</v>
      </c>
      <c r="I121" s="4" t="str">
        <f t="shared" si="60"/>
        <v>BOOST</v>
      </c>
      <c r="J121">
        <f t="shared" si="99"/>
        <v>2</v>
      </c>
      <c r="K121">
        <f t="shared" si="61"/>
        <v>10</v>
      </c>
      <c r="L121" s="4">
        <f t="shared" si="62"/>
        <v>39.800995024875618</v>
      </c>
      <c r="M121" s="4">
        <f t="shared" si="63"/>
        <v>37.041028404279892</v>
      </c>
      <c r="N121" s="386">
        <f t="shared" si="64"/>
        <v>1</v>
      </c>
      <c r="O121" s="386">
        <f t="shared" si="115"/>
        <v>0.73002909393183713</v>
      </c>
      <c r="P121" s="4">
        <f t="shared" si="65"/>
        <v>4.7659721389358749</v>
      </c>
      <c r="Q121" s="386">
        <f t="shared" si="66"/>
        <v>39.824767157795158</v>
      </c>
      <c r="R121" s="386">
        <f t="shared" si="116"/>
        <v>99.273570047004895</v>
      </c>
      <c r="S121" s="386">
        <f t="shared" si="117"/>
        <v>1.1737295592438017</v>
      </c>
      <c r="T121" s="386">
        <f t="shared" si="118"/>
        <v>100.44729960624869</v>
      </c>
      <c r="U121" s="4">
        <f t="shared" si="68"/>
        <v>16.599060532155189</v>
      </c>
      <c r="V121" s="386">
        <f t="shared" si="119"/>
        <v>0.55105762110030421</v>
      </c>
      <c r="W121" s="386">
        <f t="shared" si="120"/>
        <v>0.55105762110030421</v>
      </c>
      <c r="X121" s="386">
        <f t="shared" si="69"/>
        <v>1.3758176486824421</v>
      </c>
      <c r="Y121" s="386">
        <f t="shared" si="121"/>
        <v>3.7857484048521672E-3</v>
      </c>
      <c r="Z121" s="603">
        <f t="shared" si="122"/>
        <v>3.7857484048521672E-3</v>
      </c>
      <c r="AA121" s="386">
        <f t="shared" si="70"/>
        <v>39.824767157795158</v>
      </c>
      <c r="AB121" s="386">
        <f t="shared" si="71"/>
        <v>9.0402688512838196</v>
      </c>
      <c r="AC121" s="386">
        <f t="shared" si="72"/>
        <v>0</v>
      </c>
      <c r="AD121">
        <f t="shared" si="73"/>
        <v>0</v>
      </c>
      <c r="AE121" s="386">
        <f t="shared" si="74"/>
        <v>-11.187707036390931</v>
      </c>
      <c r="AF121" s="386">
        <f t="shared" si="75"/>
        <v>0</v>
      </c>
      <c r="AG121" s="386">
        <f t="shared" si="76"/>
        <v>0</v>
      </c>
      <c r="AH121" s="386">
        <f t="shared" si="77"/>
        <v>0</v>
      </c>
      <c r="AI121" s="386">
        <f t="shared" si="78"/>
        <v>0</v>
      </c>
      <c r="AJ121" s="386">
        <f t="shared" si="79"/>
        <v>34.026974022432881</v>
      </c>
      <c r="AK121" s="386">
        <f t="shared" si="80"/>
        <v>2.1998864261343121</v>
      </c>
      <c r="AL121" s="386">
        <f t="shared" si="81"/>
        <v>3.4853883492650395</v>
      </c>
      <c r="AM121">
        <f t="shared" si="82"/>
        <v>0</v>
      </c>
      <c r="AN121" s="386">
        <f t="shared" si="83"/>
        <v>10.151864603746347</v>
      </c>
      <c r="AO121" s="386">
        <f t="shared" si="84"/>
        <v>20.692441084832829</v>
      </c>
      <c r="AP121" s="386">
        <f t="shared" si="85"/>
        <v>0.81353652429362744</v>
      </c>
      <c r="AQ121" s="386">
        <f t="shared" si="86"/>
        <v>1.9104477611940298</v>
      </c>
      <c r="AR121" s="386">
        <f t="shared" si="87"/>
        <v>3.2533238391958568</v>
      </c>
      <c r="AS121" s="386">
        <f t="shared" si="88"/>
        <v>9.0402688512838196</v>
      </c>
      <c r="AT121" s="386">
        <f t="shared" si="89"/>
        <v>0</v>
      </c>
      <c r="AU121" s="386">
        <f t="shared" si="90"/>
        <v>0.95039999999999991</v>
      </c>
      <c r="AV121" s="386">
        <f t="shared" si="91"/>
        <v>3.4735048833699662</v>
      </c>
      <c r="AW121" s="386">
        <f t="shared" si="92"/>
        <v>0.249</v>
      </c>
      <c r="AX121" s="386">
        <f t="shared" si="93"/>
        <v>0.14400000000000002</v>
      </c>
      <c r="AY121" s="386">
        <f t="shared" si="94"/>
        <v>1.2671999999999999</v>
      </c>
      <c r="AZ121" s="386">
        <f t="shared" si="95"/>
        <v>0.10439999999999998</v>
      </c>
      <c r="BA121" s="386">
        <f t="shared" si="123"/>
        <v>1.4112</v>
      </c>
      <c r="BB121" s="386">
        <f t="shared" si="124"/>
        <v>109.30372926567507</v>
      </c>
      <c r="BC121">
        <f t="shared" si="96"/>
        <v>480</v>
      </c>
      <c r="BD121" s="604">
        <f t="shared" si="125"/>
        <v>0.81452055393934586</v>
      </c>
      <c r="BE121" s="614">
        <f t="shared" si="97"/>
        <v>555.1132301873173</v>
      </c>
      <c r="BF121" s="614">
        <f t="shared" si="98"/>
        <v>162.66619195979283</v>
      </c>
      <c r="BG121" s="9"/>
      <c r="BH121" s="4">
        <f t="shared" si="126"/>
        <v>81.452055393934586</v>
      </c>
      <c r="BI121" s="386">
        <f t="shared" si="127"/>
        <v>100.44729960624869</v>
      </c>
      <c r="BJ121" s="386">
        <f t="shared" si="128"/>
        <v>3.167881406551273</v>
      </c>
      <c r="BK121" s="386">
        <f t="shared" si="129"/>
        <v>0.31363199999999997</v>
      </c>
      <c r="BL121" s="386">
        <f t="shared" si="130"/>
        <v>3.4735048833699662</v>
      </c>
    </row>
    <row r="122" spans="7:64" x14ac:dyDescent="0.3">
      <c r="G122">
        <v>113</v>
      </c>
      <c r="H122" s="610">
        <f t="shared" si="59"/>
        <v>13.475</v>
      </c>
      <c r="I122" s="4" t="str">
        <f t="shared" si="60"/>
        <v>BOOST</v>
      </c>
      <c r="J122">
        <f t="shared" si="99"/>
        <v>2</v>
      </c>
      <c r="K122">
        <f t="shared" si="61"/>
        <v>10</v>
      </c>
      <c r="L122" s="4">
        <f t="shared" si="62"/>
        <v>39.579468150896723</v>
      </c>
      <c r="M122" s="4">
        <f t="shared" si="63"/>
        <v>36.820398074424041</v>
      </c>
      <c r="N122" s="386">
        <f t="shared" si="64"/>
        <v>1</v>
      </c>
      <c r="O122" s="386">
        <f t="shared" si="115"/>
        <v>0.72841140989873931</v>
      </c>
      <c r="P122" s="4">
        <f t="shared" si="65"/>
        <v>4.7839722866764411</v>
      </c>
      <c r="Q122" s="386">
        <f t="shared" si="66"/>
        <v>39.603554112535008</v>
      </c>
      <c r="R122" s="386">
        <f t="shared" si="116"/>
        <v>90.234580071629523</v>
      </c>
      <c r="S122" s="386">
        <f t="shared" si="117"/>
        <v>1.1839682310174238</v>
      </c>
      <c r="T122" s="386">
        <f t="shared" si="118"/>
        <v>91.41854830264694</v>
      </c>
      <c r="U122" s="4">
        <f t="shared" si="68"/>
        <v>16.532367193406831</v>
      </c>
      <c r="V122" s="386">
        <f t="shared" si="119"/>
        <v>0.54663833003526896</v>
      </c>
      <c r="W122" s="386">
        <f t="shared" si="120"/>
        <v>0.54663833003526896</v>
      </c>
      <c r="X122" s="386">
        <f t="shared" si="69"/>
        <v>1.3810138437541766</v>
      </c>
      <c r="Y122" s="386">
        <f t="shared" si="121"/>
        <v>3.8143984732813704E-3</v>
      </c>
      <c r="Z122" s="603">
        <f t="shared" si="122"/>
        <v>3.8143984732813704E-3</v>
      </c>
      <c r="AA122" s="386">
        <f t="shared" si="70"/>
        <v>39.603554112535008</v>
      </c>
      <c r="AB122" s="386">
        <f t="shared" si="71"/>
        <v>8.9401165405635847</v>
      </c>
      <c r="AC122" s="386">
        <f t="shared" si="72"/>
        <v>0</v>
      </c>
      <c r="AD122">
        <f t="shared" si="73"/>
        <v>0</v>
      </c>
      <c r="AE122" s="386">
        <f t="shared" si="74"/>
        <v>-11.344989987637284</v>
      </c>
      <c r="AF122" s="386">
        <f t="shared" si="75"/>
        <v>0</v>
      </c>
      <c r="AG122" s="386">
        <f t="shared" si="76"/>
        <v>0</v>
      </c>
      <c r="AH122" s="386">
        <f t="shared" si="77"/>
        <v>0</v>
      </c>
      <c r="AI122" s="386">
        <f t="shared" si="78"/>
        <v>0</v>
      </c>
      <c r="AJ122" s="386">
        <f t="shared" si="79"/>
        <v>33.800453889745327</v>
      </c>
      <c r="AK122" s="386">
        <f t="shared" si="80"/>
        <v>2.1706942979903201</v>
      </c>
      <c r="AL122" s="386">
        <f t="shared" si="81"/>
        <v>3.4659891562264589</v>
      </c>
      <c r="AM122">
        <f t="shared" si="82"/>
        <v>0</v>
      </c>
      <c r="AN122" s="386">
        <f t="shared" si="83"/>
        <v>9.9612485321275024</v>
      </c>
      <c r="AO122" s="386">
        <f t="shared" si="84"/>
        <v>20.639060424149363</v>
      </c>
      <c r="AP122" s="386">
        <f t="shared" si="85"/>
        <v>0.80934454886420815</v>
      </c>
      <c r="AQ122" s="386">
        <f t="shared" si="86"/>
        <v>1.8998144712430427</v>
      </c>
      <c r="AR122" s="386">
        <f t="shared" si="87"/>
        <v>3.2323810101985218</v>
      </c>
      <c r="AS122" s="386">
        <f t="shared" si="88"/>
        <v>8.9401165405635847</v>
      </c>
      <c r="AT122" s="386">
        <f t="shared" si="89"/>
        <v>0</v>
      </c>
      <c r="AU122" s="386">
        <f t="shared" si="90"/>
        <v>0.95039999999999991</v>
      </c>
      <c r="AV122" s="386">
        <f t="shared" si="91"/>
        <v>3.4274120494584004</v>
      </c>
      <c r="AW122" s="386">
        <f t="shared" si="92"/>
        <v>0.249</v>
      </c>
      <c r="AX122" s="386">
        <f t="shared" si="93"/>
        <v>0.14400000000000002</v>
      </c>
      <c r="AY122" s="386">
        <f t="shared" si="94"/>
        <v>1.2671999999999999</v>
      </c>
      <c r="AZ122" s="386">
        <f t="shared" si="95"/>
        <v>0.10439999999999998</v>
      </c>
      <c r="BA122" s="386">
        <f t="shared" si="123"/>
        <v>1.4112</v>
      </c>
      <c r="BB122" s="386">
        <f t="shared" si="124"/>
        <v>99.855652635302619</v>
      </c>
      <c r="BC122">
        <f t="shared" si="96"/>
        <v>480</v>
      </c>
      <c r="BD122" s="604">
        <f t="shared" si="125"/>
        <v>0.82779222349306592</v>
      </c>
      <c r="BE122" s="614">
        <f t="shared" si="97"/>
        <v>545.58242660637518</v>
      </c>
      <c r="BF122" s="614">
        <f t="shared" si="98"/>
        <v>161.6190505099261</v>
      </c>
      <c r="BG122" s="9"/>
      <c r="BH122" s="4">
        <f t="shared" si="126"/>
        <v>82.779222349306593</v>
      </c>
      <c r="BI122" s="386">
        <f t="shared" si="127"/>
        <v>91.41854830264694</v>
      </c>
      <c r="BJ122" s="386">
        <f t="shared" si="128"/>
        <v>2.7990395546887399</v>
      </c>
      <c r="BK122" s="386">
        <f t="shared" si="129"/>
        <v>0.31363199999999997</v>
      </c>
      <c r="BL122" s="386">
        <f t="shared" si="130"/>
        <v>3.4274120494584004</v>
      </c>
    </row>
    <row r="123" spans="7:64" x14ac:dyDescent="0.3">
      <c r="G123">
        <v>114</v>
      </c>
      <c r="H123" s="610">
        <f t="shared" si="59"/>
        <v>13.549999999999999</v>
      </c>
      <c r="I123" s="4" t="str">
        <f t="shared" si="60"/>
        <v>BOOST</v>
      </c>
      <c r="J123">
        <f t="shared" si="99"/>
        <v>2</v>
      </c>
      <c r="K123">
        <f t="shared" si="61"/>
        <v>10</v>
      </c>
      <c r="L123" s="4">
        <f t="shared" si="62"/>
        <v>39.360393603936046</v>
      </c>
      <c r="M123" s="4">
        <f t="shared" si="63"/>
        <v>36.602462542370496</v>
      </c>
      <c r="N123" s="386">
        <f t="shared" si="64"/>
        <v>1</v>
      </c>
      <c r="O123" s="386">
        <f t="shared" si="115"/>
        <v>0.72679433826551587</v>
      </c>
      <c r="P123" s="4">
        <f t="shared" si="65"/>
        <v>4.8018389090611864</v>
      </c>
      <c r="Q123" s="386">
        <f t="shared" si="66"/>
        <v>39.384794731797413</v>
      </c>
      <c r="R123" s="386">
        <f t="shared" si="116"/>
        <v>82.666132527848845</v>
      </c>
      <c r="S123" s="386">
        <f t="shared" si="117"/>
        <v>1.194180751815803</v>
      </c>
      <c r="T123" s="386">
        <f t="shared" si="118"/>
        <v>83.860313279664652</v>
      </c>
      <c r="U123" s="4">
        <f t="shared" si="68"/>
        <v>16.466214274758116</v>
      </c>
      <c r="V123" s="386">
        <f t="shared" si="119"/>
        <v>0.54227242508449591</v>
      </c>
      <c r="W123" s="386">
        <f t="shared" si="120"/>
        <v>0.54227242508449591</v>
      </c>
      <c r="X123" s="386">
        <f t="shared" si="69"/>
        <v>1.3861714933758476</v>
      </c>
      <c r="Y123" s="386">
        <f t="shared" si="121"/>
        <v>3.8429428180956548E-3</v>
      </c>
      <c r="Z123" s="603">
        <f t="shared" si="122"/>
        <v>3.8429428180956548E-3</v>
      </c>
      <c r="AA123" s="386">
        <f t="shared" si="70"/>
        <v>39.384794731797413</v>
      </c>
      <c r="AB123" s="386">
        <f t="shared" si="71"/>
        <v>8.8416237195751588</v>
      </c>
      <c r="AC123" s="386">
        <f t="shared" si="72"/>
        <v>0</v>
      </c>
      <c r="AD123">
        <f t="shared" si="73"/>
        <v>0</v>
      </c>
      <c r="AE123" s="386">
        <f t="shared" si="74"/>
        <v>-11.507664941938851</v>
      </c>
      <c r="AF123" s="386">
        <f t="shared" si="75"/>
        <v>0</v>
      </c>
      <c r="AG123" s="386">
        <f t="shared" si="76"/>
        <v>0</v>
      </c>
      <c r="AH123" s="386">
        <f t="shared" si="77"/>
        <v>0</v>
      </c>
      <c r="AI123" s="386">
        <f t="shared" si="78"/>
        <v>0</v>
      </c>
      <c r="AJ123" s="386">
        <f t="shared" si="79"/>
        <v>33.576417320508341</v>
      </c>
      <c r="AK123" s="386">
        <f t="shared" si="80"/>
        <v>2.1420140201537716</v>
      </c>
      <c r="AL123" s="386">
        <f t="shared" si="81"/>
        <v>3.4468047144023277</v>
      </c>
      <c r="AM123">
        <f t="shared" si="82"/>
        <v>0</v>
      </c>
      <c r="AN123" s="386">
        <f t="shared" si="83"/>
        <v>9.7775475001749346</v>
      </c>
      <c r="AO123" s="386">
        <f t="shared" si="84"/>
        <v>20.586069464200413</v>
      </c>
      <c r="AP123" s="386">
        <f t="shared" si="85"/>
        <v>0.80519388637128086</v>
      </c>
      <c r="AQ123" s="386">
        <f t="shared" si="86"/>
        <v>1.8892988929889303</v>
      </c>
      <c r="AR123" s="386">
        <f t="shared" si="87"/>
        <v>3.2117012161848635</v>
      </c>
      <c r="AS123" s="386">
        <f t="shared" si="88"/>
        <v>8.8416237195751588</v>
      </c>
      <c r="AT123" s="386">
        <f t="shared" si="89"/>
        <v>0</v>
      </c>
      <c r="AU123" s="386">
        <f t="shared" si="90"/>
        <v>0.95039999999999991</v>
      </c>
      <c r="AV123" s="386">
        <f t="shared" si="91"/>
        <v>3.3821274002427977</v>
      </c>
      <c r="AW123" s="386">
        <f t="shared" si="92"/>
        <v>0.249</v>
      </c>
      <c r="AX123" s="386">
        <f t="shared" si="93"/>
        <v>0.14400000000000002</v>
      </c>
      <c r="AY123" s="386">
        <f t="shared" si="94"/>
        <v>1.2671999999999999</v>
      </c>
      <c r="AZ123" s="386">
        <f t="shared" si="95"/>
        <v>0.10439999999999998</v>
      </c>
      <c r="BA123" s="386">
        <f t="shared" si="123"/>
        <v>1.4112</v>
      </c>
      <c r="BB123" s="386">
        <f t="shared" si="124"/>
        <v>91.880739822230964</v>
      </c>
      <c r="BC123">
        <f t="shared" si="96"/>
        <v>480</v>
      </c>
      <c r="BD123" s="604">
        <f t="shared" si="125"/>
        <v>0.83933583800917644</v>
      </c>
      <c r="BE123" s="614">
        <f t="shared" si="97"/>
        <v>536.39737500874674</v>
      </c>
      <c r="BF123" s="614">
        <f t="shared" si="98"/>
        <v>160.58506080924317</v>
      </c>
      <c r="BG123" s="9"/>
      <c r="BH123" s="4">
        <f t="shared" si="126"/>
        <v>83.933583800917646</v>
      </c>
      <c r="BI123" s="386">
        <f t="shared" si="127"/>
        <v>83.860313279664652</v>
      </c>
      <c r="BJ123" s="386">
        <f t="shared" si="128"/>
        <v>2.4319837744209476</v>
      </c>
      <c r="BK123" s="386">
        <f t="shared" si="129"/>
        <v>0.31363199999999997</v>
      </c>
      <c r="BL123" s="386">
        <f t="shared" si="130"/>
        <v>3.3821274002427977</v>
      </c>
    </row>
    <row r="124" spans="7:64" x14ac:dyDescent="0.3">
      <c r="G124">
        <v>115</v>
      </c>
      <c r="H124" s="610">
        <f t="shared" si="59"/>
        <v>13.625</v>
      </c>
      <c r="I124" s="4" t="str">
        <f t="shared" si="60"/>
        <v>BOOST</v>
      </c>
      <c r="J124">
        <f t="shared" si="99"/>
        <v>2</v>
      </c>
      <c r="K124">
        <f t="shared" si="61"/>
        <v>10</v>
      </c>
      <c r="L124" s="4">
        <f t="shared" si="62"/>
        <v>39.14373088685015</v>
      </c>
      <c r="M124" s="4">
        <f t="shared" si="63"/>
        <v>36.387171439825877</v>
      </c>
      <c r="N124" s="386">
        <f t="shared" si="64"/>
        <v>1</v>
      </c>
      <c r="O124" s="386">
        <f t="shared" si="115"/>
        <v>0.72517786889433877</v>
      </c>
      <c r="P124" s="4">
        <f t="shared" si="65"/>
        <v>4.8195722587266072</v>
      </c>
      <c r="Q124" s="386">
        <f t="shared" si="66"/>
        <v>39.168448494571543</v>
      </c>
      <c r="R124" s="386">
        <f t="shared" si="116"/>
        <v>76.236637443333777</v>
      </c>
      <c r="S124" s="386">
        <f t="shared" si="117"/>
        <v>1.2043662103526829</v>
      </c>
      <c r="T124" s="386">
        <f t="shared" si="118"/>
        <v>77.441003653686465</v>
      </c>
      <c r="U124" s="4">
        <f t="shared" si="68"/>
        <v>16.400593040301938</v>
      </c>
      <c r="V124" s="386">
        <f t="shared" si="119"/>
        <v>0.53795890414720082</v>
      </c>
      <c r="W124" s="386">
        <f t="shared" si="120"/>
        <v>0.53795890414720082</v>
      </c>
      <c r="X124" s="386">
        <f t="shared" si="69"/>
        <v>1.3912906704773298</v>
      </c>
      <c r="Y124" s="386">
        <f t="shared" si="121"/>
        <v>3.8713794595145162E-3</v>
      </c>
      <c r="Z124" s="603">
        <f t="shared" si="122"/>
        <v>3.8713794595145162E-3</v>
      </c>
      <c r="AA124" s="386">
        <f t="shared" si="70"/>
        <v>39.168448494571543</v>
      </c>
      <c r="AB124" s="386">
        <f t="shared" si="71"/>
        <v>8.7447539375898504</v>
      </c>
      <c r="AC124" s="386">
        <f t="shared" si="72"/>
        <v>0</v>
      </c>
      <c r="AD124">
        <f t="shared" si="73"/>
        <v>0</v>
      </c>
      <c r="AE124" s="386">
        <f t="shared" si="74"/>
        <v>-11.676006065191608</v>
      </c>
      <c r="AF124" s="386">
        <f t="shared" si="75"/>
        <v>0</v>
      </c>
      <c r="AG124" s="386">
        <f t="shared" si="76"/>
        <v>0</v>
      </c>
      <c r="AH124" s="386">
        <f t="shared" si="77"/>
        <v>0</v>
      </c>
      <c r="AI124" s="386">
        <f t="shared" si="78"/>
        <v>0</v>
      </c>
      <c r="AJ124" s="386">
        <f t="shared" si="79"/>
        <v>33.354822961885652</v>
      </c>
      <c r="AK124" s="386">
        <f t="shared" si="80"/>
        <v>2.1138340081555955</v>
      </c>
      <c r="AL124" s="386">
        <f t="shared" si="81"/>
        <v>3.4278314774423144</v>
      </c>
      <c r="AM124">
        <f t="shared" si="82"/>
        <v>0</v>
      </c>
      <c r="AN124" s="386">
        <f t="shared" si="83"/>
        <v>9.6003928763232871</v>
      </c>
      <c r="AO124" s="386">
        <f t="shared" si="84"/>
        <v>20.533463971117229</v>
      </c>
      <c r="AP124" s="386">
        <f t="shared" si="85"/>
        <v>0.80108397104102158</v>
      </c>
      <c r="AQ124" s="386">
        <f t="shared" si="86"/>
        <v>1.8788990825688072</v>
      </c>
      <c r="AR124" s="386">
        <f t="shared" si="87"/>
        <v>3.1912796482789711</v>
      </c>
      <c r="AS124" s="386">
        <f t="shared" si="88"/>
        <v>8.7447539375898504</v>
      </c>
      <c r="AT124" s="386">
        <f t="shared" si="89"/>
        <v>0</v>
      </c>
      <c r="AU124" s="386">
        <f t="shared" si="90"/>
        <v>0.95039999999999991</v>
      </c>
      <c r="AV124" s="386">
        <f t="shared" si="91"/>
        <v>3.3376326444562032</v>
      </c>
      <c r="AW124" s="386">
        <f t="shared" si="92"/>
        <v>0.249</v>
      </c>
      <c r="AX124" s="386">
        <f t="shared" si="93"/>
        <v>0.14400000000000002</v>
      </c>
      <c r="AY124" s="386">
        <f t="shared" si="94"/>
        <v>1.2671999999999999</v>
      </c>
      <c r="AZ124" s="386">
        <f t="shared" si="95"/>
        <v>0.10439999999999998</v>
      </c>
      <c r="BA124" s="386">
        <f t="shared" si="123"/>
        <v>1.4112</v>
      </c>
      <c r="BB124" s="386">
        <f t="shared" si="124"/>
        <v>85.04673304116001</v>
      </c>
      <c r="BC124">
        <f t="shared" si="96"/>
        <v>480</v>
      </c>
      <c r="BD124" s="604">
        <f t="shared" si="125"/>
        <v>0.8494872581893772</v>
      </c>
      <c r="BE124" s="614">
        <f t="shared" si="97"/>
        <v>527.53964381616436</v>
      </c>
      <c r="BF124" s="614">
        <f t="shared" si="98"/>
        <v>159.56398241394857</v>
      </c>
      <c r="BG124" s="9"/>
      <c r="BH124" s="4">
        <f t="shared" si="126"/>
        <v>84.948725818937717</v>
      </c>
      <c r="BI124" s="386">
        <f t="shared" si="127"/>
        <v>77.441003653686465</v>
      </c>
      <c r="BJ124" s="386">
        <f t="shared" si="128"/>
        <v>2.0660664594106501</v>
      </c>
      <c r="BK124" s="386">
        <f t="shared" si="129"/>
        <v>0.31363199999999997</v>
      </c>
      <c r="BL124" s="386">
        <f t="shared" si="130"/>
        <v>3.3376326444562032</v>
      </c>
    </row>
    <row r="125" spans="7:64" x14ac:dyDescent="0.3">
      <c r="G125">
        <v>116</v>
      </c>
      <c r="H125" s="610">
        <f t="shared" si="59"/>
        <v>13.7</v>
      </c>
      <c r="I125" s="4" t="str">
        <f t="shared" si="60"/>
        <v>BOOST</v>
      </c>
      <c r="J125">
        <f t="shared" si="99"/>
        <v>2</v>
      </c>
      <c r="K125">
        <f t="shared" si="61"/>
        <v>10</v>
      </c>
      <c r="L125" s="4">
        <f t="shared" si="62"/>
        <v>38.929440389294406</v>
      </c>
      <c r="M125" s="4">
        <f t="shared" si="63"/>
        <v>36.17447567229749</v>
      </c>
      <c r="N125" s="386">
        <f t="shared" si="64"/>
        <v>1</v>
      </c>
      <c r="O125" s="386">
        <f t="shared" si="115"/>
        <v>0.72356199186991876</v>
      </c>
      <c r="P125" s="4">
        <f t="shared" si="65"/>
        <v>4.8371725827249623</v>
      </c>
      <c r="Q125" s="386">
        <f t="shared" si="66"/>
        <v>38.954475766462089</v>
      </c>
      <c r="R125" s="386">
        <f t="shared" si="116"/>
        <v>70.707225601780934</v>
      </c>
      <c r="S125" s="386">
        <f t="shared" si="117"/>
        <v>1.2145237005621881</v>
      </c>
      <c r="T125" s="386">
        <f t="shared" si="118"/>
        <v>71.921749302343116</v>
      </c>
      <c r="U125" s="4">
        <f t="shared" si="68"/>
        <v>16.335494950576734</v>
      </c>
      <c r="V125" s="386">
        <f t="shared" si="119"/>
        <v>0.5336967905606359</v>
      </c>
      <c r="W125" s="386">
        <f t="shared" si="120"/>
        <v>0.5336967905606359</v>
      </c>
      <c r="X125" s="386">
        <f t="shared" si="69"/>
        <v>1.3963714463764672</v>
      </c>
      <c r="Y125" s="386">
        <f t="shared" si="121"/>
        <v>3.8997064325110137E-3</v>
      </c>
      <c r="Z125" s="603">
        <f t="shared" si="122"/>
        <v>3.8997064325110137E-3</v>
      </c>
      <c r="AA125" s="386">
        <f t="shared" si="70"/>
        <v>38.954475766462089</v>
      </c>
      <c r="AB125" s="386">
        <f t="shared" si="71"/>
        <v>8.6494717387673283</v>
      </c>
      <c r="AC125" s="386">
        <f t="shared" si="72"/>
        <v>0</v>
      </c>
      <c r="AD125">
        <f t="shared" si="73"/>
        <v>0</v>
      </c>
      <c r="AE125" s="386">
        <f t="shared" si="74"/>
        <v>-11.850306507221829</v>
      </c>
      <c r="AF125" s="386">
        <f t="shared" si="75"/>
        <v>0</v>
      </c>
      <c r="AG125" s="386">
        <f t="shared" si="76"/>
        <v>0</v>
      </c>
      <c r="AH125" s="386">
        <f t="shared" si="77"/>
        <v>0</v>
      </c>
      <c r="AI125" s="386">
        <f t="shared" si="78"/>
        <v>0</v>
      </c>
      <c r="AJ125" s="386">
        <f t="shared" si="79"/>
        <v>33.135630369541069</v>
      </c>
      <c r="AK125" s="386">
        <f t="shared" si="80"/>
        <v>2.0861429999750194</v>
      </c>
      <c r="AL125" s="386">
        <f t="shared" si="81"/>
        <v>3.4090659766533973</v>
      </c>
      <c r="AM125">
        <f t="shared" si="82"/>
        <v>0</v>
      </c>
      <c r="AN125" s="386">
        <f t="shared" si="83"/>
        <v>9.4294417615231385</v>
      </c>
      <c r="AO125" s="386">
        <f t="shared" si="84"/>
        <v>20.481239763574614</v>
      </c>
      <c r="AP125" s="386">
        <f t="shared" si="85"/>
        <v>0.79701424628075679</v>
      </c>
      <c r="AQ125" s="386">
        <f t="shared" si="86"/>
        <v>1.8686131386861315</v>
      </c>
      <c r="AR125" s="386">
        <f t="shared" si="87"/>
        <v>3.171111611082742</v>
      </c>
      <c r="AS125" s="386">
        <f t="shared" si="88"/>
        <v>8.6494717387673283</v>
      </c>
      <c r="AT125" s="386">
        <f t="shared" si="89"/>
        <v>0</v>
      </c>
      <c r="AU125" s="386">
        <f t="shared" si="90"/>
        <v>0.95039999999999991</v>
      </c>
      <c r="AV125" s="386">
        <f t="shared" si="91"/>
        <v>3.2939099999605572</v>
      </c>
      <c r="AW125" s="386">
        <f t="shared" si="92"/>
        <v>0.249</v>
      </c>
      <c r="AX125" s="386">
        <f t="shared" si="93"/>
        <v>0.14400000000000002</v>
      </c>
      <c r="AY125" s="386">
        <f t="shared" si="94"/>
        <v>1.2671999999999999</v>
      </c>
      <c r="AZ125" s="386">
        <f t="shared" si="95"/>
        <v>0.10439999999999998</v>
      </c>
      <c r="BA125" s="386">
        <f t="shared" si="123"/>
        <v>1.4112</v>
      </c>
      <c r="BB125" s="386">
        <f t="shared" si="124"/>
        <v>79.114102664680857</v>
      </c>
      <c r="BC125">
        <f t="shared" si="96"/>
        <v>480</v>
      </c>
      <c r="BD125" s="604">
        <f t="shared" si="125"/>
        <v>0.85850097093306865</v>
      </c>
      <c r="BE125" s="614">
        <f t="shared" si="97"/>
        <v>518.99208807615696</v>
      </c>
      <c r="BF125" s="614">
        <f t="shared" si="98"/>
        <v>158.55558055413709</v>
      </c>
      <c r="BG125" s="9"/>
      <c r="BH125" s="4">
        <f t="shared" si="126"/>
        <v>85.850097093306871</v>
      </c>
      <c r="BI125" s="386">
        <f t="shared" si="127"/>
        <v>71.921749302343116</v>
      </c>
      <c r="BJ125" s="386">
        <f t="shared" si="128"/>
        <v>1.7006468653840516</v>
      </c>
      <c r="BK125" s="386">
        <f t="shared" si="129"/>
        <v>0.31363199999999997</v>
      </c>
      <c r="BL125" s="386">
        <f t="shared" si="130"/>
        <v>3.2939099999605572</v>
      </c>
    </row>
    <row r="126" spans="7:64" x14ac:dyDescent="0.3">
      <c r="G126">
        <v>117</v>
      </c>
      <c r="H126" s="610">
        <f t="shared" si="59"/>
        <v>13.774999999999999</v>
      </c>
      <c r="I126" s="4" t="str">
        <f t="shared" si="60"/>
        <v>BOOST</v>
      </c>
      <c r="J126">
        <f t="shared" si="99"/>
        <v>2</v>
      </c>
      <c r="K126">
        <f t="shared" si="61"/>
        <v>10</v>
      </c>
      <c r="L126" s="4">
        <f t="shared" si="62"/>
        <v>38.717483363581373</v>
      </c>
      <c r="M126" s="4">
        <f t="shared" si="63"/>
        <v>35.964327378430362</v>
      </c>
      <c r="N126" s="386">
        <f t="shared" si="64"/>
        <v>1</v>
      </c>
      <c r="O126" s="386">
        <f t="shared" si="115"/>
        <v>0.72194669749343043</v>
      </c>
      <c r="P126" s="4">
        <f t="shared" si="65"/>
        <v>4.8546401226776918</v>
      </c>
      <c r="Q126" s="386">
        <f t="shared" si="66"/>
        <v>38.742837775550115</v>
      </c>
      <c r="R126" s="386">
        <f t="shared" si="116"/>
        <v>65.901457349743453</v>
      </c>
      <c r="S126" s="386">
        <f t="shared" si="117"/>
        <v>1.2246523216251879</v>
      </c>
      <c r="T126" s="386">
        <f t="shared" si="118"/>
        <v>67.126109671368638</v>
      </c>
      <c r="U126" s="4">
        <f t="shared" si="68"/>
        <v>16.270911656811116</v>
      </c>
      <c r="V126" s="386">
        <f t="shared" si="119"/>
        <v>0.52948513228750371</v>
      </c>
      <c r="W126" s="386">
        <f t="shared" si="120"/>
        <v>0.52948513228750371</v>
      </c>
      <c r="X126" s="386">
        <f t="shared" si="69"/>
        <v>1.4014138908233618</v>
      </c>
      <c r="Y126" s="386">
        <f t="shared" si="121"/>
        <v>3.927921786785347E-3</v>
      </c>
      <c r="Z126" s="603">
        <f t="shared" si="122"/>
        <v>3.927921786785347E-3</v>
      </c>
      <c r="AA126" s="386">
        <f t="shared" si="70"/>
        <v>38.742837775550115</v>
      </c>
      <c r="AB126" s="386">
        <f t="shared" si="71"/>
        <v>8.5557426297447812</v>
      </c>
      <c r="AC126" s="386">
        <f t="shared" si="72"/>
        <v>0</v>
      </c>
      <c r="AD126">
        <f t="shared" si="73"/>
        <v>0</v>
      </c>
      <c r="AE126" s="386">
        <f t="shared" si="74"/>
        <v>-12.030880072946793</v>
      </c>
      <c r="AF126" s="386">
        <f t="shared" si="75"/>
        <v>0</v>
      </c>
      <c r="AG126" s="386">
        <f t="shared" si="76"/>
        <v>0</v>
      </c>
      <c r="AH126" s="386">
        <f t="shared" si="77"/>
        <v>0</v>
      </c>
      <c r="AI126" s="386">
        <f t="shared" si="78"/>
        <v>0</v>
      </c>
      <c r="AJ126" s="386">
        <f t="shared" si="79"/>
        <v>32.918799982785934</v>
      </c>
      <c r="AK126" s="386">
        <f t="shared" si="80"/>
        <v>2.0589300453826676</v>
      </c>
      <c r="AL126" s="386">
        <f t="shared" si="81"/>
        <v>3.3905048188857747</v>
      </c>
      <c r="AM126">
        <f t="shared" si="82"/>
        <v>0</v>
      </c>
      <c r="AN126" s="386">
        <f t="shared" si="83"/>
        <v>9.2643747825737748</v>
      </c>
      <c r="AO126" s="386">
        <f t="shared" si="84"/>
        <v>20.4293927123624</v>
      </c>
      <c r="AP126" s="386">
        <f t="shared" si="85"/>
        <v>0.79298416453225928</v>
      </c>
      <c r="AQ126" s="386">
        <f t="shared" si="86"/>
        <v>1.858439201451906</v>
      </c>
      <c r="AR126" s="386">
        <f t="shared" si="87"/>
        <v>3.1511925194469548</v>
      </c>
      <c r="AS126" s="386">
        <f t="shared" si="88"/>
        <v>8.5557426297447812</v>
      </c>
      <c r="AT126" s="386">
        <f t="shared" si="89"/>
        <v>0</v>
      </c>
      <c r="AU126" s="386">
        <f t="shared" si="90"/>
        <v>0.95039999999999991</v>
      </c>
      <c r="AV126" s="386">
        <f t="shared" si="91"/>
        <v>3.2509421769200015</v>
      </c>
      <c r="AW126" s="386">
        <f t="shared" si="92"/>
        <v>0.249</v>
      </c>
      <c r="AX126" s="386">
        <f t="shared" si="93"/>
        <v>0.14400000000000002</v>
      </c>
      <c r="AY126" s="386">
        <f t="shared" si="94"/>
        <v>1.2671999999999999</v>
      </c>
      <c r="AZ126" s="386">
        <f t="shared" si="95"/>
        <v>0.10439999999999998</v>
      </c>
      <c r="BA126" s="386">
        <f t="shared" si="123"/>
        <v>1.4112</v>
      </c>
      <c r="BB126" s="386">
        <f t="shared" si="124"/>
        <v>73.905752131436856</v>
      </c>
      <c r="BC126">
        <f t="shared" si="96"/>
        <v>480</v>
      </c>
      <c r="BD126" s="604">
        <f t="shared" si="125"/>
        <v>0.86657341642139196</v>
      </c>
      <c r="BE126" s="614">
        <f t="shared" si="97"/>
        <v>510.73873912868874</v>
      </c>
      <c r="BF126" s="614">
        <f t="shared" si="98"/>
        <v>157.55962597234773</v>
      </c>
      <c r="BG126" s="9"/>
      <c r="BH126" s="4">
        <f t="shared" si="126"/>
        <v>86.657341642139201</v>
      </c>
      <c r="BI126" s="386">
        <f t="shared" si="127"/>
        <v>67.126109671368638</v>
      </c>
      <c r="BJ126" s="386">
        <f t="shared" si="128"/>
        <v>1.3350872290739362</v>
      </c>
      <c r="BK126" s="386">
        <f t="shared" si="129"/>
        <v>0.31363199999999997</v>
      </c>
      <c r="BL126" s="386">
        <f t="shared" si="130"/>
        <v>3.2509421769200015</v>
      </c>
    </row>
    <row r="127" spans="7:64" x14ac:dyDescent="0.3">
      <c r="G127">
        <v>118</v>
      </c>
      <c r="H127" s="610">
        <f t="shared" si="59"/>
        <v>13.85</v>
      </c>
      <c r="I127" s="4" t="str">
        <f t="shared" si="60"/>
        <v>BOOST</v>
      </c>
      <c r="J127">
        <f t="shared" si="99"/>
        <v>2</v>
      </c>
      <c r="K127">
        <f t="shared" si="61"/>
        <v>10</v>
      </c>
      <c r="L127" s="4">
        <f t="shared" si="62"/>
        <v>38.507821901323709</v>
      </c>
      <c r="M127" s="4">
        <f t="shared" si="63"/>
        <v>35.756679890911222</v>
      </c>
      <c r="N127" s="386">
        <f t="shared" si="64"/>
        <v>1</v>
      </c>
      <c r="O127" s="386">
        <f t="shared" si="115"/>
        <v>0.72033197627663859</v>
      </c>
      <c r="P127" s="4">
        <f t="shared" si="65"/>
        <v>4.8719751149238393</v>
      </c>
      <c r="Q127" s="386">
        <f t="shared" si="66"/>
        <v>38.533496589038421</v>
      </c>
      <c r="R127" s="386">
        <f t="shared" si="116"/>
        <v>61.686178182343106</v>
      </c>
      <c r="S127" s="386">
        <f t="shared" si="117"/>
        <v>1.2347511779956148</v>
      </c>
      <c r="T127" s="386">
        <f t="shared" si="118"/>
        <v>62.920929360338718</v>
      </c>
      <c r="U127" s="4">
        <f t="shared" si="68"/>
        <v>16.206834995375853</v>
      </c>
      <c r="V127" s="386">
        <f t="shared" si="119"/>
        <v>0.52532300113467889</v>
      </c>
      <c r="W127" s="386">
        <f t="shared" si="120"/>
        <v>0.52532300113467889</v>
      </c>
      <c r="X127" s="386">
        <f t="shared" si="69"/>
        <v>1.4064180720432184</v>
      </c>
      <c r="Y127" s="386">
        <f t="shared" si="121"/>
        <v>3.9560235867395271E-3</v>
      </c>
      <c r="Z127" s="603">
        <f t="shared" si="122"/>
        <v>3.9560235867395271E-3</v>
      </c>
      <c r="AA127" s="386">
        <f t="shared" si="70"/>
        <v>38.533496589038421</v>
      </c>
      <c r="AB127" s="386">
        <f t="shared" si="71"/>
        <v>8.4635330484513833</v>
      </c>
      <c r="AC127" s="386">
        <f t="shared" si="72"/>
        <v>0</v>
      </c>
      <c r="AD127">
        <f t="shared" si="73"/>
        <v>0</v>
      </c>
      <c r="AE127" s="386">
        <f t="shared" si="74"/>
        <v>-12.218063073247707</v>
      </c>
      <c r="AF127" s="386">
        <f t="shared" si="75"/>
        <v>0</v>
      </c>
      <c r="AG127" s="386">
        <f t="shared" si="76"/>
        <v>0</v>
      </c>
      <c r="AH127" s="386">
        <f t="shared" si="77"/>
        <v>0</v>
      </c>
      <c r="AI127" s="386">
        <f t="shared" si="78"/>
        <v>0</v>
      </c>
      <c r="AJ127" s="386">
        <f t="shared" si="79"/>
        <v>32.704293100538031</v>
      </c>
      <c r="AK127" s="386">
        <f t="shared" si="80"/>
        <v>2.032184495691209</v>
      </c>
      <c r="AL127" s="386">
        <f t="shared" si="81"/>
        <v>3.3721446844874761</v>
      </c>
      <c r="AM127">
        <f t="shared" si="82"/>
        <v>0</v>
      </c>
      <c r="AN127" s="386">
        <f t="shared" si="83"/>
        <v>9.1048941087012789</v>
      </c>
      <c r="AO127" s="386">
        <f t="shared" si="84"/>
        <v>20.37791873993848</v>
      </c>
      <c r="AP127" s="386">
        <f t="shared" si="85"/>
        <v>0.78899318712591815</v>
      </c>
      <c r="AQ127" s="386">
        <f t="shared" si="86"/>
        <v>1.848375451263538</v>
      </c>
      <c r="AR127" s="386">
        <f t="shared" si="87"/>
        <v>3.1315178953479399</v>
      </c>
      <c r="AS127" s="386">
        <f t="shared" si="88"/>
        <v>8.4635330484513833</v>
      </c>
      <c r="AT127" s="386">
        <f t="shared" si="89"/>
        <v>0</v>
      </c>
      <c r="AU127" s="386">
        <f t="shared" si="90"/>
        <v>0.95039999999999991</v>
      </c>
      <c r="AV127" s="386">
        <f t="shared" si="91"/>
        <v>3.2087123616176987</v>
      </c>
      <c r="AW127" s="386">
        <f t="shared" si="92"/>
        <v>0.249</v>
      </c>
      <c r="AX127" s="386">
        <f t="shared" si="93"/>
        <v>0.14400000000000002</v>
      </c>
      <c r="AY127" s="386">
        <f t="shared" si="94"/>
        <v>1.2671999999999999</v>
      </c>
      <c r="AZ127" s="386">
        <f t="shared" si="95"/>
        <v>0.10439999999999998</v>
      </c>
      <c r="BA127" s="386">
        <f t="shared" si="123"/>
        <v>1.4112</v>
      </c>
      <c r="BB127" s="386">
        <f t="shared" si="124"/>
        <v>69.287869677479335</v>
      </c>
      <c r="BC127">
        <f t="shared" si="96"/>
        <v>480</v>
      </c>
      <c r="BD127" s="604">
        <f t="shared" si="125"/>
        <v>0.87385872963449485</v>
      </c>
      <c r="BE127" s="614">
        <f t="shared" si="97"/>
        <v>502.76470543506395</v>
      </c>
      <c r="BF127" s="614">
        <f t="shared" si="98"/>
        <v>156.57589476739699</v>
      </c>
      <c r="BG127" s="9"/>
      <c r="BH127" s="4">
        <f t="shared" si="126"/>
        <v>87.385872963449486</v>
      </c>
      <c r="BI127" s="386">
        <f t="shared" si="127"/>
        <v>62.920929360338718</v>
      </c>
      <c r="BJ127" s="386">
        <f t="shared" si="128"/>
        <v>0.96874893080151137</v>
      </c>
      <c r="BK127" s="386">
        <f t="shared" si="129"/>
        <v>0.31363199999999997</v>
      </c>
      <c r="BL127" s="386">
        <f t="shared" si="130"/>
        <v>3.2087123616176987</v>
      </c>
    </row>
    <row r="128" spans="7:64" x14ac:dyDescent="0.3">
      <c r="G128">
        <v>119</v>
      </c>
      <c r="H128" s="610">
        <f t="shared" si="59"/>
        <v>13.924999999999999</v>
      </c>
      <c r="I128" s="4" t="str">
        <f t="shared" si="60"/>
        <v>BOOST</v>
      </c>
      <c r="J128">
        <f t="shared" si="99"/>
        <v>2</v>
      </c>
      <c r="K128">
        <f t="shared" si="61"/>
        <v>10</v>
      </c>
      <c r="L128" s="4">
        <f t="shared" si="62"/>
        <v>38.300418910831844</v>
      </c>
      <c r="M128" s="4">
        <f t="shared" si="63"/>
        <v>35.551487698868037</v>
      </c>
      <c r="N128" s="386">
        <f t="shared" si="64"/>
        <v>1</v>
      </c>
      <c r="O128" s="386">
        <f t="shared" si="115"/>
        <v>0.71871781893621289</v>
      </c>
      <c r="P128" s="4">
        <f t="shared" si="65"/>
        <v>4.8891777906635969</v>
      </c>
      <c r="Q128" s="386">
        <f t="shared" si="66"/>
        <v>38.326415090651672</v>
      </c>
      <c r="R128" s="386">
        <f t="shared" si="116"/>
        <v>57.959012128653356</v>
      </c>
      <c r="S128" s="386">
        <f t="shared" si="117"/>
        <v>1.2448193794267151</v>
      </c>
      <c r="T128" s="386">
        <f t="shared" si="118"/>
        <v>59.203831508080071</v>
      </c>
      <c r="U128" s="4">
        <f t="shared" si="68"/>
        <v>16.143256982434288</v>
      </c>
      <c r="V128" s="386">
        <f t="shared" si="119"/>
        <v>0.52120949200182676</v>
      </c>
      <c r="W128" s="386">
        <f t="shared" si="120"/>
        <v>0.52120949200182676</v>
      </c>
      <c r="X128" s="386">
        <f t="shared" si="69"/>
        <v>1.4113840567777838</v>
      </c>
      <c r="Y128" s="386">
        <f t="shared" si="121"/>
        <v>3.9840099114530287E-3</v>
      </c>
      <c r="Z128" s="603">
        <f t="shared" si="122"/>
        <v>3.9840099114530287E-3</v>
      </c>
      <c r="AA128" s="386">
        <f t="shared" si="70"/>
        <v>38.326415090651672</v>
      </c>
      <c r="AB128" s="386">
        <f t="shared" si="71"/>
        <v>8.3728103340953144</v>
      </c>
      <c r="AC128" s="386">
        <f t="shared" si="72"/>
        <v>0</v>
      </c>
      <c r="AD128">
        <f t="shared" si="73"/>
        <v>0</v>
      </c>
      <c r="AE128" s="386">
        <f t="shared" si="74"/>
        <v>-12.412216378513236</v>
      </c>
      <c r="AF128" s="386">
        <f t="shared" si="75"/>
        <v>0</v>
      </c>
      <c r="AG128" s="386">
        <f t="shared" si="76"/>
        <v>0</v>
      </c>
      <c r="AH128" s="386">
        <f t="shared" si="77"/>
        <v>0</v>
      </c>
      <c r="AI128" s="386">
        <f t="shared" si="78"/>
        <v>0</v>
      </c>
      <c r="AJ128" s="386">
        <f t="shared" si="79"/>
        <v>32.492071858060974</v>
      </c>
      <c r="AK128" s="386">
        <f t="shared" si="80"/>
        <v>2.005895993895856</v>
      </c>
      <c r="AL128" s="386">
        <f t="shared" si="81"/>
        <v>3.3539823253250667</v>
      </c>
      <c r="AM128">
        <f t="shared" si="82"/>
        <v>0</v>
      </c>
      <c r="AN128" s="386">
        <f t="shared" si="83"/>
        <v>8.9507216654692421</v>
      </c>
      <c r="AO128" s="386">
        <f t="shared" si="84"/>
        <v>20.326813819965352</v>
      </c>
      <c r="AP128" s="386">
        <f t="shared" si="85"/>
        <v>0.78504078413591538</v>
      </c>
      <c r="AQ128" s="386">
        <f t="shared" si="86"/>
        <v>1.8384201077199285</v>
      </c>
      <c r="AR128" s="386">
        <f t="shared" si="87"/>
        <v>3.1120833648659909</v>
      </c>
      <c r="AS128" s="386">
        <f t="shared" si="88"/>
        <v>8.3728103340953144</v>
      </c>
      <c r="AT128" s="386">
        <f t="shared" si="89"/>
        <v>0</v>
      </c>
      <c r="AU128" s="386">
        <f t="shared" si="90"/>
        <v>0.95039999999999991</v>
      </c>
      <c r="AV128" s="386">
        <f t="shared" si="91"/>
        <v>3.1672042008881935</v>
      </c>
      <c r="AW128" s="386">
        <f t="shared" si="92"/>
        <v>0.249</v>
      </c>
      <c r="AX128" s="386">
        <f t="shared" si="93"/>
        <v>0.14400000000000002</v>
      </c>
      <c r="AY128" s="386">
        <f t="shared" si="94"/>
        <v>1.2671999999999999</v>
      </c>
      <c r="AZ128" s="386">
        <f t="shared" si="95"/>
        <v>0.10439999999999998</v>
      </c>
      <c r="BA128" s="386">
        <f t="shared" si="123"/>
        <v>1.4112</v>
      </c>
      <c r="BB128" s="386">
        <f t="shared" si="124"/>
        <v>65.157417862703539</v>
      </c>
      <c r="BC128">
        <f t="shared" si="96"/>
        <v>480</v>
      </c>
      <c r="BD128" s="604">
        <f t="shared" si="125"/>
        <v>0.88047962711733052</v>
      </c>
      <c r="BE128" s="614">
        <f t="shared" si="97"/>
        <v>495.05608327346209</v>
      </c>
      <c r="BF128" s="614">
        <f t="shared" si="98"/>
        <v>155.60416824329954</v>
      </c>
      <c r="BG128" s="9"/>
      <c r="BH128" s="4">
        <f t="shared" si="126"/>
        <v>88.047962711733049</v>
      </c>
      <c r="BI128" s="386">
        <f t="shared" si="127"/>
        <v>59.203831508080071</v>
      </c>
      <c r="BJ128" s="386">
        <f t="shared" si="128"/>
        <v>0.60098865182199712</v>
      </c>
      <c r="BK128" s="386">
        <f t="shared" si="129"/>
        <v>0.31363199999999997</v>
      </c>
      <c r="BL128" s="386">
        <f t="shared" si="130"/>
        <v>3.1672042008881935</v>
      </c>
    </row>
    <row r="129" spans="7:64" x14ac:dyDescent="0.3">
      <c r="G129">
        <v>120</v>
      </c>
      <c r="H129" s="610">
        <f t="shared" si="59"/>
        <v>14</v>
      </c>
      <c r="I129" s="4" t="str">
        <f t="shared" si="60"/>
        <v>BOOST</v>
      </c>
      <c r="J129">
        <f t="shared" si="99"/>
        <v>2</v>
      </c>
      <c r="K129">
        <f t="shared" si="61"/>
        <v>10</v>
      </c>
      <c r="L129" s="4">
        <f t="shared" si="62"/>
        <v>38.095238095238095</v>
      </c>
      <c r="M129" s="4">
        <f t="shared" si="63"/>
        <v>35.348706411698544</v>
      </c>
      <c r="N129" s="386">
        <f t="shared" si="64"/>
        <v>1</v>
      </c>
      <c r="O129" s="386">
        <f t="shared" si="115"/>
        <v>0.71710421638822597</v>
      </c>
      <c r="P129" s="4">
        <f t="shared" si="65"/>
        <v>4.9062483760972233</v>
      </c>
      <c r="Q129" s="386">
        <f t="shared" si="66"/>
        <v>38.121556958762973</v>
      </c>
      <c r="R129" s="386">
        <f t="shared" si="116"/>
        <v>54.639954567928598</v>
      </c>
      <c r="S129" s="386">
        <f t="shared" si="117"/>
        <v>1.2548560409972189</v>
      </c>
      <c r="T129" s="386">
        <f t="shared" si="118"/>
        <v>55.894810608925816</v>
      </c>
      <c r="U129" s="4">
        <f t="shared" si="68"/>
        <v>16.08016980878276</v>
      </c>
      <c r="V129" s="386">
        <f t="shared" si="119"/>
        <v>0.51714372215857718</v>
      </c>
      <c r="W129" s="386">
        <f t="shared" si="120"/>
        <v>0.51714372215857718</v>
      </c>
      <c r="X129" s="386">
        <f t="shared" si="69"/>
        <v>1.4163119103254482</v>
      </c>
      <c r="Y129" s="386">
        <f t="shared" si="121"/>
        <v>4.0118788546594413E-3</v>
      </c>
      <c r="Z129" s="603">
        <f t="shared" si="122"/>
        <v>4.0118788546594413E-3</v>
      </c>
      <c r="AA129" s="386">
        <f t="shared" si="70"/>
        <v>38.121556958762973</v>
      </c>
      <c r="AB129" s="386">
        <f t="shared" si="71"/>
        <v>8.2835426982731946</v>
      </c>
      <c r="AC129" s="386">
        <f t="shared" si="72"/>
        <v>0</v>
      </c>
      <c r="AD129">
        <f t="shared" si="73"/>
        <v>0</v>
      </c>
      <c r="AE129" s="386">
        <f t="shared" si="74"/>
        <v>-12.613727701225701</v>
      </c>
      <c r="AF129" s="386">
        <f t="shared" si="75"/>
        <v>0</v>
      </c>
      <c r="AG129" s="386">
        <f t="shared" si="76"/>
        <v>0</v>
      </c>
      <c r="AH129" s="386">
        <f t="shared" si="77"/>
        <v>0</v>
      </c>
      <c r="AI129" s="386">
        <f t="shared" si="78"/>
        <v>0</v>
      </c>
      <c r="AJ129" s="386">
        <f t="shared" si="79"/>
        <v>32.282099204454589</v>
      </c>
      <c r="AK129" s="386">
        <f t="shared" si="80"/>
        <v>1.9800544651878706</v>
      </c>
      <c r="AL129" s="386">
        <f t="shared" si="81"/>
        <v>3.3360145628679665</v>
      </c>
      <c r="AM129">
        <f t="shared" si="82"/>
        <v>0</v>
      </c>
      <c r="AN129" s="386">
        <f t="shared" si="83"/>
        <v>8.8015975234906829</v>
      </c>
      <c r="AO129" s="386">
        <f t="shared" si="84"/>
        <v>20.27607397683196</v>
      </c>
      <c r="AP129" s="386">
        <f t="shared" si="85"/>
        <v>0.78112643423652817</v>
      </c>
      <c r="AQ129" s="386">
        <f t="shared" si="86"/>
        <v>1.8285714285714285</v>
      </c>
      <c r="AR129" s="386">
        <f t="shared" si="87"/>
        <v>3.092884655261873</v>
      </c>
      <c r="AS129" s="386">
        <f t="shared" si="88"/>
        <v>8.2835426982731946</v>
      </c>
      <c r="AT129" s="386">
        <f t="shared" si="89"/>
        <v>0</v>
      </c>
      <c r="AU129" s="386">
        <f t="shared" si="90"/>
        <v>0.95039999999999991</v>
      </c>
      <c r="AV129" s="386">
        <f t="shared" si="91"/>
        <v>3.1264017871387431</v>
      </c>
      <c r="AW129" s="386">
        <f t="shared" si="92"/>
        <v>0.249</v>
      </c>
      <c r="AX129" s="386">
        <f t="shared" si="93"/>
        <v>0.14400000000000002</v>
      </c>
      <c r="AY129" s="386">
        <f t="shared" si="94"/>
        <v>1.2671999999999999</v>
      </c>
      <c r="AZ129" s="386">
        <f t="shared" si="95"/>
        <v>0.10439999999999998</v>
      </c>
      <c r="BA129" s="386">
        <f t="shared" si="123"/>
        <v>1.4112</v>
      </c>
      <c r="BB129" s="386">
        <f t="shared" si="124"/>
        <v>61.433722474604657</v>
      </c>
      <c r="BC129">
        <f t="shared" si="96"/>
        <v>480</v>
      </c>
      <c r="BD129" s="604">
        <f t="shared" si="125"/>
        <v>0.88653510129767332</v>
      </c>
      <c r="BE129" s="614">
        <f t="shared" si="97"/>
        <v>487.59987617453413</v>
      </c>
      <c r="BF129" s="614">
        <f t="shared" si="98"/>
        <v>154.64423276309364</v>
      </c>
      <c r="BG129" s="9"/>
      <c r="BH129" s="4">
        <f t="shared" si="126"/>
        <v>88.653510129767326</v>
      </c>
      <c r="BI129" s="386">
        <f t="shared" si="127"/>
        <v>55.894810608925816</v>
      </c>
      <c r="BJ129" s="386">
        <f t="shared" si="128"/>
        <v>0.23115447752685525</v>
      </c>
      <c r="BK129" s="386">
        <f t="shared" si="129"/>
        <v>0.31363199999999997</v>
      </c>
      <c r="BL129" s="386">
        <f t="shared" si="130"/>
        <v>3.1264017871387431</v>
      </c>
    </row>
    <row r="130" spans="7:64" x14ac:dyDescent="0.3">
      <c r="G130">
        <v>121</v>
      </c>
      <c r="H130" s="610">
        <f t="shared" si="59"/>
        <v>14.074999999999999</v>
      </c>
      <c r="I130" s="4" t="str">
        <f t="shared" si="60"/>
        <v>BOOST</v>
      </c>
      <c r="J130">
        <f t="shared" si="99"/>
        <v>2</v>
      </c>
      <c r="K130">
        <f t="shared" si="61"/>
        <v>10</v>
      </c>
      <c r="L130" s="4">
        <f t="shared" si="62"/>
        <v>37.892243931320309</v>
      </c>
      <c r="M130" s="4">
        <f t="shared" si="63"/>
        <v>35.148292724264302</v>
      </c>
      <c r="N130" s="386">
        <f t="shared" si="64"/>
        <v>1</v>
      </c>
      <c r="O130" s="386">
        <f t="shared" si="115"/>
        <v>0.71549115974282895</v>
      </c>
      <c r="P130" s="4">
        <f t="shared" si="65"/>
        <v>4.9231870925594663</v>
      </c>
      <c r="Q130" s="386">
        <f t="shared" si="66"/>
        <v>37.918886645219985</v>
      </c>
      <c r="R130" s="386">
        <f t="shared" si="116"/>
        <v>51.665578014179303</v>
      </c>
      <c r="S130" s="386">
        <f t="shared" si="117"/>
        <v>1.2648602831374367</v>
      </c>
      <c r="T130" s="386">
        <f t="shared" si="118"/>
        <v>52.930438297316741</v>
      </c>
      <c r="U130" s="4">
        <f t="shared" si="68"/>
        <v>16.017565834873146</v>
      </c>
      <c r="V130" s="386">
        <f t="shared" si="119"/>
        <v>0.51312483054899083</v>
      </c>
      <c r="W130" s="386">
        <f t="shared" si="120"/>
        <v>0.51312483054899083</v>
      </c>
      <c r="X130" s="386">
        <f t="shared" si="69"/>
        <v>1.4212016965800496</v>
      </c>
      <c r="Y130" s="386">
        <f t="shared" si="121"/>
        <v>4.0396285247240229E-3</v>
      </c>
      <c r="Z130" s="603">
        <f t="shared" si="122"/>
        <v>4.0396285247240229E-3</v>
      </c>
      <c r="AA130" s="386">
        <f t="shared" si="70"/>
        <v>37.918886645219985</v>
      </c>
      <c r="AB130" s="386">
        <f t="shared" si="71"/>
        <v>8.195699197154342</v>
      </c>
      <c r="AC130" s="386">
        <f t="shared" si="72"/>
        <v>0</v>
      </c>
      <c r="AD130">
        <f t="shared" si="73"/>
        <v>0</v>
      </c>
      <c r="AE130" s="386">
        <f t="shared" si="74"/>
        <v>-12.823014137958172</v>
      </c>
      <c r="AF130" s="386">
        <f t="shared" si="75"/>
        <v>0</v>
      </c>
      <c r="AG130" s="386">
        <f t="shared" si="76"/>
        <v>0</v>
      </c>
      <c r="AH130" s="386">
        <f t="shared" si="77"/>
        <v>0</v>
      </c>
      <c r="AI130" s="386">
        <f t="shared" si="78"/>
        <v>0</v>
      </c>
      <c r="AJ130" s="386">
        <f t="shared" si="79"/>
        <v>32.074338880868538</v>
      </c>
      <c r="AK130" s="386">
        <f t="shared" si="80"/>
        <v>1.9546501078251108</v>
      </c>
      <c r="AL130" s="386">
        <f t="shared" si="81"/>
        <v>3.3182382863340347</v>
      </c>
      <c r="AM130">
        <f t="shared" si="82"/>
        <v>0</v>
      </c>
      <c r="AN130" s="386">
        <f t="shared" si="83"/>
        <v>8.6572784423030971</v>
      </c>
      <c r="AO130" s="386">
        <f t="shared" si="84"/>
        <v>20.225695285162566</v>
      </c>
      <c r="AP130" s="386">
        <f t="shared" si="85"/>
        <v>0.77724962455966973</v>
      </c>
      <c r="AQ130" s="386">
        <f t="shared" si="86"/>
        <v>1.8188277087033748</v>
      </c>
      <c r="AR130" s="386">
        <f t="shared" si="87"/>
        <v>3.07391759214791</v>
      </c>
      <c r="AS130" s="386">
        <f t="shared" si="88"/>
        <v>8.195699197154342</v>
      </c>
      <c r="AT130" s="386">
        <f t="shared" si="89"/>
        <v>0</v>
      </c>
      <c r="AU130" s="386">
        <f t="shared" si="90"/>
        <v>0.95039999999999991</v>
      </c>
      <c r="AV130" s="386">
        <f t="shared" si="91"/>
        <v>3.0862896439343857</v>
      </c>
      <c r="AW130" s="386">
        <f t="shared" si="92"/>
        <v>0.249</v>
      </c>
      <c r="AX130" s="386">
        <f t="shared" si="93"/>
        <v>0.14400000000000002</v>
      </c>
      <c r="AY130" s="386">
        <f t="shared" si="94"/>
        <v>1.2671999999999999</v>
      </c>
      <c r="AZ130" s="386">
        <f t="shared" si="95"/>
        <v>0.10439999999999998</v>
      </c>
      <c r="BA130" s="386">
        <f t="shared" si="123"/>
        <v>1.4112</v>
      </c>
      <c r="BB130" s="386">
        <f t="shared" si="124"/>
        <v>58.052674296817678</v>
      </c>
      <c r="BC130">
        <f t="shared" si="96"/>
        <v>480</v>
      </c>
      <c r="BD130" s="604">
        <f t="shared" si="125"/>
        <v>0.89210596458295299</v>
      </c>
      <c r="BE130" s="614">
        <f t="shared" si="97"/>
        <v>480.38392211515486</v>
      </c>
      <c r="BF130" s="614">
        <f t="shared" si="98"/>
        <v>153.69587960739551</v>
      </c>
      <c r="BG130" s="9"/>
      <c r="BH130" s="4">
        <f t="shared" si="126"/>
        <v>89.210596458295299</v>
      </c>
      <c r="BI130" s="386">
        <f t="shared" si="127"/>
        <v>52.930438297316741</v>
      </c>
      <c r="BJ130" s="386">
        <f t="shared" si="128"/>
        <v>-0.14141810350716466</v>
      </c>
      <c r="BK130" s="386">
        <f t="shared" si="129"/>
        <v>0.31363199999999997</v>
      </c>
      <c r="BL130" s="386">
        <f t="shared" si="130"/>
        <v>3.0862896439343857</v>
      </c>
    </row>
    <row r="131" spans="7:64" x14ac:dyDescent="0.3">
      <c r="G131">
        <v>122</v>
      </c>
      <c r="H131" s="610">
        <f t="shared" si="59"/>
        <v>14.15</v>
      </c>
      <c r="I131" s="4" t="str">
        <f t="shared" si="60"/>
        <v>BOOST</v>
      </c>
      <c r="J131">
        <f t="shared" si="99"/>
        <v>2</v>
      </c>
      <c r="K131">
        <f t="shared" si="61"/>
        <v>10</v>
      </c>
      <c r="L131" s="4">
        <f t="shared" si="62"/>
        <v>37.69140164899882</v>
      </c>
      <c r="M131" s="4">
        <f t="shared" si="63"/>
        <v>34.950204383389718</v>
      </c>
      <c r="N131" s="386">
        <f t="shared" si="64"/>
        <v>1</v>
      </c>
      <c r="O131" s="386">
        <f t="shared" si="115"/>
        <v>0.71387864029909487</v>
      </c>
      <c r="P131" s="4">
        <f t="shared" si="65"/>
        <v>4.939994156649675</v>
      </c>
      <c r="Q131" s="386">
        <f t="shared" si="66"/>
        <v>37.718369354844356</v>
      </c>
      <c r="R131" s="386">
        <f t="shared" si="116"/>
        <v>48.98495006313162</v>
      </c>
      <c r="S131" s="386">
        <f t="shared" si="117"/>
        <v>1.2748312316552368</v>
      </c>
      <c r="T131" s="386">
        <f t="shared" si="118"/>
        <v>50.259781294786855</v>
      </c>
      <c r="U131" s="4">
        <f t="shared" si="68"/>
        <v>15.955437586009742</v>
      </c>
      <c r="V131" s="386">
        <f t="shared" si="119"/>
        <v>0.5091519771221048</v>
      </c>
      <c r="W131" s="386">
        <f t="shared" si="120"/>
        <v>0.5091519771221048</v>
      </c>
      <c r="X131" s="386">
        <f t="shared" si="69"/>
        <v>1.4260534780684342</v>
      </c>
      <c r="Y131" s="386">
        <f t="shared" si="121"/>
        <v>4.0672570446221561E-3</v>
      </c>
      <c r="Z131" s="603">
        <f t="shared" si="122"/>
        <v>4.0672570446221561E-3</v>
      </c>
      <c r="AA131" s="386">
        <f t="shared" si="70"/>
        <v>37.718369354844356</v>
      </c>
      <c r="AB131" s="386">
        <f t="shared" si="71"/>
        <v>8.109249704694232</v>
      </c>
      <c r="AC131" s="386">
        <f t="shared" si="72"/>
        <v>0</v>
      </c>
      <c r="AD131">
        <f t="shared" si="73"/>
        <v>0</v>
      </c>
      <c r="AE131" s="386">
        <f t="shared" si="74"/>
        <v>-13.040525005841733</v>
      </c>
      <c r="AF131" s="386">
        <f t="shared" si="75"/>
        <v>0</v>
      </c>
      <c r="AG131" s="386">
        <f t="shared" si="76"/>
        <v>0</v>
      </c>
      <c r="AH131" s="386">
        <f t="shared" si="77"/>
        <v>0</v>
      </c>
      <c r="AI131" s="386">
        <f t="shared" si="78"/>
        <v>0</v>
      </c>
      <c r="AJ131" s="386">
        <f t="shared" si="79"/>
        <v>31.868755399411754</v>
      </c>
      <c r="AK131" s="386">
        <f t="shared" si="80"/>
        <v>1.9296733843443181</v>
      </c>
      <c r="AL131" s="386">
        <f t="shared" si="81"/>
        <v>3.3006504508941017</v>
      </c>
      <c r="AM131">
        <f t="shared" si="82"/>
        <v>0</v>
      </c>
      <c r="AN131" s="386">
        <f t="shared" si="83"/>
        <v>8.5175365522496076</v>
      </c>
      <c r="AO131" s="386">
        <f t="shared" si="84"/>
        <v>20.175673869314149</v>
      </c>
      <c r="AP131" s="386">
        <f t="shared" si="85"/>
        <v>0.77340985055375899</v>
      </c>
      <c r="AQ131" s="386">
        <f t="shared" si="86"/>
        <v>1.8091872791519434</v>
      </c>
      <c r="AR131" s="386">
        <f t="shared" si="87"/>
        <v>3.055178096750248</v>
      </c>
      <c r="AS131" s="386">
        <f t="shared" si="88"/>
        <v>8.109249704694232</v>
      </c>
      <c r="AT131" s="386">
        <f t="shared" si="89"/>
        <v>0</v>
      </c>
      <c r="AU131" s="386">
        <f t="shared" si="90"/>
        <v>0.95039999999999991</v>
      </c>
      <c r="AV131" s="386">
        <f t="shared" si="91"/>
        <v>3.0468527121226074</v>
      </c>
      <c r="AW131" s="386">
        <f t="shared" si="92"/>
        <v>0.249</v>
      </c>
      <c r="AX131" s="386">
        <f t="shared" si="93"/>
        <v>0.14400000000000002</v>
      </c>
      <c r="AY131" s="386">
        <f t="shared" si="94"/>
        <v>1.2671999999999999</v>
      </c>
      <c r="AZ131" s="386">
        <f t="shared" si="95"/>
        <v>0.10439999999999998</v>
      </c>
      <c r="BA131" s="386">
        <f t="shared" si="123"/>
        <v>1.4112</v>
      </c>
      <c r="BB131" s="386">
        <f t="shared" si="124"/>
        <v>54.962642884234313</v>
      </c>
      <c r="BC131">
        <f t="shared" si="96"/>
        <v>480</v>
      </c>
      <c r="BD131" s="604">
        <f t="shared" si="125"/>
        <v>0.89725891402826752</v>
      </c>
      <c r="BE131" s="614">
        <f t="shared" si="97"/>
        <v>473.39682761248037</v>
      </c>
      <c r="BF131" s="614">
        <f t="shared" si="98"/>
        <v>152.7589048375124</v>
      </c>
      <c r="BG131" s="9"/>
      <c r="BH131" s="4">
        <f t="shared" si="126"/>
        <v>89.725891402826747</v>
      </c>
      <c r="BI131" s="386">
        <f t="shared" si="127"/>
        <v>50.259781294786855</v>
      </c>
      <c r="BJ131" s="386">
        <f t="shared" si="128"/>
        <v>-0.51741035684187753</v>
      </c>
      <c r="BK131" s="386">
        <f t="shared" si="129"/>
        <v>0.31363199999999997</v>
      </c>
      <c r="BL131" s="386">
        <f t="shared" si="130"/>
        <v>3.0468527121226074</v>
      </c>
    </row>
    <row r="132" spans="7:64" x14ac:dyDescent="0.3">
      <c r="G132">
        <v>123</v>
      </c>
      <c r="H132" s="610">
        <f t="shared" si="59"/>
        <v>14.225</v>
      </c>
      <c r="I132" s="4" t="str">
        <f t="shared" si="60"/>
        <v>BOOST</v>
      </c>
      <c r="J132">
        <f t="shared" si="99"/>
        <v>2</v>
      </c>
      <c r="K132">
        <f t="shared" si="61"/>
        <v>10</v>
      </c>
      <c r="L132" s="4">
        <f t="shared" si="62"/>
        <v>37.492677211482132</v>
      </c>
      <c r="M132" s="4">
        <f t="shared" si="63"/>
        <v>34.754400155609083</v>
      </c>
      <c r="N132" s="386">
        <f t="shared" si="64"/>
        <v>1</v>
      </c>
      <c r="O132" s="386">
        <f t="shared" si="115"/>
        <v>0.71226664954002727</v>
      </c>
      <c r="P132" s="4">
        <f t="shared" si="65"/>
        <v>4.9566697803577586</v>
      </c>
      <c r="Q132" s="386">
        <f t="shared" si="66"/>
        <v>37.519971025579842</v>
      </c>
      <c r="R132" s="386">
        <f t="shared" si="116"/>
        <v>46.556700948622307</v>
      </c>
      <c r="S132" s="386">
        <f t="shared" si="117"/>
        <v>1.2847680177619483</v>
      </c>
      <c r="T132" s="386">
        <f t="shared" si="118"/>
        <v>47.841468966384255</v>
      </c>
      <c r="U132" s="4">
        <f t="shared" si="68"/>
        <v>15.893777747713436</v>
      </c>
      <c r="V132" s="386">
        <f t="shared" si="119"/>
        <v>0.50522434218742163</v>
      </c>
      <c r="W132" s="386">
        <f t="shared" si="120"/>
        <v>0.50522434218742163</v>
      </c>
      <c r="X132" s="386">
        <f t="shared" si="69"/>
        <v>1.4308673159868177</v>
      </c>
      <c r="Y132" s="386">
        <f t="shared" si="121"/>
        <v>4.0947625519186393E-3</v>
      </c>
      <c r="Z132" s="603">
        <f t="shared" si="122"/>
        <v>4.0947625519186393E-3</v>
      </c>
      <c r="AA132" s="386">
        <f t="shared" si="70"/>
        <v>37.519971025579842</v>
      </c>
      <c r="AB132" s="386">
        <f t="shared" si="71"/>
        <v>8.0241648868340008</v>
      </c>
      <c r="AC132" s="386">
        <f t="shared" si="72"/>
        <v>0</v>
      </c>
      <c r="AD132">
        <f t="shared" si="73"/>
        <v>0</v>
      </c>
      <c r="AE132" s="386">
        <f t="shared" si="74"/>
        <v>-13.266745014083046</v>
      </c>
      <c r="AF132" s="386">
        <f t="shared" si="75"/>
        <v>0</v>
      </c>
      <c r="AG132" s="386">
        <f t="shared" si="76"/>
        <v>0</v>
      </c>
      <c r="AH132" s="386">
        <f t="shared" si="77"/>
        <v>0</v>
      </c>
      <c r="AI132" s="386">
        <f t="shared" si="78"/>
        <v>0</v>
      </c>
      <c r="AJ132" s="386">
        <f t="shared" si="79"/>
        <v>31.66531402273224</v>
      </c>
      <c r="AK132" s="386">
        <f t="shared" si="80"/>
        <v>1.9051150131006618</v>
      </c>
      <c r="AL132" s="386">
        <f t="shared" si="81"/>
        <v>3.2832480759333245</v>
      </c>
      <c r="AM132">
        <f t="shared" si="82"/>
        <v>0</v>
      </c>
      <c r="AN132" s="386">
        <f t="shared" si="83"/>
        <v>8.3821581593441277</v>
      </c>
      <c r="AO132" s="386">
        <f t="shared" si="84"/>
        <v>20.126005902863781</v>
      </c>
      <c r="AP132" s="386">
        <f t="shared" si="85"/>
        <v>0.76960661584400469</v>
      </c>
      <c r="AQ132" s="386">
        <f t="shared" si="86"/>
        <v>1.7996485061511425</v>
      </c>
      <c r="AR132" s="386">
        <f t="shared" si="87"/>
        <v>3.0366621832590384</v>
      </c>
      <c r="AS132" s="386">
        <f t="shared" si="88"/>
        <v>8.0241648868340008</v>
      </c>
      <c r="AT132" s="386">
        <f t="shared" si="89"/>
        <v>0</v>
      </c>
      <c r="AU132" s="386">
        <f t="shared" si="90"/>
        <v>0.95039999999999991</v>
      </c>
      <c r="AV132" s="386">
        <f t="shared" si="91"/>
        <v>3.0080763364747294</v>
      </c>
      <c r="AW132" s="386">
        <f t="shared" si="92"/>
        <v>0.249</v>
      </c>
      <c r="AX132" s="386">
        <f t="shared" si="93"/>
        <v>0.14400000000000002</v>
      </c>
      <c r="AY132" s="386">
        <f t="shared" si="94"/>
        <v>1.2671999999999999</v>
      </c>
      <c r="AZ132" s="386">
        <f t="shared" si="95"/>
        <v>0.10439999999999998</v>
      </c>
      <c r="BA132" s="386">
        <f t="shared" si="123"/>
        <v>1.4112</v>
      </c>
      <c r="BB132" s="386">
        <f t="shared" si="124"/>
        <v>52.12153973611845</v>
      </c>
      <c r="BC132">
        <f t="shared" si="96"/>
        <v>480</v>
      </c>
      <c r="BD132" s="604">
        <f t="shared" si="125"/>
        <v>0.90204955852385582</v>
      </c>
      <c r="BE132" s="614">
        <f t="shared" si="97"/>
        <v>466.6279079672064</v>
      </c>
      <c r="BF132" s="614">
        <f t="shared" si="98"/>
        <v>151.83310916295193</v>
      </c>
      <c r="BG132" s="9"/>
      <c r="BH132" s="4">
        <f t="shared" si="126"/>
        <v>90.204955852385581</v>
      </c>
      <c r="BI132" s="386">
        <f t="shared" si="127"/>
        <v>47.841468966384255</v>
      </c>
      <c r="BJ132" s="386">
        <f t="shared" si="128"/>
        <v>-0.89752467147988013</v>
      </c>
      <c r="BK132" s="386">
        <f t="shared" si="129"/>
        <v>0.31363199999999997</v>
      </c>
      <c r="BL132" s="386">
        <f t="shared" si="130"/>
        <v>3.0080763364747294</v>
      </c>
    </row>
    <row r="133" spans="7:64" x14ac:dyDescent="0.3">
      <c r="G133">
        <v>124</v>
      </c>
      <c r="H133" s="610">
        <f t="shared" si="59"/>
        <v>14.3</v>
      </c>
      <c r="I133" s="4" t="str">
        <f t="shared" si="60"/>
        <v>BOOST</v>
      </c>
      <c r="J133">
        <f t="shared" si="99"/>
        <v>2</v>
      </c>
      <c r="K133">
        <f t="shared" si="61"/>
        <v>10</v>
      </c>
      <c r="L133" s="4">
        <f t="shared" si="62"/>
        <v>37.296037296037291</v>
      </c>
      <c r="M133" s="4">
        <f t="shared" si="63"/>
        <v>34.560839796107189</v>
      </c>
      <c r="N133" s="386">
        <f t="shared" si="64"/>
        <v>1</v>
      </c>
      <c r="O133" s="386">
        <f t="shared" si="115"/>
        <v>0.7106551791277258</v>
      </c>
      <c r="P133" s="4">
        <f t="shared" si="65"/>
        <v>4.9732141711861519</v>
      </c>
      <c r="Q133" s="386">
        <f t="shared" si="66"/>
        <v>37.323658309265163</v>
      </c>
      <c r="R133" s="386">
        <f t="shared" si="116"/>
        <v>44.346879923817085</v>
      </c>
      <c r="S133" s="386">
        <f t="shared" si="117"/>
        <v>1.2946697780981269</v>
      </c>
      <c r="T133" s="386">
        <f t="shared" si="118"/>
        <v>45.64154970191521</v>
      </c>
      <c r="U133" s="4">
        <f t="shared" si="68"/>
        <v>15.832579161246114</v>
      </c>
      <c r="V133" s="386">
        <f t="shared" si="119"/>
        <v>0.50134112579424939</v>
      </c>
      <c r="W133" s="386">
        <f t="shared" si="120"/>
        <v>0.50134112579424939</v>
      </c>
      <c r="X133" s="386">
        <f t="shared" si="69"/>
        <v>1.4356432702359934</v>
      </c>
      <c r="Y133" s="386">
        <f t="shared" si="121"/>
        <v>4.1221431987477943E-3</v>
      </c>
      <c r="Z133" s="603">
        <f t="shared" si="122"/>
        <v>4.1221431987477943E-3</v>
      </c>
      <c r="AA133" s="386">
        <f t="shared" si="70"/>
        <v>37.323658309265163</v>
      </c>
      <c r="AB133" s="386">
        <f t="shared" si="71"/>
        <v>7.9404161766446366</v>
      </c>
      <c r="AC133" s="386">
        <f t="shared" si="72"/>
        <v>0</v>
      </c>
      <c r="AD133">
        <f t="shared" si="73"/>
        <v>0</v>
      </c>
      <c r="AE133" s="386">
        <f t="shared" si="74"/>
        <v>-13.502197817632727</v>
      </c>
      <c r="AF133" s="386">
        <f t="shared" si="75"/>
        <v>0</v>
      </c>
      <c r="AG133" s="386">
        <f t="shared" si="76"/>
        <v>0</v>
      </c>
      <c r="AH133" s="386">
        <f t="shared" si="77"/>
        <v>0</v>
      </c>
      <c r="AI133" s="386">
        <f t="shared" si="78"/>
        <v>0</v>
      </c>
      <c r="AJ133" s="386">
        <f t="shared" si="79"/>
        <v>31.463980744242303</v>
      </c>
      <c r="AK133" s="386">
        <f t="shared" si="80"/>
        <v>1.8809659601206958</v>
      </c>
      <c r="AL133" s="386">
        <f t="shared" si="81"/>
        <v>3.2660282433672392</v>
      </c>
      <c r="AM133">
        <f t="shared" si="82"/>
        <v>0</v>
      </c>
      <c r="AN133" s="386">
        <f t="shared" si="83"/>
        <v>8.2509426599382465</v>
      </c>
      <c r="AO133" s="386">
        <f t="shared" si="84"/>
        <v>20.076687608087351</v>
      </c>
      <c r="AP133" s="386">
        <f t="shared" si="85"/>
        <v>0.76583943209418359</v>
      </c>
      <c r="AQ133" s="386">
        <f t="shared" si="86"/>
        <v>1.79020979020979</v>
      </c>
      <c r="AR133" s="386">
        <f t="shared" si="87"/>
        <v>3.0183659562634113</v>
      </c>
      <c r="AS133" s="386">
        <f t="shared" si="88"/>
        <v>7.9404161766446366</v>
      </c>
      <c r="AT133" s="386">
        <f t="shared" si="89"/>
        <v>0</v>
      </c>
      <c r="AU133" s="386">
        <f t="shared" si="90"/>
        <v>0.95039999999999991</v>
      </c>
      <c r="AV133" s="386">
        <f t="shared" si="91"/>
        <v>2.9699462528221514</v>
      </c>
      <c r="AW133" s="386">
        <f t="shared" si="92"/>
        <v>0.249</v>
      </c>
      <c r="AX133" s="386">
        <f t="shared" si="93"/>
        <v>0.14400000000000002</v>
      </c>
      <c r="AY133" s="386">
        <f t="shared" si="94"/>
        <v>1.2671999999999999</v>
      </c>
      <c r="AZ133" s="386">
        <f t="shared" si="95"/>
        <v>0.10439999999999998</v>
      </c>
      <c r="BA133" s="386">
        <f t="shared" si="123"/>
        <v>1.4112</v>
      </c>
      <c r="BB133" s="386">
        <f t="shared" si="124"/>
        <v>49.494670022299296</v>
      </c>
      <c r="BC133">
        <f t="shared" si="96"/>
        <v>480</v>
      </c>
      <c r="BD133" s="604">
        <f t="shared" si="125"/>
        <v>0.90652470586679401</v>
      </c>
      <c r="BE133" s="614">
        <f t="shared" si="97"/>
        <v>460.06713299691233</v>
      </c>
      <c r="BF133" s="614">
        <f t="shared" si="98"/>
        <v>150.91829781317057</v>
      </c>
      <c r="BG133" s="9"/>
      <c r="BH133" s="4">
        <f t="shared" si="126"/>
        <v>90.652470586679399</v>
      </c>
      <c r="BI133" s="386">
        <f t="shared" si="127"/>
        <v>45.64154970191521</v>
      </c>
      <c r="BJ133" s="386">
        <f t="shared" si="128"/>
        <v>-1.2824892014310689</v>
      </c>
      <c r="BK133" s="386">
        <f t="shared" si="129"/>
        <v>0.31363199999999997</v>
      </c>
      <c r="BL133" s="386">
        <f t="shared" si="130"/>
        <v>2.9699462528221514</v>
      </c>
    </row>
    <row r="134" spans="7:64" x14ac:dyDescent="0.3">
      <c r="G134">
        <v>125</v>
      </c>
      <c r="H134" s="610">
        <f t="shared" si="59"/>
        <v>14.375</v>
      </c>
      <c r="I134" s="4" t="str">
        <f t="shared" si="60"/>
        <v>BOOST</v>
      </c>
      <c r="J134">
        <f t="shared" si="99"/>
        <v>2</v>
      </c>
      <c r="K134">
        <f t="shared" si="61"/>
        <v>10</v>
      </c>
      <c r="L134" s="4">
        <f t="shared" si="62"/>
        <v>37.10144927536232</v>
      </c>
      <c r="M134" s="4">
        <f t="shared" si="63"/>
        <v>34.369484018801522</v>
      </c>
      <c r="N134" s="386">
        <f t="shared" si="64"/>
        <v>1</v>
      </c>
      <c r="O134" s="386">
        <f t="shared" si="115"/>
        <v>0.70904422089870223</v>
      </c>
      <c r="P134" s="4">
        <f t="shared" si="65"/>
        <v>4.9896275322679129</v>
      </c>
      <c r="Q134" s="386">
        <f t="shared" si="66"/>
        <v>37.129398553008912</v>
      </c>
      <c r="R134" s="386">
        <f t="shared" si="116"/>
        <v>42.327363531124547</v>
      </c>
      <c r="S134" s="386">
        <f t="shared" si="117"/>
        <v>1.3045356547592089</v>
      </c>
      <c r="T134" s="386">
        <f t="shared" si="118"/>
        <v>43.631899185883753</v>
      </c>
      <c r="U134" s="4">
        <f t="shared" si="68"/>
        <v>15.771834819288808</v>
      </c>
      <c r="V134" s="386">
        <f t="shared" si="119"/>
        <v>0.49750154713386163</v>
      </c>
      <c r="W134" s="386">
        <f t="shared" si="120"/>
        <v>0.49750154713386163</v>
      </c>
      <c r="X134" s="386">
        <f t="shared" si="69"/>
        <v>1.440381399455424</v>
      </c>
      <c r="Y134" s="386">
        <f t="shared" si="121"/>
        <v>4.1493971517943314E-3</v>
      </c>
      <c r="Z134" s="603">
        <f t="shared" si="122"/>
        <v>4.1493971517943314E-3</v>
      </c>
      <c r="AA134" s="386">
        <f t="shared" si="70"/>
        <v>37.129398553008912</v>
      </c>
      <c r="AB134" s="386">
        <f t="shared" si="71"/>
        <v>7.8579757503766272</v>
      </c>
      <c r="AC134" s="386">
        <f t="shared" si="72"/>
        <v>0</v>
      </c>
      <c r="AD134">
        <f t="shared" si="73"/>
        <v>0</v>
      </c>
      <c r="AE134" s="386">
        <f t="shared" si="74"/>
        <v>-13.747450007826512</v>
      </c>
      <c r="AF134" s="386">
        <f t="shared" si="75"/>
        <v>0</v>
      </c>
      <c r="AG134" s="386">
        <f t="shared" si="76"/>
        <v>0</v>
      </c>
      <c r="AH134" s="386">
        <f t="shared" si="77"/>
        <v>0</v>
      </c>
      <c r="AI134" s="386">
        <f t="shared" si="78"/>
        <v>0</v>
      </c>
      <c r="AJ134" s="386">
        <f t="shared" si="79"/>
        <v>31.264722268965699</v>
      </c>
      <c r="AK134" s="386">
        <f t="shared" si="80"/>
        <v>1.8572174312555634</v>
      </c>
      <c r="AL134" s="386">
        <f t="shared" si="81"/>
        <v>3.2489880960105419</v>
      </c>
      <c r="AM134">
        <f t="shared" si="82"/>
        <v>0</v>
      </c>
      <c r="AN134" s="386">
        <f t="shared" si="83"/>
        <v>8.1237015535982025</v>
      </c>
      <c r="AO134" s="386">
        <f t="shared" si="84"/>
        <v>20.02771525543092</v>
      </c>
      <c r="AP134" s="386">
        <f t="shared" si="85"/>
        <v>0.7621078188699788</v>
      </c>
      <c r="AQ134" s="386">
        <f t="shared" si="86"/>
        <v>1.7808695652173914</v>
      </c>
      <c r="AR134" s="386">
        <f t="shared" si="87"/>
        <v>3.0002856082682277</v>
      </c>
      <c r="AS134" s="386">
        <f t="shared" si="88"/>
        <v>7.8579757503766272</v>
      </c>
      <c r="AT134" s="386">
        <f t="shared" si="89"/>
        <v>0</v>
      </c>
      <c r="AU134" s="386">
        <f t="shared" si="90"/>
        <v>0.95039999999999991</v>
      </c>
      <c r="AV134" s="386">
        <f t="shared" si="91"/>
        <v>2.9324485756666792</v>
      </c>
      <c r="AW134" s="386">
        <f t="shared" si="92"/>
        <v>0.249</v>
      </c>
      <c r="AX134" s="386">
        <f t="shared" si="93"/>
        <v>0.14400000000000002</v>
      </c>
      <c r="AY134" s="386">
        <f t="shared" si="94"/>
        <v>1.2671999999999999</v>
      </c>
      <c r="AZ134" s="386">
        <f t="shared" si="95"/>
        <v>0.10439999999999998</v>
      </c>
      <c r="BA134" s="386">
        <f t="shared" si="123"/>
        <v>1.4112</v>
      </c>
      <c r="BB134" s="386">
        <f t="shared" si="124"/>
        <v>47.053135859876015</v>
      </c>
      <c r="BC134">
        <f t="shared" si="96"/>
        <v>480</v>
      </c>
      <c r="BD134" s="604">
        <f t="shared" si="125"/>
        <v>0.9107241136453732</v>
      </c>
      <c r="BE134" s="614">
        <f t="shared" si="97"/>
        <v>453.70507767991012</v>
      </c>
      <c r="BF134" s="614">
        <f t="shared" si="98"/>
        <v>150.01428041341137</v>
      </c>
      <c r="BG134" s="9"/>
      <c r="BH134" s="4">
        <f t="shared" si="126"/>
        <v>91.072411364537317</v>
      </c>
      <c r="BI134" s="386">
        <f t="shared" si="127"/>
        <v>43.631899185883753</v>
      </c>
      <c r="BJ134" s="386">
        <f t="shared" si="128"/>
        <v>-1.6730628459600816</v>
      </c>
      <c r="BK134" s="386">
        <f t="shared" si="129"/>
        <v>0.31363199999999997</v>
      </c>
      <c r="BL134" s="386">
        <f t="shared" si="130"/>
        <v>2.9324485756666792</v>
      </c>
    </row>
    <row r="135" spans="7:64" x14ac:dyDescent="0.3">
      <c r="G135">
        <v>126</v>
      </c>
      <c r="H135" s="610">
        <f t="shared" si="59"/>
        <v>14.45</v>
      </c>
      <c r="I135" s="4" t="str">
        <f t="shared" si="60"/>
        <v>BOOST</v>
      </c>
      <c r="J135">
        <f t="shared" si="99"/>
        <v>2</v>
      </c>
      <c r="K135">
        <f t="shared" si="61"/>
        <v>10</v>
      </c>
      <c r="L135" s="4">
        <f t="shared" si="62"/>
        <v>36.908881199538641</v>
      </c>
      <c r="M135" s="4">
        <f t="shared" si="63"/>
        <v>34.180294467517605</v>
      </c>
      <c r="N135" s="386">
        <f t="shared" si="64"/>
        <v>1</v>
      </c>
      <c r="O135" s="386">
        <f t="shared" si="115"/>
        <v>0.70743376685934489</v>
      </c>
      <c r="P135" s="4">
        <f t="shared" si="65"/>
        <v>5.0059100624811341</v>
      </c>
      <c r="Q135" s="386">
        <f t="shared" si="66"/>
        <v>36.937159781144445</v>
      </c>
      <c r="R135" s="386">
        <f t="shared" si="116"/>
        <v>40.474656812597374</v>
      </c>
      <c r="S135" s="386">
        <f t="shared" si="117"/>
        <v>1.3143647953210471</v>
      </c>
      <c r="T135" s="386">
        <f t="shared" si="118"/>
        <v>41.789021607918421</v>
      </c>
      <c r="U135" s="4">
        <f t="shared" si="68"/>
        <v>15.711537861767336</v>
      </c>
      <c r="V135" s="386">
        <f t="shared" si="119"/>
        <v>0.49370484396349706</v>
      </c>
      <c r="W135" s="386">
        <f t="shared" si="120"/>
        <v>0.49370484396349706</v>
      </c>
      <c r="X135" s="386">
        <f t="shared" si="69"/>
        <v>1.4450817610562696</v>
      </c>
      <c r="Y135" s="386">
        <f t="shared" si="121"/>
        <v>4.1765225922749784E-3</v>
      </c>
      <c r="Z135" s="603">
        <f t="shared" si="122"/>
        <v>4.1765225922749784E-3</v>
      </c>
      <c r="AA135" s="386">
        <f t="shared" si="70"/>
        <v>36.937159781144445</v>
      </c>
      <c r="AB135" s="386">
        <f t="shared" si="71"/>
        <v>7.7768165043774307</v>
      </c>
      <c r="AC135" s="386">
        <f t="shared" si="72"/>
        <v>0</v>
      </c>
      <c r="AD135">
        <f t="shared" si="73"/>
        <v>0</v>
      </c>
      <c r="AE135" s="386">
        <f t="shared" si="74"/>
        <v>-14.003115603998134</v>
      </c>
      <c r="AF135" s="386">
        <f t="shared" si="75"/>
        <v>0</v>
      </c>
      <c r="AG135" s="386">
        <f t="shared" si="76"/>
        <v>0</v>
      </c>
      <c r="AH135" s="386">
        <f t="shared" si="77"/>
        <v>0</v>
      </c>
      <c r="AI135" s="386">
        <f t="shared" si="78"/>
        <v>0</v>
      </c>
      <c r="AJ135" s="386">
        <f t="shared" si="79"/>
        <v>31.067505994983879</v>
      </c>
      <c r="AK135" s="386">
        <f t="shared" si="80"/>
        <v>1.8338608646218826</v>
      </c>
      <c r="AL135" s="386">
        <f t="shared" si="81"/>
        <v>3.2321248359966464</v>
      </c>
      <c r="AM135">
        <f t="shared" si="82"/>
        <v>0</v>
      </c>
      <c r="AN135" s="386">
        <f t="shared" si="83"/>
        <v>8.0002575439779609</v>
      </c>
      <c r="AO135" s="386">
        <f t="shared" si="84"/>
        <v>19.979085162975693</v>
      </c>
      <c r="AP135" s="386">
        <f t="shared" si="85"/>
        <v>0.75841130350392738</v>
      </c>
      <c r="AQ135" s="386">
        <f t="shared" si="86"/>
        <v>1.7716262975778547</v>
      </c>
      <c r="AR135" s="386">
        <f t="shared" si="87"/>
        <v>2.9824174172896787</v>
      </c>
      <c r="AS135" s="386">
        <f t="shared" si="88"/>
        <v>7.7768165043774307</v>
      </c>
      <c r="AT135" s="386">
        <f t="shared" si="89"/>
        <v>0</v>
      </c>
      <c r="AU135" s="386">
        <f t="shared" si="90"/>
        <v>0.95039999999999991</v>
      </c>
      <c r="AV135" s="386">
        <f t="shared" si="91"/>
        <v>2.895569786245078</v>
      </c>
      <c r="AW135" s="386">
        <f t="shared" si="92"/>
        <v>0.249</v>
      </c>
      <c r="AX135" s="386">
        <f t="shared" si="93"/>
        <v>0.14400000000000002</v>
      </c>
      <c r="AY135" s="386">
        <f t="shared" si="94"/>
        <v>1.2671999999999999</v>
      </c>
      <c r="AZ135" s="386">
        <f t="shared" si="95"/>
        <v>0.10439999999999998</v>
      </c>
      <c r="BA135" s="386">
        <f t="shared" si="123"/>
        <v>1.4112</v>
      </c>
      <c r="BB135" s="386">
        <f t="shared" si="124"/>
        <v>44.772632117988785</v>
      </c>
      <c r="BC135">
        <f t="shared" si="96"/>
        <v>480</v>
      </c>
      <c r="BD135" s="604">
        <f t="shared" si="125"/>
        <v>0.91468184623636739</v>
      </c>
      <c r="BE135" s="614">
        <f t="shared" si="97"/>
        <v>447.53287719889806</v>
      </c>
      <c r="BF135" s="614">
        <f t="shared" si="98"/>
        <v>149.12087086448395</v>
      </c>
      <c r="BG135" s="9"/>
      <c r="BH135" s="4">
        <f t="shared" si="126"/>
        <v>91.468184623636745</v>
      </c>
      <c r="BI135" s="386">
        <f t="shared" si="127"/>
        <v>41.789021607918421</v>
      </c>
      <c r="BJ135" s="386">
        <f t="shared" si="128"/>
        <v>-2.0700406427304952</v>
      </c>
      <c r="BK135" s="386">
        <f t="shared" si="129"/>
        <v>0.31363199999999997</v>
      </c>
      <c r="BL135" s="386">
        <f t="shared" si="130"/>
        <v>2.895569786245078</v>
      </c>
    </row>
    <row r="136" spans="7:64" x14ac:dyDescent="0.3">
      <c r="G136">
        <v>127</v>
      </c>
      <c r="H136" s="610">
        <f t="shared" si="59"/>
        <v>14.525</v>
      </c>
      <c r="I136" s="4" t="str">
        <f t="shared" si="60"/>
        <v>BOOST</v>
      </c>
      <c r="J136">
        <f t="shared" si="99"/>
        <v>2</v>
      </c>
      <c r="K136">
        <f t="shared" si="61"/>
        <v>10</v>
      </c>
      <c r="L136" s="4">
        <f t="shared" si="62"/>
        <v>36.718301778542745</v>
      </c>
      <c r="M136" s="4">
        <f t="shared" si="63"/>
        <v>33.993233688210054</v>
      </c>
      <c r="N136" s="386">
        <f t="shared" si="64"/>
        <v>1</v>
      </c>
      <c r="O136" s="386">
        <f t="shared" si="115"/>
        <v>0.70582380918152188</v>
      </c>
      <c r="P136" s="4">
        <f t="shared" si="65"/>
        <v>5.0220619565597548</v>
      </c>
      <c r="Q136" s="386">
        <f t="shared" si="66"/>
        <v>36.746910677743998</v>
      </c>
      <c r="R136" s="386">
        <f t="shared" si="116"/>
        <v>38.768978763180371</v>
      </c>
      <c r="S136" s="386">
        <f t="shared" si="117"/>
        <v>1.3241563528653029</v>
      </c>
      <c r="T136" s="386">
        <f t="shared" si="118"/>
        <v>40.093135116045673</v>
      </c>
      <c r="U136" s="4">
        <f t="shared" si="68"/>
        <v>15.651681571819417</v>
      </c>
      <c r="V136" s="386">
        <f t="shared" si="119"/>
        <v>0.48995027205126301</v>
      </c>
      <c r="W136" s="386">
        <f t="shared" si="120"/>
        <v>0.48995027205126301</v>
      </c>
      <c r="X136" s="386">
        <f t="shared" si="69"/>
        <v>1.4497444112533766</v>
      </c>
      <c r="Y136" s="386">
        <f t="shared" si="121"/>
        <v>4.2035177159207987E-3</v>
      </c>
      <c r="Z136" s="603">
        <f t="shared" si="122"/>
        <v>4.2035177159207987E-3</v>
      </c>
      <c r="AA136" s="386">
        <f t="shared" si="70"/>
        <v>36.746910677743998</v>
      </c>
      <c r="AB136" s="386">
        <f t="shared" si="71"/>
        <v>7.6969120328411469</v>
      </c>
      <c r="AC136" s="386">
        <f t="shared" si="72"/>
        <v>0</v>
      </c>
      <c r="AD136">
        <f t="shared" si="73"/>
        <v>0</v>
      </c>
      <c r="AE136" s="386">
        <f t="shared" si="74"/>
        <v>-14.269861121003256</v>
      </c>
      <c r="AF136" s="386">
        <f t="shared" si="75"/>
        <v>0</v>
      </c>
      <c r="AG136" s="386">
        <f t="shared" si="76"/>
        <v>0</v>
      </c>
      <c r="AH136" s="386">
        <f t="shared" si="77"/>
        <v>0</v>
      </c>
      <c r="AI136" s="386">
        <f t="shared" si="78"/>
        <v>0</v>
      </c>
      <c r="AJ136" s="386">
        <f t="shared" si="79"/>
        <v>30.872299995459592</v>
      </c>
      <c r="AK136" s="386">
        <f t="shared" si="80"/>
        <v>1.8108879233183433</v>
      </c>
      <c r="AL136" s="386">
        <f t="shared" si="81"/>
        <v>3.2154357232462334</v>
      </c>
      <c r="AM136">
        <f t="shared" si="82"/>
        <v>0</v>
      </c>
      <c r="AN136" s="386">
        <f t="shared" si="83"/>
        <v>7.8804437186707155</v>
      </c>
      <c r="AO136" s="386">
        <f t="shared" si="84"/>
        <v>19.930793695897854</v>
      </c>
      <c r="AP136" s="386">
        <f t="shared" si="85"/>
        <v>0.75474942096203912</v>
      </c>
      <c r="AQ136" s="386">
        <f t="shared" si="86"/>
        <v>1.7624784853700519</v>
      </c>
      <c r="AR136" s="386">
        <f t="shared" si="87"/>
        <v>2.9647577445269837</v>
      </c>
      <c r="AS136" s="386">
        <f t="shared" si="88"/>
        <v>7.6969120328411469</v>
      </c>
      <c r="AT136" s="386">
        <f t="shared" si="89"/>
        <v>0</v>
      </c>
      <c r="AU136" s="386">
        <f t="shared" si="90"/>
        <v>0.95039999999999991</v>
      </c>
      <c r="AV136" s="386">
        <f t="shared" si="91"/>
        <v>2.8592967210289633</v>
      </c>
      <c r="AW136" s="386">
        <f t="shared" si="92"/>
        <v>0.249</v>
      </c>
      <c r="AX136" s="386">
        <f t="shared" si="93"/>
        <v>0.14400000000000002</v>
      </c>
      <c r="AY136" s="386">
        <f t="shared" si="94"/>
        <v>1.2671999999999999</v>
      </c>
      <c r="AZ136" s="386">
        <f t="shared" si="95"/>
        <v>0.10439999999999998</v>
      </c>
      <c r="BA136" s="386">
        <f t="shared" si="123"/>
        <v>1.4112</v>
      </c>
      <c r="BB136" s="386">
        <f t="shared" si="124"/>
        <v>42.632525969036266</v>
      </c>
      <c r="BC136">
        <f t="shared" si="96"/>
        <v>480</v>
      </c>
      <c r="BD136" s="604">
        <f t="shared" si="125"/>
        <v>0.91842733880753136</v>
      </c>
      <c r="BE136" s="614">
        <f t="shared" si="97"/>
        <v>441.54218593353579</v>
      </c>
      <c r="BF136" s="614">
        <f t="shared" si="98"/>
        <v>148.23788722634919</v>
      </c>
      <c r="BG136" s="9"/>
      <c r="BH136" s="4">
        <f t="shared" si="126"/>
        <v>91.84273388075313</v>
      </c>
      <c r="BI136" s="386">
        <f t="shared" si="127"/>
        <v>40.093135116045673</v>
      </c>
      <c r="BJ136" s="386">
        <f t="shared" si="128"/>
        <v>-2.4742596578055567</v>
      </c>
      <c r="BK136" s="386">
        <f t="shared" si="129"/>
        <v>0.31363199999999997</v>
      </c>
      <c r="BL136" s="386">
        <f t="shared" si="130"/>
        <v>2.8592967210289633</v>
      </c>
    </row>
    <row r="137" spans="7:64" x14ac:dyDescent="0.3">
      <c r="G137">
        <v>128</v>
      </c>
      <c r="H137" s="610">
        <f t="shared" ref="H137:H200" si="131">VIN_min+(VIN_max-VIN_min)*(G137/200)</f>
        <v>14.6</v>
      </c>
      <c r="I137" s="4" t="str">
        <f t="shared" ref="I137:I200" si="132">IF(H137&gt;VIN_BB_to_buck, "BUCK", IF(H137&lt;VIN_boost_to_BB,"BOOST","BUCK-BST"))</f>
        <v>BOOST</v>
      </c>
      <c r="J137">
        <f t="shared" si="99"/>
        <v>2</v>
      </c>
      <c r="K137">
        <f t="shared" ref="K137:K200" si="133">Iout</f>
        <v>10</v>
      </c>
      <c r="L137" s="4">
        <f t="shared" ref="L137:L200" si="134">Vout*K137/(H137*Efficiency)</f>
        <v>36.529680365296805</v>
      </c>
      <c r="M137" s="4">
        <f t="shared" ref="M137:M200" si="135">Iout/(1-O137)</f>
        <v>33.808265102185544</v>
      </c>
      <c r="N137" s="386">
        <f t="shared" ref="N137:N200" si="136">CHOOSE(J137,(Vout+(Rdson2+Rs+Rdcr)*K137)/(H137+(Rs+Rdson2-Rdson1)*K137),1,IF(H137&lt;Vout,D_max_buck_BB,Vout/H137*(1-D_min_boost_exitBB_to_buck)))</f>
        <v>1</v>
      </c>
      <c r="O137" s="386">
        <f t="shared" si="115"/>
        <v>0.70421434019832185</v>
      </c>
      <c r="P137" s="4">
        <f t="shared" ref="P137:P200" si="137">MAX(0, CHOOSE(J137, (H137-(Rdson1+Rdcr)*K137-Vout)*N137/(Fsw*Lf), (H137-(Rdson4+Rdcr+Rs)*L137)*O137/(Fsw*Lf), IF(H137&lt;Vout, (H137-(Rdson4+Rdcr+Rs)*L137)*O137/(0.5*Fsw*Lf),(H137-(Rdson1+Rdcr)*K137-Vout)*N137/(0.5*Fsw*Lf))))</f>
        <v>5.038083405200946</v>
      </c>
      <c r="Q137" s="386">
        <f t="shared" ref="Q137:Q200" si="138">CHOOSE(J137, SQRT(K137^2+(P137^2)/12), SQRT(L137^2+(P137^2)/12), SQRT(M137^2+(P137^2)/12))</f>
        <v>36.558620569671817</v>
      </c>
      <c r="R137" s="386">
        <f t="shared" si="116"/>
        <v>37.193556386918651</v>
      </c>
      <c r="S137" s="386">
        <f t="shared" si="117"/>
        <v>1.3339094860046963</v>
      </c>
      <c r="T137" s="386">
        <f t="shared" si="118"/>
        <v>38.527465872923344</v>
      </c>
      <c r="U137" s="4">
        <f t="shared" ref="U137:U200" si="139">IF(H137&gt;Vout, P137/SQRT(12), SQRT(O137/(1-O137))*SQRT(K137^2+(P137^2)/12))</f>
        <v>15.592259371897651</v>
      </c>
      <c r="V137" s="386">
        <f t="shared" si="119"/>
        <v>0.48623710464106024</v>
      </c>
      <c r="W137" s="386">
        <f t="shared" si="120"/>
        <v>0.48623710464106024</v>
      </c>
      <c r="X137" s="386">
        <f t="shared" ref="X137:X200" si="140">IF(H137&gt;Vout, SQRT(N137*(1-N137))*SQRT(K137^2+(P137^2)/12), P137/SQRT(12))</f>
        <v>1.4543694050962763</v>
      </c>
      <c r="Y137" s="386">
        <f t="shared" si="121"/>
        <v>4.2303807329601931E-3</v>
      </c>
      <c r="Z137" s="603">
        <f t="shared" si="122"/>
        <v>4.2303807329601931E-3</v>
      </c>
      <c r="AA137" s="386">
        <f t="shared" ref="AA137:AA200" si="141">CHOOSE(J137, SQRT(N137)*SQRT(K137^2+(P137^2)/12), SQRT(L137^2+(P137^2)/12), SQRT(N137)*SQRT(M137^2+(P137^2)/12))</f>
        <v>36.558620569671817</v>
      </c>
      <c r="AB137" s="386">
        <f t="shared" ref="AB137:AB200" si="142">Rdson1*AA137^2</f>
        <v>7.618236606356219</v>
      </c>
      <c r="AC137" s="386">
        <f t="shared" ref="AC137:AC200" si="143">CHOOSE(J137, (H137*K137/2)*(Fsw)*(Tr_buck+Tf_buck), 0, (H137*M137/2)*(Fsw/2)*(Tr_buck+Tf_buck))</f>
        <v>0</v>
      </c>
      <c r="AD137">
        <f t="shared" ref="AD137:AD200" si="144">IF(H137&gt;Vout, IF(K137&gt;P137/2,0,ABS(K137-P137/2)*Vsd_Q1*Deadtime*Fsw),0)</f>
        <v>0</v>
      </c>
      <c r="AE137" s="386">
        <f t="shared" ref="AE137:AE200" si="145">(AD137+AC137+AB137*(1+RdsonTopTc*Ta-RdsonTopTc*25))/(1-AB137*RdsonTopTc*ThetaJA_Q1)</f>
        <v>-14.548411300685434</v>
      </c>
      <c r="AF137" s="386">
        <f t="shared" ref="AF137:AF200" si="146">CHOOSE(J137, SQRT((1-N137))*SQRT(K137^2+(P137^2)/12), 0, SQRT((1-N137))*SQRT(M137^2+(P137^2)/12))</f>
        <v>0</v>
      </c>
      <c r="AG137" s="386">
        <f t="shared" ref="AG137:AG200" si="147">Rdson2*AF137^2</f>
        <v>0</v>
      </c>
      <c r="AH137" s="386">
        <f t="shared" ref="AH137:AH200" si="148">CHOOSE(J137, IF(K137&lt;P137/2,Deadtime*Fsw*IF(VfdSky_Q2&gt;0,0,Vsd_Q2)*(K137+P137/2),2*Deadtime*Fsw*IF(VfdSky_Q2&gt;0,0,Vsd_Q2)*K137),0, IF(K137&lt;P137/2,Deadtime*Fsw/2*IF(VfdSky_Q2&gt;0,0,Vsd_Q2)*(K137+P137/2),2*Deadtime*Fsw/2*IF(VfdSky_Q2&gt;0,0,Vsd_Q2)*K137))</f>
        <v>0</v>
      </c>
      <c r="AI137" s="386">
        <f t="shared" ref="AI137:AI200" si="149">(AH137+AG137*(1+RdsonBotTc*Ta-RdsonBotTc*25))/(1-AG137*RdsonBotTc*ThetaJA_Q2)</f>
        <v>0</v>
      </c>
      <c r="AJ137" s="386">
        <f t="shared" ref="AJ137:AJ200" si="150">CHOOSE(J137, 0, SQRT(O137)*SQRT(L137^2+(P137^2)/12), SQRT(O137)*SQRT(M137^2+(P137^2)/12))</f>
        <v>30.679073001217102</v>
      </c>
      <c r="AK137" s="386">
        <f t="shared" ref="AK137:AK200" si="151">Rdson4*AJ137^2</f>
        <v>1.7882904884066153</v>
      </c>
      <c r="AL137" s="386">
        <f t="shared" ref="AL137:AL200" si="152">CHOOSE(J137, 0, (Vout*L137/2)*(Fsw)*(Tr_boost+Tf_boost), (Vout*Iout/2)*(Fsw/2)*(Tr_boost+Tf_boost))</f>
        <v>3.1989180739829823</v>
      </c>
      <c r="AM137">
        <f t="shared" ref="AM137:AM200" si="153">IF(H137&gt;Vout, 0, IF(L137&gt;P137/2,0,ABS(L137-P137/2)*Vsd_Q4*Deadtime*Fsw))</f>
        <v>0</v>
      </c>
      <c r="AN137" s="386">
        <f t="shared" ref="AN137:AN200" si="154">(AM137+AL137+AK137*(1+RdsonTopTc*Ta-RdsonTopTc*25))/(1-AK137*RdsonTopTc*ThetaJA_Q4)</f>
        <v>7.7641028000620098</v>
      </c>
      <c r="AO137" s="386">
        <f t="shared" ref="AO137:AO200" si="155">CHOOSE(J137, SQRT(Iout^2+(P137^2)/12), SQRT(1-O137)*SQRT(L137^2+(P137^2)/12), SQRT(1-O137)*SQRT(M137^2+(P137^2)/12))</f>
        <v>19.882837265924174</v>
      </c>
      <c r="AP137" s="386">
        <f t="shared" ref="AP137:AP200" si="156">Rdson3*AO137^2</f>
        <v>0.75112171371212377</v>
      </c>
      <c r="AQ137" s="386">
        <f t="shared" ref="AQ137:AQ200" si="157">CHOOSE(J137, 0, IF(L137&lt;P137/2,Deadtime*Fsw*IF(VfdSky_Q3&gt;0,0,Vsd_Q3)*(L137+P137/2), 2*Deadtime*Fsw*IF(VfdSky_Q3&gt;0,0,Vsd_Q3)*L137), IF(L137&lt;P137/2,Deadtime*Fsw/2*IF(VfdSky_Q3&gt;0,0,Vsd_Q3)*(L137+P137/2), 2*Deadtime*Fsw/2*IF(VfdSky_Q3&gt;0,0,Vsd_Q3)*L137))</f>
        <v>1.7534246575342467</v>
      </c>
      <c r="AR137" s="386">
        <f t="shared" ref="AR137:AR200" si="158">(AQ137+AP137*(1+RdsonBotTc*Ta-RdsonBotTc*25))/(1-AP137*RdsonBotTc*ThetaJA_Q3)</f>
        <v>2.9473030321074711</v>
      </c>
      <c r="AS137" s="386">
        <f t="shared" ref="AS137:AS200" si="159">CHOOSE(J137, Rdson3*Q137^2, Rdson1*Q137^2, 0)</f>
        <v>7.618236606356219</v>
      </c>
      <c r="AT137" s="386">
        <f t="shared" ref="AT137:AT200" si="160">CHOOSE(J137, 2*Deadtime*Fsw*IF(VfdSky_Q2&gt;0,VfdSky_Q2,0)*K137, 2*Deadtime*Fsw*IF(VfdSky_Q3&gt;0,VfdSky_Q3,0)*L137, 2*Deadtime*Fsw/2*IF(VfdSky_Q2&gt;0,VfdSky_Q2,0)*K137+2*Deadtime*Fsw/2*IF(VfdSky_Q3&gt;0,VfdSky_Q3,0)*L137)</f>
        <v>0</v>
      </c>
      <c r="AU137" s="386">
        <f t="shared" ref="AU137:AU200" si="161">CHOOSE(J137, IF(QrrSky_Q2&gt;0,QrrSky_Q2,Qrr_Q2)*Fsw*(H137-K137*Rdson1), IF(QrrSky_Q3&gt;0,QrrSky_Q3,Qrr_Q3)*Fsw*Vout,  IF(QrrSky_Q2&gt;0,QrrSky_Q2,Qrr_Q2)*Fsw/2*(H137-K137*Rdson1)+IF(QrrSky_Q3&gt;0,QrrSky_Q3,Qrr_Q3)*Fsw/2*Vout)</f>
        <v>0.95039999999999991</v>
      </c>
      <c r="AV137" s="386">
        <f t="shared" ref="AV137:AV200" si="162">CHOOSE(J137, Rs*AF137^2, Rs*AJ137^2, Rs*(AF137^2+AJ137^2))</f>
        <v>2.8236165606420243</v>
      </c>
      <c r="AW137" s="386">
        <f t="shared" ref="AW137:AW200" si="163">Rshunt_std/1000*Iout^2</f>
        <v>0.249</v>
      </c>
      <c r="AX137" s="386">
        <f t="shared" ref="AX137:AX200" si="164">IF(Vout&gt;8, Iq*Vout, Iq*H137)</f>
        <v>0.14400000000000002</v>
      </c>
      <c r="AY137" s="386">
        <f t="shared" ref="AY137:AY200" si="165">CHOOSE(J137, (Qg_Q1+Qg_Q2)*Fsw, (Qg_Q3+Qg_Q4)*Fsw, (Qg_Q1+Qg_Q2+Qg_Q3+Qg_Q4)*Fsw/2)*IF(Vout&gt;8, Vout, H137)</f>
        <v>1.2671999999999999</v>
      </c>
      <c r="AZ137" s="386">
        <f t="shared" ref="AZ137:AZ200" si="166">(Vin-Vdd)*Fsw*(Qg_Q1+Qg_Q2)+(RdsonDRT+RdsonDRT2)*Fsw*Qg_Q1*Vdd/(RdsonDRT+2*Rgate1+RdsonDRT2)+(RdsonDRB+RdsonDRB2)*Fsw*Qg_Q2*Vdd/(RdsonDRB+2*Rgate2+RdsonDRB2)</f>
        <v>0.10439999999999998</v>
      </c>
      <c r="BA137" s="386">
        <f t="shared" si="123"/>
        <v>1.4112</v>
      </c>
      <c r="BB137" s="386">
        <f t="shared" si="124"/>
        <v>40.615144450423443</v>
      </c>
      <c r="BC137">
        <f t="shared" ref="BC137:BC200" si="167">Vout*K137</f>
        <v>480</v>
      </c>
      <c r="BD137" s="604">
        <f t="shared" si="125"/>
        <v>0.92198624092409376</v>
      </c>
      <c r="BE137" s="614">
        <f t="shared" ref="BE137:BE200" si="168">IF(H137&gt;Vout,ThetaJA_Q1*(AE137+AU137),ThetaJA_Q4*(AN137+AU137))</f>
        <v>435.72514000310048</v>
      </c>
      <c r="BF137" s="614">
        <f t="shared" ref="BF137:BF200" si="169">IF(H137&gt;Vout, AI137*ThetaJA_Q2, ThetaJA_Q3*AR137)</f>
        <v>147.36515160537357</v>
      </c>
      <c r="BG137" s="9"/>
      <c r="BH137" s="4">
        <f t="shared" si="126"/>
        <v>92.198624092409375</v>
      </c>
      <c r="BI137" s="386">
        <f t="shared" si="127"/>
        <v>38.527465872923344</v>
      </c>
      <c r="BJ137" s="386">
        <f t="shared" si="128"/>
        <v>-2.8866054685159526</v>
      </c>
      <c r="BK137" s="386">
        <f t="shared" si="129"/>
        <v>0.31363199999999997</v>
      </c>
      <c r="BL137" s="386">
        <f t="shared" si="130"/>
        <v>2.8236165606420243</v>
      </c>
    </row>
    <row r="138" spans="7:64" x14ac:dyDescent="0.3">
      <c r="G138">
        <v>129</v>
      </c>
      <c r="H138" s="610">
        <f t="shared" si="131"/>
        <v>14.675000000000001</v>
      </c>
      <c r="I138" s="4" t="str">
        <f t="shared" si="132"/>
        <v>BOOST</v>
      </c>
      <c r="J138">
        <f t="shared" ref="J138:J201" si="170">IF(I138="BOOST",2, IF(I138="BUCK", 1,3))</f>
        <v>2</v>
      </c>
      <c r="K138">
        <f t="shared" si="133"/>
        <v>10</v>
      </c>
      <c r="L138" s="4">
        <f t="shared" si="134"/>
        <v>36.342986939239069</v>
      </c>
      <c r="M138" s="4">
        <f t="shared" si="135"/>
        <v>33.62535298028493</v>
      </c>
      <c r="N138" s="386">
        <f t="shared" si="136"/>
        <v>1</v>
      </c>
      <c r="O138" s="386">
        <f t="shared" ref="O138:O169" si="171">CHOOSE(J138,0,(Vout+(Rdson3+Rdcr)*L138-H138)/(Vout+(Rdson3-Rdson4-Rs)*L138),IF(H138&gt;Vout,D_min_boost_exitBB_to_buck, (Vout-H138*D_max_buck_BB)/Vout))</f>
        <v>0.70260535239992405</v>
      </c>
      <c r="P138" s="4">
        <f t="shared" si="137"/>
        <v>5.0539745951691613</v>
      </c>
      <c r="Q138" s="386">
        <f t="shared" si="138"/>
        <v>36.372259410156978</v>
      </c>
      <c r="R138" s="386">
        <f t="shared" si="116"/>
        <v>35.734073877793008</v>
      </c>
      <c r="S138" s="386">
        <f t="shared" si="117"/>
        <v>1.3436233589081197</v>
      </c>
      <c r="T138" s="386">
        <f t="shared" si="118"/>
        <v>37.077697236701127</v>
      </c>
      <c r="U138" s="4">
        <f t="shared" si="139"/>
        <v>15.533264820002847</v>
      </c>
      <c r="V138" s="386">
        <f t="shared" si="119"/>
        <v>0.48256463193667615</v>
      </c>
      <c r="W138" s="386">
        <f t="shared" si="120"/>
        <v>0.48256463193667615</v>
      </c>
      <c r="X138" s="386">
        <f t="shared" si="140"/>
        <v>1.4589567964992227</v>
      </c>
      <c r="Y138" s="386">
        <f t="shared" si="121"/>
        <v>4.2571098681025493E-3</v>
      </c>
      <c r="Z138" s="603">
        <f t="shared" si="122"/>
        <v>4.2571098681025493E-3</v>
      </c>
      <c r="AA138" s="386">
        <f t="shared" si="141"/>
        <v>36.372259410156978</v>
      </c>
      <c r="AB138" s="386">
        <f t="shared" si="142"/>
        <v>7.5407651512185918</v>
      </c>
      <c r="AC138" s="386">
        <f t="shared" si="143"/>
        <v>0</v>
      </c>
      <c r="AD138">
        <f t="shared" si="144"/>
        <v>0</v>
      </c>
      <c r="AE138" s="386">
        <f t="shared" si="145"/>
        <v>-14.83955561103693</v>
      </c>
      <c r="AF138" s="386">
        <f t="shared" si="146"/>
        <v>0</v>
      </c>
      <c r="AG138" s="386">
        <f t="shared" si="147"/>
        <v>0</v>
      </c>
      <c r="AH138" s="386">
        <f t="shared" si="148"/>
        <v>0</v>
      </c>
      <c r="AI138" s="386">
        <f t="shared" si="149"/>
        <v>0</v>
      </c>
      <c r="AJ138" s="386">
        <f t="shared" si="150"/>
        <v>30.48779438385888</v>
      </c>
      <c r="AK138" s="386">
        <f t="shared" si="151"/>
        <v>1.7660606521456683</v>
      </c>
      <c r="AL138" s="386">
        <f t="shared" si="152"/>
        <v>3.1825692592948234</v>
      </c>
      <c r="AM138">
        <f t="shared" si="153"/>
        <v>0</v>
      </c>
      <c r="AN138" s="386">
        <f t="shared" si="154"/>
        <v>7.651086460115323</v>
      </c>
      <c r="AO138" s="386">
        <f t="shared" si="155"/>
        <v>19.835212330784259</v>
      </c>
      <c r="AP138" s="386">
        <f t="shared" si="156"/>
        <v>0.74752773159386221</v>
      </c>
      <c r="AQ138" s="386">
        <f t="shared" si="157"/>
        <v>1.7444633730834753</v>
      </c>
      <c r="AR138" s="386">
        <f t="shared" si="158"/>
        <v>2.9300498009024722</v>
      </c>
      <c r="AS138" s="386">
        <f t="shared" si="159"/>
        <v>7.5407651512185918</v>
      </c>
      <c r="AT138" s="386">
        <f t="shared" si="160"/>
        <v>0</v>
      </c>
      <c r="AU138" s="386">
        <f t="shared" si="161"/>
        <v>0.95039999999999991</v>
      </c>
      <c r="AV138" s="386">
        <f t="shared" si="162"/>
        <v>2.7885168191773713</v>
      </c>
      <c r="AW138" s="386">
        <f t="shared" si="163"/>
        <v>0.249</v>
      </c>
      <c r="AX138" s="386">
        <f t="shared" si="164"/>
        <v>0.14400000000000002</v>
      </c>
      <c r="AY138" s="386">
        <f t="shared" si="165"/>
        <v>1.2671999999999999</v>
      </c>
      <c r="AZ138" s="386">
        <f t="shared" si="166"/>
        <v>0.10439999999999998</v>
      </c>
      <c r="BA138" s="386">
        <f t="shared" si="123"/>
        <v>1.4112</v>
      </c>
      <c r="BB138" s="386">
        <f t="shared" si="124"/>
        <v>38.705216447664149</v>
      </c>
      <c r="BC138">
        <f t="shared" si="167"/>
        <v>480</v>
      </c>
      <c r="BD138" s="604">
        <f t="shared" si="125"/>
        <v>0.92538109272789737</v>
      </c>
      <c r="BE138" s="614">
        <f t="shared" si="168"/>
        <v>430.07432300576613</v>
      </c>
      <c r="BF138" s="614">
        <f t="shared" si="169"/>
        <v>146.50249004512361</v>
      </c>
      <c r="BG138" s="9"/>
      <c r="BH138" s="4">
        <f t="shared" si="126"/>
        <v>92.53810927278974</v>
      </c>
      <c r="BI138" s="386">
        <f t="shared" si="127"/>
        <v>37.077697236701127</v>
      </c>
      <c r="BJ138" s="386">
        <f t="shared" si="128"/>
        <v>-3.3080193500191353</v>
      </c>
      <c r="BK138" s="386">
        <f t="shared" si="129"/>
        <v>0.31363199999999997</v>
      </c>
      <c r="BL138" s="386">
        <f t="shared" si="130"/>
        <v>2.7885168191773713</v>
      </c>
    </row>
    <row r="139" spans="7:64" x14ac:dyDescent="0.3">
      <c r="G139">
        <v>130</v>
      </c>
      <c r="H139" s="610">
        <f t="shared" si="131"/>
        <v>14.75</v>
      </c>
      <c r="I139" s="4" t="str">
        <f t="shared" si="132"/>
        <v>BOOST</v>
      </c>
      <c r="J139">
        <f t="shared" si="170"/>
        <v>2</v>
      </c>
      <c r="K139">
        <f t="shared" si="133"/>
        <v>10</v>
      </c>
      <c r="L139" s="4">
        <f t="shared" si="134"/>
        <v>36.158192090395481</v>
      </c>
      <c r="M139" s="4">
        <f t="shared" si="135"/>
        <v>33.444462417984774</v>
      </c>
      <c r="N139" s="386">
        <f t="shared" si="136"/>
        <v>1</v>
      </c>
      <c r="O139" s="386">
        <f t="shared" si="171"/>
        <v>0.70099683842959615</v>
      </c>
      <c r="P139" s="4">
        <f t="shared" si="137"/>
        <v>5.0697357093969941</v>
      </c>
      <c r="Q139" s="386">
        <f t="shared" si="138"/>
        <v>36.187797762867518</v>
      </c>
      <c r="R139" s="386">
        <f t="shared" si="116"/>
        <v>34.378238561782332</v>
      </c>
      <c r="S139" s="386">
        <f t="shared" si="117"/>
        <v>1.3532971413255912</v>
      </c>
      <c r="T139" s="386">
        <f t="shared" si="118"/>
        <v>35.731535703107923</v>
      </c>
      <c r="U139" s="4">
        <f t="shared" si="139"/>
        <v>15.474691606042624</v>
      </c>
      <c r="V139" s="386">
        <f t="shared" si="119"/>
        <v>0.47893216060425209</v>
      </c>
      <c r="W139" s="386">
        <f t="shared" si="120"/>
        <v>0.47893216060425209</v>
      </c>
      <c r="X139" s="386">
        <f t="shared" si="140"/>
        <v>1.4635066382703066</v>
      </c>
      <c r="Y139" s="386">
        <f t="shared" si="121"/>
        <v>4.2837033605225084E-3</v>
      </c>
      <c r="Z139" s="603">
        <f t="shared" si="122"/>
        <v>4.2837033605225084E-3</v>
      </c>
      <c r="AA139" s="386">
        <f t="shared" si="141"/>
        <v>36.187797762867518</v>
      </c>
      <c r="AB139" s="386">
        <f t="shared" si="142"/>
        <v>7.4644732294793377</v>
      </c>
      <c r="AC139" s="386">
        <f t="shared" si="143"/>
        <v>0</v>
      </c>
      <c r="AD139">
        <f t="shared" si="144"/>
        <v>0</v>
      </c>
      <c r="AE139" s="386">
        <f t="shared" si="145"/>
        <v>-15.144155635758995</v>
      </c>
      <c r="AF139" s="386">
        <f t="shared" si="146"/>
        <v>0</v>
      </c>
      <c r="AG139" s="386">
        <f t="shared" si="147"/>
        <v>0</v>
      </c>
      <c r="AH139" s="386">
        <f t="shared" si="148"/>
        <v>0</v>
      </c>
      <c r="AI139" s="386">
        <f t="shared" si="149"/>
        <v>0</v>
      </c>
      <c r="AJ139" s="386">
        <f t="shared" si="150"/>
        <v>30.29843413939966</v>
      </c>
      <c r="AK139" s="386">
        <f t="shared" si="151"/>
        <v>1.7441907114691237</v>
      </c>
      <c r="AL139" s="386">
        <f t="shared" si="152"/>
        <v>3.1663867037390871</v>
      </c>
      <c r="AM139">
        <f t="shared" si="153"/>
        <v>0</v>
      </c>
      <c r="AN139" s="386">
        <f t="shared" si="154"/>
        <v>7.5412546928140527</v>
      </c>
      <c r="AO139" s="386">
        <f t="shared" si="155"/>
        <v>19.787915393660356</v>
      </c>
      <c r="AP139" s="386">
        <f t="shared" si="156"/>
        <v>0.74396703169065481</v>
      </c>
      <c r="AQ139" s="386">
        <f t="shared" si="157"/>
        <v>1.7355932203389832</v>
      </c>
      <c r="AR139" s="386">
        <f t="shared" si="158"/>
        <v>2.9129946484115372</v>
      </c>
      <c r="AS139" s="386">
        <f t="shared" si="159"/>
        <v>7.4644732294793377</v>
      </c>
      <c r="AT139" s="386">
        <f t="shared" si="160"/>
        <v>0</v>
      </c>
      <c r="AU139" s="386">
        <f t="shared" si="161"/>
        <v>0.95039999999999991</v>
      </c>
      <c r="AV139" s="386">
        <f t="shared" si="162"/>
        <v>2.7539853338986164</v>
      </c>
      <c r="AW139" s="386">
        <f t="shared" si="163"/>
        <v>0.249</v>
      </c>
      <c r="AX139" s="386">
        <f t="shared" si="164"/>
        <v>0.14400000000000002</v>
      </c>
      <c r="AY139" s="386">
        <f t="shared" si="165"/>
        <v>1.2671999999999999</v>
      </c>
      <c r="AZ139" s="386">
        <f t="shared" si="166"/>
        <v>0.10439999999999998</v>
      </c>
      <c r="BA139" s="386">
        <f t="shared" si="123"/>
        <v>1.4112</v>
      </c>
      <c r="BB139" s="386">
        <f t="shared" si="124"/>
        <v>36.889430606437912</v>
      </c>
      <c r="BC139">
        <f t="shared" si="167"/>
        <v>480</v>
      </c>
      <c r="BD139" s="604">
        <f t="shared" si="125"/>
        <v>0.9286318728491747</v>
      </c>
      <c r="BE139" s="614">
        <f t="shared" si="168"/>
        <v>424.5827346407026</v>
      </c>
      <c r="BF139" s="614">
        <f t="shared" si="169"/>
        <v>145.64973242057687</v>
      </c>
      <c r="BG139" s="9"/>
      <c r="BH139" s="4">
        <f t="shared" si="126"/>
        <v>92.863187284917473</v>
      </c>
      <c r="BI139" s="386">
        <f t="shared" si="127"/>
        <v>35.731535703107923</v>
      </c>
      <c r="BJ139" s="386">
        <f t="shared" si="128"/>
        <v>-3.7395062945334052</v>
      </c>
      <c r="BK139" s="386">
        <f t="shared" si="129"/>
        <v>0.31363199999999997</v>
      </c>
      <c r="BL139" s="386">
        <f t="shared" si="130"/>
        <v>2.7539853338986164</v>
      </c>
    </row>
    <row r="140" spans="7:64" x14ac:dyDescent="0.3">
      <c r="G140">
        <v>131</v>
      </c>
      <c r="H140" s="610">
        <f t="shared" si="131"/>
        <v>14.825000000000001</v>
      </c>
      <c r="I140" s="4" t="str">
        <f t="shared" si="132"/>
        <v>BOOST</v>
      </c>
      <c r="J140">
        <f t="shared" si="170"/>
        <v>2</v>
      </c>
      <c r="K140">
        <f t="shared" si="133"/>
        <v>10</v>
      </c>
      <c r="L140" s="4">
        <f t="shared" si="134"/>
        <v>35.975267003934789</v>
      </c>
      <c r="M140" s="4">
        <f t="shared" si="135"/>
        <v>33.265559311379484</v>
      </c>
      <c r="N140" s="386">
        <f t="shared" si="136"/>
        <v>1</v>
      </c>
      <c r="O140" s="386">
        <f t="shared" si="171"/>
        <v>0.69938879107981211</v>
      </c>
      <c r="P140" s="4">
        <f t="shared" si="137"/>
        <v>5.085366927082938</v>
      </c>
      <c r="Q140" s="386">
        <f t="shared" si="138"/>
        <v>36.005206786468001</v>
      </c>
      <c r="R140" s="386">
        <f t="shared" si="116"/>
        <v>33.115435709646128</v>
      </c>
      <c r="S140" s="386">
        <f t="shared" si="117"/>
        <v>1.3629300086130587</v>
      </c>
      <c r="T140" s="386">
        <f t="shared" si="118"/>
        <v>34.478365718259184</v>
      </c>
      <c r="U140" s="4">
        <f t="shared" si="139"/>
        <v>15.416533548310207</v>
      </c>
      <c r="V140" s="386">
        <f t="shared" si="119"/>
        <v>0.47533901329234823</v>
      </c>
      <c r="W140" s="386">
        <f t="shared" si="120"/>
        <v>0.47533901329234823</v>
      </c>
      <c r="X140" s="386">
        <f t="shared" si="140"/>
        <v>1.4680189821396772</v>
      </c>
      <c r="Y140" s="386">
        <f t="shared" si="121"/>
        <v>4.310159463844828E-3</v>
      </c>
      <c r="Z140" s="603">
        <f t="shared" si="122"/>
        <v>4.310159463844828E-3</v>
      </c>
      <c r="AA140" s="386">
        <f t="shared" si="141"/>
        <v>36.005206786468001</v>
      </c>
      <c r="AB140" s="386">
        <f t="shared" si="142"/>
        <v>7.3893370196970318</v>
      </c>
      <c r="AC140" s="386">
        <f t="shared" si="143"/>
        <v>0</v>
      </c>
      <c r="AD140">
        <f t="shared" si="144"/>
        <v>0</v>
      </c>
      <c r="AE140" s="386">
        <f t="shared" si="145"/>
        <v>-15.463153499864996</v>
      </c>
      <c r="AF140" s="386">
        <f t="shared" si="146"/>
        <v>0</v>
      </c>
      <c r="AG140" s="386">
        <f t="shared" si="147"/>
        <v>0</v>
      </c>
      <c r="AH140" s="386">
        <f t="shared" si="148"/>
        <v>0</v>
      </c>
      <c r="AI140" s="386">
        <f t="shared" si="149"/>
        <v>0</v>
      </c>
      <c r="AJ140" s="386">
        <f t="shared" si="150"/>
        <v>30.110962872399465</v>
      </c>
      <c r="AK140" s="386">
        <f t="shared" si="151"/>
        <v>1.722673161695736</v>
      </c>
      <c r="AL140" s="386">
        <f t="shared" si="152"/>
        <v>3.1503678839899849</v>
      </c>
      <c r="AM140">
        <f t="shared" si="153"/>
        <v>0</v>
      </c>
      <c r="AN140" s="386">
        <f t="shared" si="154"/>
        <v>7.4344752386782114</v>
      </c>
      <c r="AO140" s="386">
        <f t="shared" si="155"/>
        <v>19.740943002635468</v>
      </c>
      <c r="AP140" s="386">
        <f t="shared" si="156"/>
        <v>0.74043917820327432</v>
      </c>
      <c r="AQ140" s="386">
        <f t="shared" si="157"/>
        <v>1.7268128161888698</v>
      </c>
      <c r="AR140" s="386">
        <f t="shared" si="158"/>
        <v>2.8961342467125899</v>
      </c>
      <c r="AS140" s="386">
        <f t="shared" si="159"/>
        <v>7.3893370196970318</v>
      </c>
      <c r="AT140" s="386">
        <f t="shared" si="160"/>
        <v>0</v>
      </c>
      <c r="AU140" s="386">
        <f t="shared" si="161"/>
        <v>0.95039999999999991</v>
      </c>
      <c r="AV140" s="386">
        <f t="shared" si="162"/>
        <v>2.7200102553090573</v>
      </c>
      <c r="AW140" s="386">
        <f t="shared" si="163"/>
        <v>0.249</v>
      </c>
      <c r="AX140" s="386">
        <f t="shared" si="164"/>
        <v>0.14400000000000002</v>
      </c>
      <c r="AY140" s="386">
        <f t="shared" si="165"/>
        <v>1.2671999999999999</v>
      </c>
      <c r="AZ140" s="386">
        <f t="shared" si="166"/>
        <v>0.10439999999999998</v>
      </c>
      <c r="BA140" s="386">
        <f t="shared" si="123"/>
        <v>1.4112</v>
      </c>
      <c r="BB140" s="386">
        <f t="shared" si="124"/>
        <v>35.156081131850236</v>
      </c>
      <c r="BC140">
        <f t="shared" si="167"/>
        <v>480</v>
      </c>
      <c r="BD140" s="604">
        <f t="shared" si="125"/>
        <v>0.93175644737686347</v>
      </c>
      <c r="BE140" s="614">
        <f t="shared" si="168"/>
        <v>419.24376193391055</v>
      </c>
      <c r="BF140" s="614">
        <f t="shared" si="169"/>
        <v>144.8067123356295</v>
      </c>
      <c r="BG140" s="9"/>
      <c r="BH140" s="4">
        <f t="shared" si="126"/>
        <v>93.175644737686341</v>
      </c>
      <c r="BI140" s="386">
        <f t="shared" si="127"/>
        <v>34.478365718259184</v>
      </c>
      <c r="BJ140" s="386">
        <f t="shared" si="128"/>
        <v>-4.1821440144741935</v>
      </c>
      <c r="BK140" s="386">
        <f t="shared" si="129"/>
        <v>0.31363199999999997</v>
      </c>
      <c r="BL140" s="386">
        <f t="shared" si="130"/>
        <v>2.7200102553090573</v>
      </c>
    </row>
    <row r="141" spans="7:64" x14ac:dyDescent="0.3">
      <c r="G141">
        <v>132</v>
      </c>
      <c r="H141" s="610">
        <f t="shared" si="131"/>
        <v>14.9</v>
      </c>
      <c r="I141" s="4" t="str">
        <f t="shared" si="132"/>
        <v>BOOST</v>
      </c>
      <c r="J141">
        <f t="shared" si="170"/>
        <v>2</v>
      </c>
      <c r="K141">
        <f t="shared" si="133"/>
        <v>10</v>
      </c>
      <c r="L141" s="4">
        <f t="shared" si="134"/>
        <v>35.794183445190157</v>
      </c>
      <c r="M141" s="4">
        <f t="shared" si="135"/>
        <v>33.088610334008258</v>
      </c>
      <c r="N141" s="386">
        <f t="shared" si="136"/>
        <v>1</v>
      </c>
      <c r="O141" s="386">
        <f t="shared" si="171"/>
        <v>0.69778120328849036</v>
      </c>
      <c r="P141" s="4">
        <f t="shared" si="137"/>
        <v>5.1008684237861885</v>
      </c>
      <c r="Q141" s="386">
        <f t="shared" si="138"/>
        <v>35.824458219643603</v>
      </c>
      <c r="R141" s="386">
        <f t="shared" si="116"/>
        <v>31.936451692560738</v>
      </c>
      <c r="S141" s="386">
        <f t="shared" si="117"/>
        <v>1.3725211417570327</v>
      </c>
      <c r="T141" s="386">
        <f t="shared" si="118"/>
        <v>33.308972834317771</v>
      </c>
      <c r="U141" s="4">
        <f t="shared" si="139"/>
        <v>15.358784590078976</v>
      </c>
      <c r="V141" s="386">
        <f t="shared" si="119"/>
        <v>0.47178452816889482</v>
      </c>
      <c r="W141" s="386">
        <f t="shared" si="120"/>
        <v>0.47178452816889482</v>
      </c>
      <c r="X141" s="386">
        <f t="shared" si="140"/>
        <v>1.4724938787869091</v>
      </c>
      <c r="Y141" s="386">
        <f t="shared" si="121"/>
        <v>4.3364764461298333E-3</v>
      </c>
      <c r="Z141" s="603">
        <f t="shared" si="122"/>
        <v>4.3364764461298333E-3</v>
      </c>
      <c r="AA141" s="386">
        <f t="shared" si="141"/>
        <v>35.824458219643603</v>
      </c>
      <c r="AB141" s="386">
        <f t="shared" si="142"/>
        <v>7.3153332983666441</v>
      </c>
      <c r="AC141" s="386">
        <f t="shared" si="143"/>
        <v>0</v>
      </c>
      <c r="AD141">
        <f t="shared" si="144"/>
        <v>0</v>
      </c>
      <c r="AE141" s="386">
        <f t="shared" si="145"/>
        <v>-15.797581504846967</v>
      </c>
      <c r="AF141" s="386">
        <f t="shared" si="146"/>
        <v>0</v>
      </c>
      <c r="AG141" s="386">
        <f t="shared" si="147"/>
        <v>0</v>
      </c>
      <c r="AH141" s="386">
        <f t="shared" si="148"/>
        <v>0</v>
      </c>
      <c r="AI141" s="386">
        <f t="shared" si="149"/>
        <v>0</v>
      </c>
      <c r="AJ141" s="386">
        <f t="shared" si="150"/>
        <v>29.925351780577952</v>
      </c>
      <c r="AK141" s="386">
        <f t="shared" si="151"/>
        <v>1.7015006904635459</v>
      </c>
      <c r="AL141" s="386">
        <f t="shared" si="152"/>
        <v>3.1345103275269488</v>
      </c>
      <c r="AM141">
        <f t="shared" si="153"/>
        <v>0</v>
      </c>
      <c r="AN141" s="386">
        <f t="shared" si="154"/>
        <v>7.3306230563833443</v>
      </c>
      <c r="AO141" s="386">
        <f t="shared" si="155"/>
        <v>19.694291750140447</v>
      </c>
      <c r="AP141" s="386">
        <f t="shared" si="156"/>
        <v>0.7369437423253351</v>
      </c>
      <c r="AQ141" s="386">
        <f t="shared" si="157"/>
        <v>1.7181208053691275</v>
      </c>
      <c r="AR141" s="386">
        <f t="shared" si="158"/>
        <v>2.8794653404757162</v>
      </c>
      <c r="AS141" s="386">
        <f t="shared" si="159"/>
        <v>7.3153332983666441</v>
      </c>
      <c r="AT141" s="386">
        <f t="shared" si="160"/>
        <v>0</v>
      </c>
      <c r="AU141" s="386">
        <f t="shared" si="161"/>
        <v>0.95039999999999991</v>
      </c>
      <c r="AV141" s="386">
        <f t="shared" si="162"/>
        <v>2.6865800375740201</v>
      </c>
      <c r="AW141" s="386">
        <f t="shared" si="163"/>
        <v>0.249</v>
      </c>
      <c r="AX141" s="386">
        <f t="shared" si="164"/>
        <v>0.14400000000000002</v>
      </c>
      <c r="AY141" s="386">
        <f t="shared" si="165"/>
        <v>1.2671999999999999</v>
      </c>
      <c r="AZ141" s="386">
        <f t="shared" si="166"/>
        <v>0.10439999999999998</v>
      </c>
      <c r="BA141" s="386">
        <f t="shared" si="123"/>
        <v>1.4112</v>
      </c>
      <c r="BB141" s="386">
        <f t="shared" si="124"/>
        <v>33.494780768518908</v>
      </c>
      <c r="BC141">
        <f t="shared" si="167"/>
        <v>480</v>
      </c>
      <c r="BD141" s="604">
        <f t="shared" si="125"/>
        <v>0.93477094213423328</v>
      </c>
      <c r="BE141" s="614">
        <f t="shared" si="168"/>
        <v>414.05115281916716</v>
      </c>
      <c r="BF141" s="614">
        <f t="shared" si="169"/>
        <v>143.97326702378581</v>
      </c>
      <c r="BG141" s="9"/>
      <c r="BH141" s="4">
        <f t="shared" si="126"/>
        <v>93.477094213423328</v>
      </c>
      <c r="BI141" s="386">
        <f t="shared" si="127"/>
        <v>33.308972834317771</v>
      </c>
      <c r="BJ141" s="386">
        <f t="shared" si="128"/>
        <v>-4.637093107987905</v>
      </c>
      <c r="BK141" s="386">
        <f t="shared" si="129"/>
        <v>0.31363199999999997</v>
      </c>
      <c r="BL141" s="386">
        <f t="shared" si="130"/>
        <v>2.6865800375740201</v>
      </c>
    </row>
    <row r="142" spans="7:64" x14ac:dyDescent="0.3">
      <c r="G142">
        <v>133</v>
      </c>
      <c r="H142" s="610">
        <f t="shared" si="131"/>
        <v>14.975000000000001</v>
      </c>
      <c r="I142" s="4" t="str">
        <f t="shared" si="132"/>
        <v>BOOST</v>
      </c>
      <c r="J142">
        <f t="shared" si="170"/>
        <v>2</v>
      </c>
      <c r="K142">
        <f t="shared" si="133"/>
        <v>10</v>
      </c>
      <c r="L142" s="4">
        <f t="shared" si="134"/>
        <v>35.614913745130771</v>
      </c>
      <c r="M142" s="4">
        <f t="shared" si="135"/>
        <v>32.913582914491187</v>
      </c>
      <c r="N142" s="386">
        <f t="shared" si="136"/>
        <v>1</v>
      </c>
      <c r="O142" s="386">
        <f t="shared" si="171"/>
        <v>0.69617406813534111</v>
      </c>
      <c r="P142" s="4">
        <f t="shared" si="137"/>
        <v>5.1162403715185434</v>
      </c>
      <c r="Q142" s="386">
        <f t="shared" si="138"/>
        <v>35.645524366574193</v>
      </c>
      <c r="R142" s="386">
        <f t="shared" si="116"/>
        <v>30.833250198657993</v>
      </c>
      <c r="S142" s="386">
        <f t="shared" si="117"/>
        <v>1.3820697273990667</v>
      </c>
      <c r="T142" s="386">
        <f t="shared" si="118"/>
        <v>32.215319926057063</v>
      </c>
      <c r="U142" s="4">
        <f t="shared" si="139"/>
        <v>15.301438796307847</v>
      </c>
      <c r="V142" s="386">
        <f t="shared" si="119"/>
        <v>0.46826805847430991</v>
      </c>
      <c r="W142" s="386">
        <f t="shared" si="120"/>
        <v>0.46826805847430991</v>
      </c>
      <c r="X142" s="386">
        <f t="shared" si="140"/>
        <v>1.476931377867531</v>
      </c>
      <c r="Y142" s="386">
        <f t="shared" si="121"/>
        <v>4.3626525898593678E-3</v>
      </c>
      <c r="Z142" s="603">
        <f t="shared" si="122"/>
        <v>4.3626525898593678E-3</v>
      </c>
      <c r="AA142" s="386">
        <f t="shared" si="141"/>
        <v>35.645524366574193</v>
      </c>
      <c r="AB142" s="386">
        <f t="shared" si="142"/>
        <v>7.2424394219977977</v>
      </c>
      <c r="AC142" s="386">
        <f t="shared" si="143"/>
        <v>0</v>
      </c>
      <c r="AD142">
        <f t="shared" si="144"/>
        <v>0</v>
      </c>
      <c r="AE142" s="386">
        <f t="shared" si="145"/>
        <v>-16.14857318095461</v>
      </c>
      <c r="AF142" s="386">
        <f t="shared" si="146"/>
        <v>0</v>
      </c>
      <c r="AG142" s="386">
        <f t="shared" si="147"/>
        <v>0</v>
      </c>
      <c r="AH142" s="386">
        <f t="shared" si="148"/>
        <v>0</v>
      </c>
      <c r="AI142" s="386">
        <f t="shared" si="149"/>
        <v>0</v>
      </c>
      <c r="AJ142" s="386">
        <f t="shared" si="150"/>
        <v>29.741572639892979</v>
      </c>
      <c r="AK142" s="386">
        <f t="shared" si="151"/>
        <v>1.6806661718786582</v>
      </c>
      <c r="AL142" s="386">
        <f t="shared" si="152"/>
        <v>3.1188116113623732</v>
      </c>
      <c r="AM142">
        <f t="shared" si="153"/>
        <v>0</v>
      </c>
      <c r="AN142" s="386">
        <f t="shared" si="154"/>
        <v>7.2295798370443105</v>
      </c>
      <c r="AO142" s="386">
        <f t="shared" si="155"/>
        <v>19.647958272400821</v>
      </c>
      <c r="AP142" s="386">
        <f t="shared" si="156"/>
        <v>0.73348030212060733</v>
      </c>
      <c r="AQ142" s="386">
        <f t="shared" si="157"/>
        <v>1.709515859766277</v>
      </c>
      <c r="AR142" s="386">
        <f t="shared" si="158"/>
        <v>2.862984745038371</v>
      </c>
      <c r="AS142" s="386">
        <f t="shared" si="159"/>
        <v>7.2424394219977977</v>
      </c>
      <c r="AT142" s="386">
        <f t="shared" si="160"/>
        <v>0</v>
      </c>
      <c r="AU142" s="386">
        <f t="shared" si="161"/>
        <v>0.95039999999999991</v>
      </c>
      <c r="AV142" s="386">
        <f t="shared" si="162"/>
        <v>2.6536834292820921</v>
      </c>
      <c r="AW142" s="386">
        <f t="shared" si="163"/>
        <v>0.249</v>
      </c>
      <c r="AX142" s="386">
        <f t="shared" si="164"/>
        <v>0.14400000000000002</v>
      </c>
      <c r="AY142" s="386">
        <f t="shared" si="165"/>
        <v>1.2671999999999999</v>
      </c>
      <c r="AZ142" s="386">
        <f t="shared" si="166"/>
        <v>0.10439999999999998</v>
      </c>
      <c r="BA142" s="386">
        <f t="shared" si="123"/>
        <v>1.4112</v>
      </c>
      <c r="BB142" s="386">
        <f t="shared" si="124"/>
        <v>31.896225467531394</v>
      </c>
      <c r="BC142">
        <f t="shared" si="167"/>
        <v>480</v>
      </c>
      <c r="BD142" s="604">
        <f t="shared" si="125"/>
        <v>0.93769005536542194</v>
      </c>
      <c r="BE142" s="614">
        <f t="shared" si="168"/>
        <v>408.99899185221551</v>
      </c>
      <c r="BF142" s="614">
        <f t="shared" si="169"/>
        <v>143.14923725191855</v>
      </c>
      <c r="BG142" s="9"/>
      <c r="BH142" s="4">
        <f t="shared" si="126"/>
        <v>93.769005536542196</v>
      </c>
      <c r="BI142" s="386">
        <f t="shared" si="127"/>
        <v>32.215319926057063</v>
      </c>
      <c r="BJ142" s="386">
        <f t="shared" si="128"/>
        <v>-5.1056085988719282</v>
      </c>
      <c r="BK142" s="386">
        <f t="shared" si="129"/>
        <v>0.31363199999999997</v>
      </c>
      <c r="BL142" s="386">
        <f t="shared" si="130"/>
        <v>2.6536834292820921</v>
      </c>
    </row>
    <row r="143" spans="7:64" x14ac:dyDescent="0.3">
      <c r="G143">
        <v>134</v>
      </c>
      <c r="H143" s="610">
        <f t="shared" si="131"/>
        <v>15.05</v>
      </c>
      <c r="I143" s="4" t="str">
        <f t="shared" si="132"/>
        <v>BOOST</v>
      </c>
      <c r="J143">
        <f t="shared" si="170"/>
        <v>2</v>
      </c>
      <c r="K143">
        <f t="shared" si="133"/>
        <v>10</v>
      </c>
      <c r="L143" s="4">
        <f t="shared" si="134"/>
        <v>35.437430786267988</v>
      </c>
      <c r="M143" s="4">
        <f t="shared" si="135"/>
        <v>32.740445214942454</v>
      </c>
      <c r="N143" s="386">
        <f t="shared" si="136"/>
        <v>1</v>
      </c>
      <c r="O143" s="386">
        <f t="shared" si="171"/>
        <v>0.69456737883832786</v>
      </c>
      <c r="P143" s="4">
        <f t="shared" si="137"/>
        <v>5.1314829388335559</v>
      </c>
      <c r="Q143" s="386">
        <f t="shared" si="138"/>
        <v>35.468378082842975</v>
      </c>
      <c r="R143" s="386">
        <f t="shared" si="116"/>
        <v>29.798790012946643</v>
      </c>
      <c r="S143" s="386">
        <f t="shared" si="117"/>
        <v>1.391574957860054</v>
      </c>
      <c r="T143" s="386">
        <f t="shared" si="118"/>
        <v>31.190364970806698</v>
      </c>
      <c r="U143" s="4">
        <f t="shared" si="139"/>
        <v>15.244490350453665</v>
      </c>
      <c r="V143" s="386">
        <f t="shared" si="119"/>
        <v>0.4647889720901498</v>
      </c>
      <c r="W143" s="386">
        <f t="shared" si="120"/>
        <v>0.4647889720901498</v>
      </c>
      <c r="X143" s="386">
        <f t="shared" si="140"/>
        <v>1.4813315280387629</v>
      </c>
      <c r="Y143" s="386">
        <f t="shared" si="121"/>
        <v>4.3886861919233125E-3</v>
      </c>
      <c r="Z143" s="603">
        <f t="shared" si="122"/>
        <v>4.3886861919233125E-3</v>
      </c>
      <c r="AA143" s="386">
        <f t="shared" si="141"/>
        <v>35.468378082842975</v>
      </c>
      <c r="AB143" s="386">
        <f t="shared" si="142"/>
        <v>7.1706333098167274</v>
      </c>
      <c r="AC143" s="386">
        <f t="shared" si="143"/>
        <v>0</v>
      </c>
      <c r="AD143">
        <f t="shared" si="144"/>
        <v>0</v>
      </c>
      <c r="AE143" s="386">
        <f t="shared" si="145"/>
        <v>-16.517376005858317</v>
      </c>
      <c r="AF143" s="386">
        <f t="shared" si="146"/>
        <v>0</v>
      </c>
      <c r="AG143" s="386">
        <f t="shared" si="147"/>
        <v>0</v>
      </c>
      <c r="AH143" s="386">
        <f t="shared" si="148"/>
        <v>0</v>
      </c>
      <c r="AI143" s="386">
        <f t="shared" si="149"/>
        <v>0</v>
      </c>
      <c r="AJ143" s="386">
        <f t="shared" si="150"/>
        <v>29.559597790067485</v>
      </c>
      <c r="AK143" s="386">
        <f t="shared" si="151"/>
        <v>1.6601626608700688</v>
      </c>
      <c r="AL143" s="386">
        <f t="shared" si="152"/>
        <v>3.1032693608074107</v>
      </c>
      <c r="AM143">
        <f t="shared" si="153"/>
        <v>0</v>
      </c>
      <c r="AN143" s="386">
        <f t="shared" si="154"/>
        <v>7.1312335571983461</v>
      </c>
      <c r="AO143" s="386">
        <f t="shared" si="155"/>
        <v>19.601939248883856</v>
      </c>
      <c r="AP143" s="386">
        <f t="shared" si="156"/>
        <v>0.73004844240217337</v>
      </c>
      <c r="AQ143" s="386">
        <f t="shared" si="157"/>
        <v>1.7009966777408634</v>
      </c>
      <c r="AR143" s="386">
        <f t="shared" si="158"/>
        <v>2.8466893445398775</v>
      </c>
      <c r="AS143" s="386">
        <f t="shared" si="159"/>
        <v>7.1706333098167274</v>
      </c>
      <c r="AT143" s="386">
        <f t="shared" si="160"/>
        <v>0</v>
      </c>
      <c r="AU143" s="386">
        <f t="shared" si="161"/>
        <v>0.95039999999999991</v>
      </c>
      <c r="AV143" s="386">
        <f t="shared" si="162"/>
        <v>2.6213094645316879</v>
      </c>
      <c r="AW143" s="386">
        <f t="shared" si="163"/>
        <v>0.249</v>
      </c>
      <c r="AX143" s="386">
        <f t="shared" si="164"/>
        <v>0.14400000000000002</v>
      </c>
      <c r="AY143" s="386">
        <f t="shared" si="165"/>
        <v>1.2671999999999999</v>
      </c>
      <c r="AZ143" s="386">
        <f t="shared" si="166"/>
        <v>0.10439999999999998</v>
      </c>
      <c r="BA143" s="386">
        <f t="shared" si="123"/>
        <v>1.4112</v>
      </c>
      <c r="BB143" s="386">
        <f t="shared" si="124"/>
        <v>30.351998989500366</v>
      </c>
      <c r="BC143">
        <f t="shared" si="167"/>
        <v>480</v>
      </c>
      <c r="BD143" s="604">
        <f t="shared" si="125"/>
        <v>0.94052732418096241</v>
      </c>
      <c r="BE143" s="614">
        <f t="shared" si="168"/>
        <v>404.08167785991731</v>
      </c>
      <c r="BF143" s="614">
        <f t="shared" si="169"/>
        <v>142.33446722699387</v>
      </c>
      <c r="BG143" s="9"/>
      <c r="BH143" s="4">
        <f t="shared" si="126"/>
        <v>94.052732418096241</v>
      </c>
      <c r="BI143" s="386">
        <f t="shared" si="127"/>
        <v>31.190364970806698</v>
      </c>
      <c r="BJ143" s="386">
        <f t="shared" si="128"/>
        <v>-5.5890531041200937</v>
      </c>
      <c r="BK143" s="386">
        <f t="shared" si="129"/>
        <v>0.31363199999999997</v>
      </c>
      <c r="BL143" s="386">
        <f t="shared" si="130"/>
        <v>2.6213094645316879</v>
      </c>
    </row>
    <row r="144" spans="7:64" x14ac:dyDescent="0.3">
      <c r="G144">
        <v>135</v>
      </c>
      <c r="H144" s="610">
        <f t="shared" si="131"/>
        <v>15.125</v>
      </c>
      <c r="I144" s="4" t="str">
        <f t="shared" si="132"/>
        <v>BOOST</v>
      </c>
      <c r="J144">
        <f t="shared" si="170"/>
        <v>2</v>
      </c>
      <c r="K144">
        <f t="shared" si="133"/>
        <v>10</v>
      </c>
      <c r="L144" s="4">
        <f t="shared" si="134"/>
        <v>35.261707988980717</v>
      </c>
      <c r="M144" s="4">
        <f t="shared" si="135"/>
        <v>32.56916611012813</v>
      </c>
      <c r="N144" s="386">
        <f t="shared" si="136"/>
        <v>1</v>
      </c>
      <c r="O144" s="386">
        <f t="shared" si="171"/>
        <v>0.69296112875023008</v>
      </c>
      <c r="P144" s="4">
        <f t="shared" si="137"/>
        <v>5.1465962909130001</v>
      </c>
      <c r="Q144" s="386">
        <f t="shared" si="138"/>
        <v>35.292992761764332</v>
      </c>
      <c r="R144" s="386">
        <f t="shared" si="116"/>
        <v>28.826875624853965</v>
      </c>
      <c r="S144" s="386">
        <f t="shared" si="117"/>
        <v>1.4010360311643557</v>
      </c>
      <c r="T144" s="386">
        <f t="shared" si="118"/>
        <v>30.227911656018321</v>
      </c>
      <c r="U144" s="4">
        <f t="shared" si="139"/>
        <v>15.187933551386072</v>
      </c>
      <c r="V144" s="386">
        <f t="shared" si="119"/>
        <v>0.46134665112263745</v>
      </c>
      <c r="W144" s="386">
        <f t="shared" si="120"/>
        <v>0.46134665112263745</v>
      </c>
      <c r="X144" s="386">
        <f t="shared" si="140"/>
        <v>1.485694376984475</v>
      </c>
      <c r="Y144" s="386">
        <f t="shared" si="121"/>
        <v>4.414575563606575E-3</v>
      </c>
      <c r="Z144" s="603">
        <f t="shared" si="122"/>
        <v>4.414575563606575E-3</v>
      </c>
      <c r="AA144" s="386">
        <f t="shared" si="141"/>
        <v>35.292992761764332</v>
      </c>
      <c r="AB144" s="386">
        <f t="shared" si="142"/>
        <v>7.0998934270671121</v>
      </c>
      <c r="AC144" s="386">
        <f t="shared" si="143"/>
        <v>0</v>
      </c>
      <c r="AD144">
        <f t="shared" si="144"/>
        <v>0</v>
      </c>
      <c r="AE144" s="386">
        <f t="shared" si="145"/>
        <v>-16.905366090372073</v>
      </c>
      <c r="AF144" s="386">
        <f t="shared" si="146"/>
        <v>0</v>
      </c>
      <c r="AG144" s="386">
        <f t="shared" si="147"/>
        <v>0</v>
      </c>
      <c r="AH144" s="386">
        <f t="shared" si="148"/>
        <v>0</v>
      </c>
      <c r="AI144" s="386">
        <f t="shared" si="149"/>
        <v>0</v>
      </c>
      <c r="AJ144" s="386">
        <f t="shared" si="150"/>
        <v>29.37940012054862</v>
      </c>
      <c r="AK144" s="386">
        <f t="shared" si="151"/>
        <v>1.6399833877422554</v>
      </c>
      <c r="AL144" s="386">
        <f t="shared" si="152"/>
        <v>3.0878812482744822</v>
      </c>
      <c r="AM144">
        <f t="shared" si="153"/>
        <v>0</v>
      </c>
      <c r="AN144" s="386">
        <f t="shared" si="154"/>
        <v>7.0354780669371078</v>
      </c>
      <c r="AO144" s="386">
        <f t="shared" si="155"/>
        <v>19.55623140174654</v>
      </c>
      <c r="AP144" s="386">
        <f t="shared" si="156"/>
        <v>0.72664775461344921</v>
      </c>
      <c r="AQ144" s="386">
        <f t="shared" si="157"/>
        <v>1.6925619834710746</v>
      </c>
      <c r="AR144" s="386">
        <f t="shared" si="158"/>
        <v>2.8305760901131745</v>
      </c>
      <c r="AS144" s="386">
        <f t="shared" si="159"/>
        <v>7.0998934270671121</v>
      </c>
      <c r="AT144" s="386">
        <f t="shared" si="160"/>
        <v>0</v>
      </c>
      <c r="AU144" s="386">
        <f t="shared" si="161"/>
        <v>0.95039999999999991</v>
      </c>
      <c r="AV144" s="386">
        <f t="shared" si="162"/>
        <v>2.5894474543298771</v>
      </c>
      <c r="AW144" s="386">
        <f t="shared" si="163"/>
        <v>0.249</v>
      </c>
      <c r="AX144" s="386">
        <f t="shared" si="164"/>
        <v>0.14400000000000002</v>
      </c>
      <c r="AY144" s="386">
        <f t="shared" si="165"/>
        <v>1.2671999999999999</v>
      </c>
      <c r="AZ144" s="386">
        <f t="shared" si="166"/>
        <v>0.10439999999999998</v>
      </c>
      <c r="BA144" s="386">
        <f t="shared" si="123"/>
        <v>1.4112</v>
      </c>
      <c r="BB144" s="386">
        <f t="shared" si="124"/>
        <v>28.854408403712654</v>
      </c>
      <c r="BC144">
        <f t="shared" si="167"/>
        <v>480</v>
      </c>
      <c r="BD144" s="604">
        <f t="shared" si="125"/>
        <v>0.94329535535669307</v>
      </c>
      <c r="BE144" s="614">
        <f t="shared" si="168"/>
        <v>399.29390334685542</v>
      </c>
      <c r="BF144" s="614">
        <f t="shared" si="169"/>
        <v>141.52880450565871</v>
      </c>
      <c r="BG144" s="9"/>
      <c r="BH144" s="4">
        <f t="shared" si="126"/>
        <v>94.329535535669308</v>
      </c>
      <c r="BI144" s="386">
        <f t="shared" si="127"/>
        <v>30.227911656018321</v>
      </c>
      <c r="BJ144" s="386">
        <f t="shared" si="128"/>
        <v>-6.0889119333217909</v>
      </c>
      <c r="BK144" s="386">
        <f t="shared" si="129"/>
        <v>0.31363199999999997</v>
      </c>
      <c r="BL144" s="386">
        <f t="shared" si="130"/>
        <v>2.5894474543298771</v>
      </c>
    </row>
    <row r="145" spans="7:64" x14ac:dyDescent="0.3">
      <c r="G145">
        <v>136</v>
      </c>
      <c r="H145" s="610">
        <f t="shared" si="131"/>
        <v>15.200000000000001</v>
      </c>
      <c r="I145" s="4" t="str">
        <f t="shared" si="132"/>
        <v>BOOST</v>
      </c>
      <c r="J145">
        <f t="shared" si="170"/>
        <v>2</v>
      </c>
      <c r="K145">
        <f t="shared" si="133"/>
        <v>10</v>
      </c>
      <c r="L145" s="4">
        <f t="shared" si="134"/>
        <v>35.087719298245609</v>
      </c>
      <c r="M145" s="4">
        <f t="shared" si="135"/>
        <v>32.399715167339188</v>
      </c>
      <c r="N145" s="386">
        <f t="shared" si="136"/>
        <v>1</v>
      </c>
      <c r="O145" s="386">
        <f t="shared" si="171"/>
        <v>0.69135531135531136</v>
      </c>
      <c r="P145" s="4">
        <f t="shared" si="137"/>
        <v>5.1615805896507663</v>
      </c>
      <c r="Q145" s="386">
        <f t="shared" si="138"/>
        <v>35.11934232111652</v>
      </c>
      <c r="R145" s="386">
        <f t="shared" si="116"/>
        <v>27.912033964831235</v>
      </c>
      <c r="S145" s="386">
        <f t="shared" si="117"/>
        <v>1.4104521510637542</v>
      </c>
      <c r="T145" s="386">
        <f t="shared" si="118"/>
        <v>29.322486115894989</v>
      </c>
      <c r="U145" s="4">
        <f t="shared" si="139"/>
        <v>15.131762810401286</v>
      </c>
      <c r="V145" s="386">
        <f t="shared" si="119"/>
        <v>0.45794049150048682</v>
      </c>
      <c r="W145" s="386">
        <f t="shared" si="120"/>
        <v>0.45794049150048682</v>
      </c>
      <c r="X145" s="386">
        <f t="shared" si="140"/>
        <v>1.4900199714394087</v>
      </c>
      <c r="Y145" s="386">
        <f t="shared" si="121"/>
        <v>4.4403190305765923E-3</v>
      </c>
      <c r="Z145" s="603">
        <f t="shared" si="122"/>
        <v>4.4403190305765923E-3</v>
      </c>
      <c r="AA145" s="386">
        <f t="shared" si="141"/>
        <v>35.11934232111652</v>
      </c>
      <c r="AB145" s="386">
        <f t="shared" si="142"/>
        <v>7.0301987688862653</v>
      </c>
      <c r="AC145" s="386">
        <f t="shared" si="143"/>
        <v>0</v>
      </c>
      <c r="AD145">
        <f t="shared" si="144"/>
        <v>0</v>
      </c>
      <c r="AE145" s="386">
        <f t="shared" si="145"/>
        <v>-17.31406519555452</v>
      </c>
      <c r="AF145" s="386">
        <f t="shared" si="146"/>
        <v>0</v>
      </c>
      <c r="AG145" s="386">
        <f t="shared" si="147"/>
        <v>0</v>
      </c>
      <c r="AH145" s="386">
        <f t="shared" si="148"/>
        <v>0</v>
      </c>
      <c r="AI145" s="386">
        <f t="shared" si="149"/>
        <v>0</v>
      </c>
      <c r="AJ145" s="386">
        <f t="shared" si="150"/>
        <v>29.200953056884408</v>
      </c>
      <c r="AK145" s="386">
        <f t="shared" si="151"/>
        <v>1.620121752917697</v>
      </c>
      <c r="AL145" s="386">
        <f t="shared" si="152"/>
        <v>3.0726449921152321</v>
      </c>
      <c r="AM145">
        <f t="shared" si="153"/>
        <v>0</v>
      </c>
      <c r="AN145" s="386">
        <f t="shared" si="154"/>
        <v>6.942212710005137</v>
      </c>
      <c r="AO145" s="386">
        <f t="shared" si="155"/>
        <v>19.510831495284847</v>
      </c>
      <c r="AP145" s="386">
        <f t="shared" si="156"/>
        <v>0.72327783671105839</v>
      </c>
      <c r="AQ145" s="386">
        <f t="shared" si="157"/>
        <v>1.6842105263157894</v>
      </c>
      <c r="AR145" s="386">
        <f t="shared" si="158"/>
        <v>2.8146419981318225</v>
      </c>
      <c r="AS145" s="386">
        <f t="shared" si="159"/>
        <v>7.0301987688862653</v>
      </c>
      <c r="AT145" s="386">
        <f t="shared" si="160"/>
        <v>0</v>
      </c>
      <c r="AU145" s="386">
        <f t="shared" si="161"/>
        <v>0.95039999999999991</v>
      </c>
      <c r="AV145" s="386">
        <f t="shared" si="162"/>
        <v>2.5580869782911004</v>
      </c>
      <c r="AW145" s="386">
        <f t="shared" si="163"/>
        <v>0.249</v>
      </c>
      <c r="AX145" s="386">
        <f t="shared" si="164"/>
        <v>0.14400000000000002</v>
      </c>
      <c r="AY145" s="386">
        <f t="shared" si="165"/>
        <v>1.2671999999999999</v>
      </c>
      <c r="AZ145" s="386">
        <f t="shared" si="166"/>
        <v>0.10439999999999998</v>
      </c>
      <c r="BA145" s="386">
        <f t="shared" si="123"/>
        <v>1.4112</v>
      </c>
      <c r="BB145" s="386">
        <f t="shared" si="124"/>
        <v>27.39634341729959</v>
      </c>
      <c r="BC145">
        <f t="shared" si="167"/>
        <v>480</v>
      </c>
      <c r="BD145" s="604">
        <f t="shared" si="125"/>
        <v>0.94600602906834919</v>
      </c>
      <c r="BE145" s="614">
        <f t="shared" si="168"/>
        <v>394.63063550025686</v>
      </c>
      <c r="BF145" s="614">
        <f t="shared" si="169"/>
        <v>140.73209990659112</v>
      </c>
      <c r="BG145" s="9"/>
      <c r="BH145" s="4">
        <f t="shared" si="126"/>
        <v>94.600602906834922</v>
      </c>
      <c r="BI145" s="386">
        <f t="shared" si="127"/>
        <v>29.322486115894989</v>
      </c>
      <c r="BJ145" s="386">
        <f t="shared" si="128"/>
        <v>-6.6068104874175599</v>
      </c>
      <c r="BK145" s="386">
        <f t="shared" si="129"/>
        <v>0.31363199999999997</v>
      </c>
      <c r="BL145" s="386">
        <f t="shared" si="130"/>
        <v>2.5580869782911004</v>
      </c>
    </row>
    <row r="146" spans="7:64" x14ac:dyDescent="0.3">
      <c r="G146">
        <v>137</v>
      </c>
      <c r="H146" s="610">
        <f t="shared" si="131"/>
        <v>15.275</v>
      </c>
      <c r="I146" s="4" t="str">
        <f t="shared" si="132"/>
        <v>BOOST</v>
      </c>
      <c r="J146">
        <f t="shared" si="170"/>
        <v>2</v>
      </c>
      <c r="K146">
        <f t="shared" si="133"/>
        <v>10</v>
      </c>
      <c r="L146" s="4">
        <f t="shared" si="134"/>
        <v>34.915439170758319</v>
      </c>
      <c r="M146" s="4">
        <f t="shared" si="135"/>
        <v>32.232062626950544</v>
      </c>
      <c r="N146" s="386">
        <f t="shared" si="136"/>
        <v>1</v>
      </c>
      <c r="O146" s="386">
        <f t="shared" si="171"/>
        <v>0.68974992026608339</v>
      </c>
      <c r="P146" s="4">
        <f t="shared" si="137"/>
        <v>5.1764359937342448</v>
      </c>
      <c r="Q146" s="386">
        <f t="shared" si="138"/>
        <v>34.947401190265353</v>
      </c>
      <c r="R146" s="386">
        <f t="shared" si="116"/>
        <v>27.049412089342294</v>
      </c>
      <c r="S146" s="386">
        <f t="shared" si="117"/>
        <v>1.4198225270612155</v>
      </c>
      <c r="T146" s="386">
        <f t="shared" si="118"/>
        <v>28.469234616403508</v>
      </c>
      <c r="U146" s="4">
        <f t="shared" si="139"/>
        <v>15.075972648330746</v>
      </c>
      <c r="V146" s="386">
        <f t="shared" si="119"/>
        <v>0.45456990258643348</v>
      </c>
      <c r="W146" s="386">
        <f t="shared" si="120"/>
        <v>0.45456990258643348</v>
      </c>
      <c r="X146" s="386">
        <f t="shared" si="140"/>
        <v>1.4943083572126672</v>
      </c>
      <c r="Y146" s="386">
        <f t="shared" si="121"/>
        <v>4.4659149328712408E-3</v>
      </c>
      <c r="Z146" s="603">
        <f t="shared" si="122"/>
        <v>4.4659149328712408E-3</v>
      </c>
      <c r="AA146" s="386">
        <f t="shared" si="141"/>
        <v>34.947401190265353</v>
      </c>
      <c r="AB146" s="386">
        <f t="shared" si="142"/>
        <v>6.9615288447341541</v>
      </c>
      <c r="AC146" s="386">
        <f t="shared" si="143"/>
        <v>0</v>
      </c>
      <c r="AD146">
        <f t="shared" si="144"/>
        <v>0</v>
      </c>
      <c r="AE146" s="386">
        <f t="shared" si="145"/>
        <v>-17.745160524717267</v>
      </c>
      <c r="AF146" s="386">
        <f t="shared" si="146"/>
        <v>0</v>
      </c>
      <c r="AG146" s="386">
        <f t="shared" si="147"/>
        <v>0</v>
      </c>
      <c r="AH146" s="386">
        <f t="shared" si="148"/>
        <v>0</v>
      </c>
      <c r="AI146" s="386">
        <f t="shared" si="149"/>
        <v>0</v>
      </c>
      <c r="AJ146" s="386">
        <f t="shared" si="150"/>
        <v>29.024230547503503</v>
      </c>
      <c r="AK146" s="386">
        <f t="shared" si="151"/>
        <v>1.6005713218618074</v>
      </c>
      <c r="AL146" s="386">
        <f t="shared" si="152"/>
        <v>3.0575583554927355</v>
      </c>
      <c r="AM146">
        <f t="shared" si="153"/>
        <v>0</v>
      </c>
      <c r="AN146" s="386">
        <f t="shared" si="154"/>
        <v>6.8513419730072398</v>
      </c>
      <c r="AO146" s="386">
        <f t="shared" si="155"/>
        <v>19.465736335384921</v>
      </c>
      <c r="AP146" s="386">
        <f t="shared" si="156"/>
        <v>0.71993829304957713</v>
      </c>
      <c r="AQ146" s="386">
        <f t="shared" si="157"/>
        <v>1.6759410801963994</v>
      </c>
      <c r="AR146" s="386">
        <f t="shared" si="158"/>
        <v>2.7988841485103952</v>
      </c>
      <c r="AS146" s="386">
        <f t="shared" si="159"/>
        <v>6.9615288447341541</v>
      </c>
      <c r="AT146" s="386">
        <f t="shared" si="160"/>
        <v>0</v>
      </c>
      <c r="AU146" s="386">
        <f t="shared" si="161"/>
        <v>0.95039999999999991</v>
      </c>
      <c r="AV146" s="386">
        <f t="shared" si="162"/>
        <v>2.5272178766239066</v>
      </c>
      <c r="AW146" s="386">
        <f t="shared" si="163"/>
        <v>0.249</v>
      </c>
      <c r="AX146" s="386">
        <f t="shared" si="164"/>
        <v>0.14400000000000002</v>
      </c>
      <c r="AY146" s="386">
        <f t="shared" si="165"/>
        <v>1.2671999999999999</v>
      </c>
      <c r="AZ146" s="386">
        <f t="shared" si="166"/>
        <v>0.10439999999999998</v>
      </c>
      <c r="BA146" s="386">
        <f t="shared" si="123"/>
        <v>1.4112</v>
      </c>
      <c r="BB146" s="386">
        <f t="shared" si="124"/>
        <v>25.971153907347091</v>
      </c>
      <c r="BC146">
        <f t="shared" si="167"/>
        <v>480</v>
      </c>
      <c r="BD146" s="604">
        <f t="shared" si="125"/>
        <v>0.94867068269250998</v>
      </c>
      <c r="BE146" s="614">
        <f t="shared" si="168"/>
        <v>390.08709865036201</v>
      </c>
      <c r="BF146" s="614">
        <f t="shared" si="169"/>
        <v>139.94420742551975</v>
      </c>
      <c r="BG146" s="9"/>
      <c r="BH146" s="4">
        <f t="shared" si="126"/>
        <v>94.867068269250993</v>
      </c>
      <c r="BI146" s="386">
        <f t="shared" si="127"/>
        <v>28.469234616403508</v>
      </c>
      <c r="BJ146" s="386">
        <f t="shared" si="128"/>
        <v>-7.1445344031996303</v>
      </c>
      <c r="BK146" s="386">
        <f t="shared" si="129"/>
        <v>0.31363199999999997</v>
      </c>
      <c r="BL146" s="386">
        <f t="shared" si="130"/>
        <v>2.5272178766239066</v>
      </c>
    </row>
    <row r="147" spans="7:64" x14ac:dyDescent="0.3">
      <c r="G147">
        <v>138</v>
      </c>
      <c r="H147" s="610">
        <f t="shared" si="131"/>
        <v>15.35</v>
      </c>
      <c r="I147" s="4" t="str">
        <f t="shared" si="132"/>
        <v>BOOST</v>
      </c>
      <c r="J147">
        <f t="shared" si="170"/>
        <v>2</v>
      </c>
      <c r="K147">
        <f t="shared" si="133"/>
        <v>10</v>
      </c>
      <c r="L147" s="4">
        <f t="shared" si="134"/>
        <v>34.74484256243214</v>
      </c>
      <c r="M147" s="4">
        <f t="shared" si="135"/>
        <v>32.06617938363906</v>
      </c>
      <c r="N147" s="386">
        <f t="shared" si="136"/>
        <v>1</v>
      </c>
      <c r="O147" s="386">
        <f t="shared" si="171"/>
        <v>0.68814494922016678</v>
      </c>
      <c r="P147" s="4">
        <f t="shared" si="137"/>
        <v>5.1911626587233277</v>
      </c>
      <c r="Q147" s="386">
        <f t="shared" si="138"/>
        <v>34.77714429766538</v>
      </c>
      <c r="R147" s="386">
        <f t="shared" si="116"/>
        <v>26.234691775147041</v>
      </c>
      <c r="S147" s="386">
        <f t="shared" si="117"/>
        <v>1.4291463744344812</v>
      </c>
      <c r="T147" s="386">
        <f t="shared" si="118"/>
        <v>27.663838149581522</v>
      </c>
      <c r="U147" s="4">
        <f t="shared" si="139"/>
        <v>15.020557692741249</v>
      </c>
      <c r="V147" s="386">
        <f t="shared" si="119"/>
        <v>0.45123430680193666</v>
      </c>
      <c r="W147" s="386">
        <f t="shared" si="120"/>
        <v>0.45123430680193666</v>
      </c>
      <c r="X147" s="386">
        <f t="shared" si="140"/>
        <v>1.4985595792105235</v>
      </c>
      <c r="Y147" s="386">
        <f t="shared" si="121"/>
        <v>4.4913616248872428E-3</v>
      </c>
      <c r="Z147" s="603">
        <f t="shared" si="122"/>
        <v>4.4913616248872428E-3</v>
      </c>
      <c r="AA147" s="386">
        <f t="shared" si="141"/>
        <v>34.77714429766538</v>
      </c>
      <c r="AB147" s="386">
        <f t="shared" si="142"/>
        <v>6.8938636633536463</v>
      </c>
      <c r="AC147" s="386">
        <f t="shared" si="143"/>
        <v>0</v>
      </c>
      <c r="AD147">
        <f t="shared" si="144"/>
        <v>0</v>
      </c>
      <c r="AE147" s="386">
        <f t="shared" si="145"/>
        <v>-18.200527832996222</v>
      </c>
      <c r="AF147" s="386">
        <f t="shared" si="146"/>
        <v>0</v>
      </c>
      <c r="AG147" s="386">
        <f t="shared" si="147"/>
        <v>0</v>
      </c>
      <c r="AH147" s="386">
        <f t="shared" si="148"/>
        <v>0</v>
      </c>
      <c r="AI147" s="386">
        <f t="shared" si="149"/>
        <v>0</v>
      </c>
      <c r="AJ147" s="386">
        <f t="shared" si="150"/>
        <v>28.84920705088409</v>
      </c>
      <c r="AK147" s="386">
        <f t="shared" si="151"/>
        <v>1.5813258201830827</v>
      </c>
      <c r="AL147" s="386">
        <f t="shared" si="152"/>
        <v>3.042619145286745</v>
      </c>
      <c r="AM147">
        <f t="shared" si="153"/>
        <v>0</v>
      </c>
      <c r="AN147" s="386">
        <f t="shared" si="154"/>
        <v>6.7627751611553943</v>
      </c>
      <c r="AO147" s="386">
        <f t="shared" si="155"/>
        <v>19.420942768976467</v>
      </c>
      <c r="AP147" s="386">
        <f t="shared" si="156"/>
        <v>0.71662873426813267</v>
      </c>
      <c r="AQ147" s="386">
        <f t="shared" si="157"/>
        <v>1.6677524429967427</v>
      </c>
      <c r="AR147" s="386">
        <f t="shared" si="158"/>
        <v>2.7832996830563954</v>
      </c>
      <c r="AS147" s="386">
        <f t="shared" si="159"/>
        <v>6.8938636633536463</v>
      </c>
      <c r="AT147" s="386">
        <f t="shared" si="160"/>
        <v>0</v>
      </c>
      <c r="AU147" s="386">
        <f t="shared" si="161"/>
        <v>0.95039999999999991</v>
      </c>
      <c r="AV147" s="386">
        <f t="shared" si="162"/>
        <v>2.4968302423943411</v>
      </c>
      <c r="AW147" s="386">
        <f t="shared" si="163"/>
        <v>0.249</v>
      </c>
      <c r="AX147" s="386">
        <f t="shared" si="164"/>
        <v>0.14400000000000002</v>
      </c>
      <c r="AY147" s="386">
        <f t="shared" si="165"/>
        <v>1.2671999999999999</v>
      </c>
      <c r="AZ147" s="386">
        <f t="shared" si="166"/>
        <v>0.10439999999999998</v>
      </c>
      <c r="BA147" s="386">
        <f t="shared" si="123"/>
        <v>1.4112</v>
      </c>
      <c r="BB147" s="386">
        <f t="shared" si="124"/>
        <v>24.572541071618254</v>
      </c>
      <c r="BC147">
        <f t="shared" si="167"/>
        <v>480</v>
      </c>
      <c r="BD147" s="604">
        <f t="shared" si="125"/>
        <v>0.95130028078929785</v>
      </c>
      <c r="BE147" s="614">
        <f t="shared" si="168"/>
        <v>385.65875805776972</v>
      </c>
      <c r="BF147" s="614">
        <f t="shared" si="169"/>
        <v>139.16498415281978</v>
      </c>
      <c r="BG147" s="9"/>
      <c r="BH147" s="4">
        <f t="shared" si="126"/>
        <v>95.130028078929783</v>
      </c>
      <c r="BI147" s="386">
        <f t="shared" si="127"/>
        <v>27.663838149581522</v>
      </c>
      <c r="BJ147" s="386">
        <f t="shared" si="128"/>
        <v>-7.7040529887844329</v>
      </c>
      <c r="BK147" s="386">
        <f t="shared" si="129"/>
        <v>0.31363199999999997</v>
      </c>
      <c r="BL147" s="386">
        <f t="shared" si="130"/>
        <v>2.4968302423943411</v>
      </c>
    </row>
    <row r="148" spans="7:64" x14ac:dyDescent="0.3">
      <c r="G148">
        <v>139</v>
      </c>
      <c r="H148" s="610">
        <f t="shared" si="131"/>
        <v>15.424999999999999</v>
      </c>
      <c r="I148" s="4" t="str">
        <f t="shared" si="132"/>
        <v>BOOST</v>
      </c>
      <c r="J148">
        <f t="shared" si="170"/>
        <v>2</v>
      </c>
      <c r="K148">
        <f t="shared" si="133"/>
        <v>10</v>
      </c>
      <c r="L148" s="4">
        <f t="shared" si="134"/>
        <v>34.575904916261486</v>
      </c>
      <c r="M148" s="4">
        <f t="shared" si="135"/>
        <v>31.902036968234174</v>
      </c>
      <c r="N148" s="386">
        <f t="shared" si="136"/>
        <v>1</v>
      </c>
      <c r="O148" s="386">
        <f t="shared" si="171"/>
        <v>0.68654039207724249</v>
      </c>
      <c r="P148" s="4">
        <f t="shared" si="137"/>
        <v>5.2057607371270711</v>
      </c>
      <c r="Q148" s="386">
        <f t="shared" si="138"/>
        <v>34.608547058725819</v>
      </c>
      <c r="R148" s="386">
        <f t="shared" si="116"/>
        <v>25.464017849971341</v>
      </c>
      <c r="S148" s="386">
        <f t="shared" si="117"/>
        <v>1.4384229142594589</v>
      </c>
      <c r="T148" s="386">
        <f t="shared" si="118"/>
        <v>26.9024407642308</v>
      </c>
      <c r="U148" s="4">
        <f t="shared" si="139"/>
        <v>14.965512675223019</v>
      </c>
      <c r="V148" s="386">
        <f t="shared" si="119"/>
        <v>0.44793313926452172</v>
      </c>
      <c r="W148" s="386">
        <f t="shared" si="120"/>
        <v>0.44793313926452172</v>
      </c>
      <c r="X148" s="386">
        <f t="shared" si="140"/>
        <v>1.5027736814585497</v>
      </c>
      <c r="Y148" s="386">
        <f t="shared" si="121"/>
        <v>4.516657475368965E-3</v>
      </c>
      <c r="Z148" s="603">
        <f t="shared" si="122"/>
        <v>4.516657475368965E-3</v>
      </c>
      <c r="AA148" s="386">
        <f t="shared" si="141"/>
        <v>34.608547058725819</v>
      </c>
      <c r="AB148" s="386">
        <f t="shared" si="142"/>
        <v>6.8271837182414252</v>
      </c>
      <c r="AC148" s="386">
        <f t="shared" si="143"/>
        <v>0</v>
      </c>
      <c r="AD148">
        <f t="shared" si="144"/>
        <v>0</v>
      </c>
      <c r="AE148" s="386">
        <f t="shared" si="145"/>
        <v>-18.682258521907844</v>
      </c>
      <c r="AF148" s="386">
        <f t="shared" si="146"/>
        <v>0</v>
      </c>
      <c r="AG148" s="386">
        <f t="shared" si="147"/>
        <v>0</v>
      </c>
      <c r="AH148" s="386">
        <f t="shared" si="148"/>
        <v>0</v>
      </c>
      <c r="AI148" s="386">
        <f t="shared" si="149"/>
        <v>0</v>
      </c>
      <c r="AJ148" s="386">
        <f t="shared" si="150"/>
        <v>28.675857523098742</v>
      </c>
      <c r="AK148" s="386">
        <f t="shared" si="151"/>
        <v>1.5623791289016116</v>
      </c>
      <c r="AL148" s="386">
        <f t="shared" si="152"/>
        <v>3.0278252110308941</v>
      </c>
      <c r="AM148">
        <f t="shared" si="153"/>
        <v>0</v>
      </c>
      <c r="AN148" s="386">
        <f t="shared" si="154"/>
        <v>6.6764260982419561</v>
      </c>
      <c r="AO148" s="386">
        <f t="shared" si="155"/>
        <v>19.376447683488859</v>
      </c>
      <c r="AP148" s="386">
        <f t="shared" si="156"/>
        <v>0.71334877717886347</v>
      </c>
      <c r="AQ148" s="386">
        <f t="shared" si="157"/>
        <v>1.6596434359805514</v>
      </c>
      <c r="AR148" s="386">
        <f t="shared" si="158"/>
        <v>2.7678858038719771</v>
      </c>
      <c r="AS148" s="386">
        <f t="shared" si="159"/>
        <v>6.8271837182414252</v>
      </c>
      <c r="AT148" s="386">
        <f t="shared" si="160"/>
        <v>0</v>
      </c>
      <c r="AU148" s="386">
        <f t="shared" si="161"/>
        <v>0.95039999999999991</v>
      </c>
      <c r="AV148" s="386">
        <f t="shared" si="162"/>
        <v>2.466914414055176</v>
      </c>
      <c r="AW148" s="386">
        <f t="shared" si="163"/>
        <v>0.249</v>
      </c>
      <c r="AX148" s="386">
        <f t="shared" si="164"/>
        <v>0.14400000000000002</v>
      </c>
      <c r="AY148" s="386">
        <f t="shared" si="165"/>
        <v>1.2671999999999999</v>
      </c>
      <c r="AZ148" s="386">
        <f t="shared" si="166"/>
        <v>0.10439999999999998</v>
      </c>
      <c r="BA148" s="386">
        <f t="shared" si="123"/>
        <v>1.4112</v>
      </c>
      <c r="BB148" s="386">
        <f t="shared" si="124"/>
        <v>23.194458355231951</v>
      </c>
      <c r="BC148">
        <f t="shared" si="167"/>
        <v>480</v>
      </c>
      <c r="BD148" s="604">
        <f t="shared" si="125"/>
        <v>0.95390557672068443</v>
      </c>
      <c r="BE148" s="614">
        <f t="shared" si="168"/>
        <v>381.34130491209783</v>
      </c>
      <c r="BF148" s="614">
        <f t="shared" si="169"/>
        <v>138.39429019359886</v>
      </c>
      <c r="BG148" s="9"/>
      <c r="BH148" s="4">
        <f t="shared" si="126"/>
        <v>95.390557672068439</v>
      </c>
      <c r="BI148" s="386">
        <f t="shared" si="127"/>
        <v>26.9024407642308</v>
      </c>
      <c r="BJ148" s="386">
        <f t="shared" si="128"/>
        <v>-8.2875466197939112</v>
      </c>
      <c r="BK148" s="386">
        <f t="shared" si="129"/>
        <v>0.31363199999999997</v>
      </c>
      <c r="BL148" s="386">
        <f t="shared" si="130"/>
        <v>2.466914414055176</v>
      </c>
    </row>
    <row r="149" spans="7:64" x14ac:dyDescent="0.3">
      <c r="G149">
        <v>140</v>
      </c>
      <c r="H149" s="610">
        <f t="shared" si="131"/>
        <v>15.5</v>
      </c>
      <c r="I149" s="4" t="str">
        <f t="shared" si="132"/>
        <v>BOOST</v>
      </c>
      <c r="J149">
        <f t="shared" si="170"/>
        <v>2</v>
      </c>
      <c r="K149">
        <f t="shared" si="133"/>
        <v>10</v>
      </c>
      <c r="L149" s="4">
        <f t="shared" si="134"/>
        <v>34.408602150537632</v>
      </c>
      <c r="M149" s="4">
        <f t="shared" si="135"/>
        <v>31.739607530176276</v>
      </c>
      <c r="N149" s="386">
        <f t="shared" si="136"/>
        <v>1</v>
      </c>
      <c r="O149" s="386">
        <f t="shared" si="171"/>
        <v>0.68493624281609189</v>
      </c>
      <c r="P149" s="4">
        <f t="shared" si="137"/>
        <v>5.2202303784781128</v>
      </c>
      <c r="Q149" s="386">
        <f t="shared" si="138"/>
        <v>34.441585364028789</v>
      </c>
      <c r="R149" s="386">
        <f t="shared" si="116"/>
        <v>24.733937749317182</v>
      </c>
      <c r="S149" s="386">
        <f t="shared" si="117"/>
        <v>1.4476513734334251</v>
      </c>
      <c r="T149" s="386">
        <f t="shared" si="118"/>
        <v>26.181589122750609</v>
      </c>
      <c r="U149" s="4">
        <f t="shared" si="139"/>
        <v>14.910832428762475</v>
      </c>
      <c r="V149" s="386">
        <f t="shared" si="119"/>
        <v>0.44466584743726933</v>
      </c>
      <c r="W149" s="386">
        <f t="shared" si="120"/>
        <v>0.44466584743726933</v>
      </c>
      <c r="X149" s="386">
        <f t="shared" si="140"/>
        <v>1.5069507071231003</v>
      </c>
      <c r="Y149" s="386">
        <f t="shared" si="121"/>
        <v>4.5418008673976246E-3</v>
      </c>
      <c r="Z149" s="603">
        <f t="shared" si="122"/>
        <v>4.5418008673976246E-3</v>
      </c>
      <c r="AA149" s="386">
        <f t="shared" si="141"/>
        <v>34.441585364028789</v>
      </c>
      <c r="AB149" s="386">
        <f t="shared" si="142"/>
        <v>6.7614699736097883</v>
      </c>
      <c r="AC149" s="386">
        <f t="shared" si="143"/>
        <v>0</v>
      </c>
      <c r="AD149">
        <f t="shared" si="144"/>
        <v>0</v>
      </c>
      <c r="AE149" s="386">
        <f t="shared" si="145"/>
        <v>-19.192691544305685</v>
      </c>
      <c r="AF149" s="386">
        <f t="shared" si="146"/>
        <v>0</v>
      </c>
      <c r="AG149" s="386">
        <f t="shared" si="147"/>
        <v>0</v>
      </c>
      <c r="AH149" s="386">
        <f t="shared" si="148"/>
        <v>0</v>
      </c>
      <c r="AI149" s="386">
        <f t="shared" si="149"/>
        <v>0</v>
      </c>
      <c r="AJ149" s="386">
        <f t="shared" si="150"/>
        <v>28.504157405722317</v>
      </c>
      <c r="AK149" s="386">
        <f t="shared" si="151"/>
        <v>1.5437252798793692</v>
      </c>
      <c r="AL149" s="386">
        <f t="shared" si="152"/>
        <v>3.013174443880744</v>
      </c>
      <c r="AM149">
        <f t="shared" si="153"/>
        <v>0</v>
      </c>
      <c r="AN149" s="386">
        <f t="shared" si="154"/>
        <v>6.5922128487533369</v>
      </c>
      <c r="AO149" s="386">
        <f t="shared" si="155"/>
        <v>19.33224800631028</v>
      </c>
      <c r="AP149" s="386">
        <f t="shared" si="156"/>
        <v>0.71009804465722681</v>
      </c>
      <c r="AQ149" s="386">
        <f t="shared" si="157"/>
        <v>1.6516129032258065</v>
      </c>
      <c r="AR149" s="386">
        <f t="shared" si="158"/>
        <v>2.7526397718037443</v>
      </c>
      <c r="AS149" s="386">
        <f t="shared" si="159"/>
        <v>6.7614699736097883</v>
      </c>
      <c r="AT149" s="386">
        <f t="shared" si="160"/>
        <v>0</v>
      </c>
      <c r="AU149" s="386">
        <f t="shared" si="161"/>
        <v>0.95039999999999991</v>
      </c>
      <c r="AV149" s="386">
        <f t="shared" si="162"/>
        <v>2.437460968230583</v>
      </c>
      <c r="AW149" s="386">
        <f t="shared" si="163"/>
        <v>0.249</v>
      </c>
      <c r="AX149" s="386">
        <f t="shared" si="164"/>
        <v>0.14400000000000002</v>
      </c>
      <c r="AY149" s="386">
        <f t="shared" si="165"/>
        <v>1.2671999999999999</v>
      </c>
      <c r="AZ149" s="386">
        <f t="shared" si="166"/>
        <v>0.10439999999999998</v>
      </c>
      <c r="BA149" s="386">
        <f t="shared" si="123"/>
        <v>1.4112</v>
      </c>
      <c r="BB149" s="386">
        <f t="shared" si="124"/>
        <v>21.831018815537252</v>
      </c>
      <c r="BC149">
        <f t="shared" si="167"/>
        <v>480</v>
      </c>
      <c r="BD149" s="604">
        <f t="shared" si="125"/>
        <v>0.95649727099957937</v>
      </c>
      <c r="BE149" s="614">
        <f t="shared" si="168"/>
        <v>377.13064243766684</v>
      </c>
      <c r="BF149" s="614">
        <f t="shared" si="169"/>
        <v>137.63198859018721</v>
      </c>
      <c r="BG149" s="9"/>
      <c r="BH149" s="4">
        <f t="shared" si="126"/>
        <v>95.649727099957943</v>
      </c>
      <c r="BI149" s="386">
        <f t="shared" si="127"/>
        <v>26.181589122750609</v>
      </c>
      <c r="BJ149" s="386">
        <f t="shared" si="128"/>
        <v>-8.8974389237486022</v>
      </c>
      <c r="BK149" s="386">
        <f t="shared" si="129"/>
        <v>0.31363199999999997</v>
      </c>
      <c r="BL149" s="386">
        <f t="shared" si="130"/>
        <v>2.437460968230583</v>
      </c>
    </row>
    <row r="150" spans="7:64" x14ac:dyDescent="0.3">
      <c r="G150">
        <v>141</v>
      </c>
      <c r="H150" s="610">
        <f t="shared" si="131"/>
        <v>15.574999999999999</v>
      </c>
      <c r="I150" s="4" t="str">
        <f t="shared" si="132"/>
        <v>BOOST</v>
      </c>
      <c r="J150">
        <f t="shared" si="170"/>
        <v>2</v>
      </c>
      <c r="K150">
        <f t="shared" si="133"/>
        <v>10</v>
      </c>
      <c r="L150" s="4">
        <f t="shared" si="134"/>
        <v>34.242910647405026</v>
      </c>
      <c r="M150" s="4">
        <f t="shared" si="135"/>
        <v>31.578863820559238</v>
      </c>
      <c r="N150" s="386">
        <f t="shared" si="136"/>
        <v>1</v>
      </c>
      <c r="O150" s="386">
        <f t="shared" si="171"/>
        <v>0.6833324955317247</v>
      </c>
      <c r="P150" s="4">
        <f t="shared" si="137"/>
        <v>5.2345717294049372</v>
      </c>
      <c r="Q150" s="386">
        <f t="shared" si="138"/>
        <v>34.276235567888065</v>
      </c>
      <c r="R150" s="386">
        <f t="shared" si="116"/>
        <v>24.041350300096095</v>
      </c>
      <c r="S150" s="386">
        <f t="shared" si="117"/>
        <v>1.4568309846980489</v>
      </c>
      <c r="T150" s="386">
        <f t="shared" si="118"/>
        <v>25.498181284794143</v>
      </c>
      <c r="U150" s="4">
        <f t="shared" si="139"/>
        <v>14.856511885196626</v>
      </c>
      <c r="V150" s="386">
        <f t="shared" si="119"/>
        <v>0.44143189078997724</v>
      </c>
      <c r="W150" s="386">
        <f t="shared" si="120"/>
        <v>0.44143189078997724</v>
      </c>
      <c r="X150" s="386">
        <f t="shared" si="140"/>
        <v>1.5110906985321728</v>
      </c>
      <c r="Y150" s="386">
        <f t="shared" si="121"/>
        <v>4.5667901983809005E-3</v>
      </c>
      <c r="Z150" s="603">
        <f t="shared" si="122"/>
        <v>4.5667901983809005E-3</v>
      </c>
      <c r="AA150" s="386">
        <f t="shared" si="141"/>
        <v>34.276235567888065</v>
      </c>
      <c r="AB150" s="386">
        <f t="shared" si="142"/>
        <v>6.6967038508205237</v>
      </c>
      <c r="AC150" s="386">
        <f t="shared" si="143"/>
        <v>0</v>
      </c>
      <c r="AD150">
        <f t="shared" si="144"/>
        <v>0</v>
      </c>
      <c r="AE150" s="386">
        <f t="shared" si="145"/>
        <v>-19.734451146503876</v>
      </c>
      <c r="AF150" s="386">
        <f t="shared" si="146"/>
        <v>0</v>
      </c>
      <c r="AG150" s="386">
        <f t="shared" si="147"/>
        <v>0</v>
      </c>
      <c r="AH150" s="386">
        <f t="shared" si="148"/>
        <v>0</v>
      </c>
      <c r="AI150" s="386">
        <f t="shared" si="149"/>
        <v>0</v>
      </c>
      <c r="AJ150" s="386">
        <f t="shared" si="150"/>
        <v>28.3340826140908</v>
      </c>
      <c r="AK150" s="386">
        <f t="shared" si="151"/>
        <v>1.5253584514060328</v>
      </c>
      <c r="AL150" s="386">
        <f t="shared" si="152"/>
        <v>2.9986647756116556</v>
      </c>
      <c r="AM150">
        <f t="shared" si="153"/>
        <v>0</v>
      </c>
      <c r="AN150" s="386">
        <f t="shared" si="154"/>
        <v>6.5100574602412706</v>
      </c>
      <c r="AO150" s="386">
        <f t="shared" si="155"/>
        <v>19.288340704250128</v>
      </c>
      <c r="AP150" s="386">
        <f t="shared" si="156"/>
        <v>0.70687616553414145</v>
      </c>
      <c r="AQ150" s="386">
        <f t="shared" si="157"/>
        <v>1.6436597110754412</v>
      </c>
      <c r="AR150" s="386">
        <f t="shared" si="158"/>
        <v>2.7375589049390086</v>
      </c>
      <c r="AS150" s="386">
        <f t="shared" si="159"/>
        <v>6.6967038508205237</v>
      </c>
      <c r="AT150" s="386">
        <f t="shared" si="160"/>
        <v>0</v>
      </c>
      <c r="AU150" s="386">
        <f t="shared" si="161"/>
        <v>0.95039999999999991</v>
      </c>
      <c r="AV150" s="386">
        <f t="shared" si="162"/>
        <v>2.4084607127463675</v>
      </c>
      <c r="AW150" s="386">
        <f t="shared" si="163"/>
        <v>0.249</v>
      </c>
      <c r="AX150" s="386">
        <f t="shared" si="164"/>
        <v>0.14400000000000002</v>
      </c>
      <c r="AY150" s="386">
        <f t="shared" si="165"/>
        <v>1.2671999999999999</v>
      </c>
      <c r="AZ150" s="386">
        <f t="shared" si="166"/>
        <v>0.10439999999999998</v>
      </c>
      <c r="BA150" s="386">
        <f t="shared" si="123"/>
        <v>1.4112</v>
      </c>
      <c r="BB150" s="386">
        <f t="shared" si="124"/>
        <v>20.476405897205275</v>
      </c>
      <c r="BC150">
        <f t="shared" si="167"/>
        <v>480</v>
      </c>
      <c r="BD150" s="604">
        <f t="shared" si="125"/>
        <v>0.95908617138404928</v>
      </c>
      <c r="BE150" s="614">
        <f t="shared" si="168"/>
        <v>373.02287301206354</v>
      </c>
      <c r="BF150" s="614">
        <f t="shared" si="169"/>
        <v>136.87794524695042</v>
      </c>
      <c r="BG150" s="9"/>
      <c r="BH150" s="4">
        <f t="shared" si="126"/>
        <v>95.908617138404935</v>
      </c>
      <c r="BI150" s="386">
        <f t="shared" si="127"/>
        <v>25.498181284794143</v>
      </c>
      <c r="BJ150" s="386">
        <f t="shared" si="128"/>
        <v>-9.5364347813235959</v>
      </c>
      <c r="BK150" s="386">
        <f t="shared" si="129"/>
        <v>0.31363199999999997</v>
      </c>
      <c r="BL150" s="386">
        <f t="shared" si="130"/>
        <v>2.4084607127463675</v>
      </c>
    </row>
    <row r="151" spans="7:64" x14ac:dyDescent="0.3">
      <c r="G151">
        <v>142</v>
      </c>
      <c r="H151" s="610">
        <f t="shared" si="131"/>
        <v>15.649999999999999</v>
      </c>
      <c r="I151" s="4" t="str">
        <f t="shared" si="132"/>
        <v>BOOST</v>
      </c>
      <c r="J151">
        <f t="shared" si="170"/>
        <v>2</v>
      </c>
      <c r="K151">
        <f t="shared" si="133"/>
        <v>10</v>
      </c>
      <c r="L151" s="4">
        <f t="shared" si="134"/>
        <v>34.078807241746539</v>
      </c>
      <c r="M151" s="4">
        <f t="shared" si="135"/>
        <v>31.41977917573378</v>
      </c>
      <c r="N151" s="386">
        <f t="shared" si="136"/>
        <v>1</v>
      </c>
      <c r="O151" s="386">
        <f t="shared" si="171"/>
        <v>0.68172914443258625</v>
      </c>
      <c r="P151" s="4">
        <f t="shared" si="137"/>
        <v>5.2487849337020238</v>
      </c>
      <c r="Q151" s="386">
        <f t="shared" si="138"/>
        <v>34.11247447723688</v>
      </c>
      <c r="R151" s="386">
        <f t="shared" si="116"/>
        <v>23.383462128606624</v>
      </c>
      <c r="S151" s="386">
        <f t="shared" si="117"/>
        <v>1.4659609866621934</v>
      </c>
      <c r="T151" s="386">
        <f t="shared" si="118"/>
        <v>24.849423115268817</v>
      </c>
      <c r="U151" s="4">
        <f t="shared" si="139"/>
        <v>14.8025460727459</v>
      </c>
      <c r="V151" s="386">
        <f t="shared" si="119"/>
        <v>0.4382307404715301</v>
      </c>
      <c r="W151" s="386">
        <f t="shared" si="120"/>
        <v>0.4382307404715301</v>
      </c>
      <c r="X151" s="386">
        <f t="shared" si="140"/>
        <v>1.5151936971956579</v>
      </c>
      <c r="Y151" s="386">
        <f t="shared" si="121"/>
        <v>4.591623880042894E-3</v>
      </c>
      <c r="Z151" s="603">
        <f t="shared" si="122"/>
        <v>4.591623880042894E-3</v>
      </c>
      <c r="AA151" s="386">
        <f t="shared" si="141"/>
        <v>34.11247447723688</v>
      </c>
      <c r="AB151" s="386">
        <f t="shared" si="142"/>
        <v>6.6328672152727837</v>
      </c>
      <c r="AC151" s="386">
        <f t="shared" si="143"/>
        <v>0</v>
      </c>
      <c r="AD151">
        <f t="shared" si="144"/>
        <v>0</v>
      </c>
      <c r="AE151" s="386">
        <f t="shared" si="145"/>
        <v>-20.310491732681115</v>
      </c>
      <c r="AF151" s="386">
        <f t="shared" si="146"/>
        <v>0</v>
      </c>
      <c r="AG151" s="386">
        <f t="shared" si="147"/>
        <v>0</v>
      </c>
      <c r="AH151" s="386">
        <f t="shared" si="148"/>
        <v>0</v>
      </c>
      <c r="AI151" s="386">
        <f t="shared" si="149"/>
        <v>0</v>
      </c>
      <c r="AJ151" s="386">
        <f t="shared" si="150"/>
        <v>28.165609525899047</v>
      </c>
      <c r="AK151" s="386">
        <f t="shared" si="151"/>
        <v>1.5072729639342888</v>
      </c>
      <c r="AL151" s="386">
        <f t="shared" si="152"/>
        <v>2.9842941776454652</v>
      </c>
      <c r="AM151">
        <f t="shared" si="153"/>
        <v>0</v>
      </c>
      <c r="AN151" s="386">
        <f t="shared" si="154"/>
        <v>6.429885724249381</v>
      </c>
      <c r="AO151" s="386">
        <f t="shared" si="155"/>
        <v>19.244722783005276</v>
      </c>
      <c r="AP151" s="386">
        <f t="shared" si="156"/>
        <v>0.70368277448997241</v>
      </c>
      <c r="AQ151" s="386">
        <f t="shared" si="157"/>
        <v>1.6357827476038338</v>
      </c>
      <c r="AR151" s="386">
        <f t="shared" si="158"/>
        <v>2.7226405771469562</v>
      </c>
      <c r="AS151" s="386">
        <f t="shared" si="159"/>
        <v>6.6328672152727837</v>
      </c>
      <c r="AT151" s="386">
        <f t="shared" si="160"/>
        <v>0</v>
      </c>
      <c r="AU151" s="386">
        <f t="shared" si="161"/>
        <v>0.95039999999999991</v>
      </c>
      <c r="AV151" s="386">
        <f t="shared" si="162"/>
        <v>2.3799046798962453</v>
      </c>
      <c r="AW151" s="386">
        <f t="shared" si="163"/>
        <v>0.249</v>
      </c>
      <c r="AX151" s="386">
        <f t="shared" si="164"/>
        <v>0.14400000000000002</v>
      </c>
      <c r="AY151" s="386">
        <f t="shared" si="165"/>
        <v>1.2671999999999999</v>
      </c>
      <c r="AZ151" s="386">
        <f t="shared" si="166"/>
        <v>0.10439999999999998</v>
      </c>
      <c r="BA151" s="386">
        <f t="shared" si="123"/>
        <v>1.4112</v>
      </c>
      <c r="BB151" s="386">
        <f t="shared" si="124"/>
        <v>19.124784728231855</v>
      </c>
      <c r="BC151">
        <f t="shared" si="167"/>
        <v>480</v>
      </c>
      <c r="BD151" s="604">
        <f t="shared" si="125"/>
        <v>0.96168335992642573</v>
      </c>
      <c r="BE151" s="614">
        <f t="shared" si="168"/>
        <v>369.01428621246907</v>
      </c>
      <c r="BF151" s="614">
        <f t="shared" si="169"/>
        <v>136.13202885734782</v>
      </c>
      <c r="BG151" s="9"/>
      <c r="BH151" s="4">
        <f t="shared" si="126"/>
        <v>96.168335992642568</v>
      </c>
      <c r="BI151" s="386">
        <f t="shared" si="127"/>
        <v>24.849423115268817</v>
      </c>
      <c r="BJ151" s="386">
        <f t="shared" si="128"/>
        <v>-10.207565431284777</v>
      </c>
      <c r="BK151" s="386">
        <f t="shared" si="129"/>
        <v>0.31363199999999997</v>
      </c>
      <c r="BL151" s="386">
        <f t="shared" si="130"/>
        <v>2.3799046798962453</v>
      </c>
    </row>
    <row r="152" spans="7:64" x14ac:dyDescent="0.3">
      <c r="G152">
        <v>143</v>
      </c>
      <c r="H152" s="610">
        <f t="shared" si="131"/>
        <v>15.725</v>
      </c>
      <c r="I152" s="4" t="str">
        <f t="shared" si="132"/>
        <v>BOOST</v>
      </c>
      <c r="J152">
        <f t="shared" si="170"/>
        <v>2</v>
      </c>
      <c r="K152">
        <f t="shared" si="133"/>
        <v>10</v>
      </c>
      <c r="L152" s="4">
        <f t="shared" si="134"/>
        <v>33.916269210386858</v>
      </c>
      <c r="M152" s="4">
        <f t="shared" si="135"/>
        <v>31.26232750145055</v>
      </c>
      <c r="N152" s="386">
        <f t="shared" si="136"/>
        <v>1</v>
      </c>
      <c r="O152" s="386">
        <f t="shared" si="171"/>
        <v>0.6801261838378474</v>
      </c>
      <c r="P152" s="4">
        <f t="shared" si="137"/>
        <v>5.2628701323979943</v>
      </c>
      <c r="Q152" s="386">
        <f t="shared" si="138"/>
        <v>33.950279340833745</v>
      </c>
      <c r="R152" s="386">
        <f t="shared" si="116"/>
        <v>22.757750400747081</v>
      </c>
      <c r="S152" s="386">
        <f t="shared" si="117"/>
        <v>1.4750406238245524</v>
      </c>
      <c r="T152" s="386">
        <f t="shared" si="118"/>
        <v>24.232791024571632</v>
      </c>
      <c r="U152" s="4">
        <f t="shared" si="139"/>
        <v>14.748930113622707</v>
      </c>
      <c r="V152" s="386">
        <f t="shared" si="119"/>
        <v>0.43506187899305343</v>
      </c>
      <c r="W152" s="386">
        <f t="shared" si="120"/>
        <v>0.43506187899305343</v>
      </c>
      <c r="X152" s="386">
        <f t="shared" si="140"/>
        <v>1.5192597438250117</v>
      </c>
      <c r="Y152" s="386">
        <f t="shared" si="121"/>
        <v>4.6163003384144807E-3</v>
      </c>
      <c r="Z152" s="603">
        <f t="shared" si="122"/>
        <v>4.6163003384144807E-3</v>
      </c>
      <c r="AA152" s="386">
        <f t="shared" si="141"/>
        <v>33.950279340833745</v>
      </c>
      <c r="AB152" s="386">
        <f t="shared" si="142"/>
        <v>6.5699423637276624</v>
      </c>
      <c r="AC152" s="386">
        <f t="shared" si="143"/>
        <v>0</v>
      </c>
      <c r="AD152">
        <f t="shared" si="144"/>
        <v>0</v>
      </c>
      <c r="AE152" s="386">
        <f t="shared" si="145"/>
        <v>-20.924151470529239</v>
      </c>
      <c r="AF152" s="386">
        <f t="shared" si="146"/>
        <v>0</v>
      </c>
      <c r="AG152" s="386">
        <f t="shared" si="147"/>
        <v>0</v>
      </c>
      <c r="AH152" s="386">
        <f t="shared" si="148"/>
        <v>0</v>
      </c>
      <c r="AI152" s="386">
        <f t="shared" si="149"/>
        <v>0</v>
      </c>
      <c r="AJ152" s="386">
        <f t="shared" si="150"/>
        <v>27.998714970126198</v>
      </c>
      <c r="AK152" s="386">
        <f t="shared" si="151"/>
        <v>1.4894632759589008</v>
      </c>
      <c r="AL152" s="386">
        <f t="shared" si="152"/>
        <v>2.9700606601050263</v>
      </c>
      <c r="AM152">
        <f t="shared" si="153"/>
        <v>0</v>
      </c>
      <c r="AN152" s="386">
        <f t="shared" si="154"/>
        <v>6.3516269542544723</v>
      </c>
      <c r="AO152" s="386">
        <f t="shared" si="155"/>
        <v>19.201391286630084</v>
      </c>
      <c r="AP152" s="386">
        <f t="shared" si="156"/>
        <v>0.70051751195032008</v>
      </c>
      <c r="AQ152" s="386">
        <f t="shared" si="157"/>
        <v>1.6279809220985693</v>
      </c>
      <c r="AR152" s="386">
        <f t="shared" si="158"/>
        <v>2.7078822166631697</v>
      </c>
      <c r="AS152" s="386">
        <f t="shared" si="159"/>
        <v>6.5699423637276624</v>
      </c>
      <c r="AT152" s="386">
        <f t="shared" si="160"/>
        <v>0</v>
      </c>
      <c r="AU152" s="386">
        <f t="shared" si="161"/>
        <v>0.95039999999999991</v>
      </c>
      <c r="AV152" s="386">
        <f t="shared" si="162"/>
        <v>2.3517841199351066</v>
      </c>
      <c r="AW152" s="386">
        <f t="shared" si="163"/>
        <v>0.249</v>
      </c>
      <c r="AX152" s="386">
        <f t="shared" si="164"/>
        <v>0.14400000000000002</v>
      </c>
      <c r="AY152" s="386">
        <f t="shared" si="165"/>
        <v>1.2671999999999999</v>
      </c>
      <c r="AZ152" s="386">
        <f t="shared" si="166"/>
        <v>0.10439999999999998</v>
      </c>
      <c r="BA152" s="386">
        <f t="shared" si="123"/>
        <v>1.4112</v>
      </c>
      <c r="BB152" s="386">
        <f t="shared" si="124"/>
        <v>17.770211024226612</v>
      </c>
      <c r="BC152">
        <f t="shared" si="167"/>
        <v>480</v>
      </c>
      <c r="BD152" s="604">
        <f t="shared" si="125"/>
        <v>0.96430037268067503</v>
      </c>
      <c r="BE152" s="614">
        <f t="shared" si="168"/>
        <v>365.10134771272362</v>
      </c>
      <c r="BF152" s="614">
        <f t="shared" si="169"/>
        <v>135.39411083315849</v>
      </c>
      <c r="BG152" s="9"/>
      <c r="BH152" s="4">
        <f t="shared" si="126"/>
        <v>96.430037268067508</v>
      </c>
      <c r="BI152" s="386">
        <f t="shared" si="127"/>
        <v>24.232791024571632</v>
      </c>
      <c r="BJ152" s="386">
        <f t="shared" si="128"/>
        <v>-10.914242299611596</v>
      </c>
      <c r="BK152" s="386">
        <f t="shared" si="129"/>
        <v>0.31363199999999997</v>
      </c>
      <c r="BL152" s="386">
        <f t="shared" si="130"/>
        <v>2.3517841199351066</v>
      </c>
    </row>
    <row r="153" spans="7:64" x14ac:dyDescent="0.3">
      <c r="G153">
        <v>144</v>
      </c>
      <c r="H153" s="610">
        <f t="shared" si="131"/>
        <v>15.799999999999999</v>
      </c>
      <c r="I153" s="4" t="str">
        <f t="shared" si="132"/>
        <v>BOOST</v>
      </c>
      <c r="J153">
        <f t="shared" si="170"/>
        <v>2</v>
      </c>
      <c r="K153">
        <f t="shared" si="133"/>
        <v>10</v>
      </c>
      <c r="L153" s="4">
        <f t="shared" si="134"/>
        <v>33.755274261603375</v>
      </c>
      <c r="M153" s="4">
        <f t="shared" si="135"/>
        <v>31.106483257521784</v>
      </c>
      <c r="N153" s="386">
        <f t="shared" si="136"/>
        <v>1</v>
      </c>
      <c r="O153" s="386">
        <f t="shared" si="171"/>
        <v>0.67852360817477098</v>
      </c>
      <c r="P153" s="4">
        <f t="shared" si="137"/>
        <v>5.2768274638217818</v>
      </c>
      <c r="Q153" s="386">
        <f t="shared" si="138"/>
        <v>33.789627838775843</v>
      </c>
      <c r="R153" s="386">
        <f t="shared" si="116"/>
        <v>22.161930846697693</v>
      </c>
      <c r="S153" s="386">
        <f t="shared" si="117"/>
        <v>1.4840691465960536</v>
      </c>
      <c r="T153" s="386">
        <f t="shared" si="118"/>
        <v>23.645999993293746</v>
      </c>
      <c r="U153" s="4">
        <f t="shared" si="139"/>
        <v>14.695659221712951</v>
      </c>
      <c r="V153" s="386">
        <f t="shared" si="119"/>
        <v>0.43192479992143384</v>
      </c>
      <c r="W153" s="386">
        <f t="shared" si="120"/>
        <v>0.43192479992143384</v>
      </c>
      <c r="X153" s="386">
        <f t="shared" si="140"/>
        <v>1.5232888783523582</v>
      </c>
      <c r="Y153" s="386">
        <f t="shared" si="121"/>
        <v>4.6408180138239712E-3</v>
      </c>
      <c r="Z153" s="603">
        <f t="shared" si="122"/>
        <v>4.6408180138239712E-3</v>
      </c>
      <c r="AA153" s="386">
        <f t="shared" si="141"/>
        <v>33.789627838775843</v>
      </c>
      <c r="AB153" s="386">
        <f t="shared" si="142"/>
        <v>6.5079120120529597</v>
      </c>
      <c r="AC153" s="386">
        <f t="shared" si="143"/>
        <v>0</v>
      </c>
      <c r="AD153">
        <f t="shared" si="144"/>
        <v>0</v>
      </c>
      <c r="AE153" s="386">
        <f t="shared" si="145"/>
        <v>-21.579216691803875</v>
      </c>
      <c r="AF153" s="386">
        <f t="shared" si="146"/>
        <v>0</v>
      </c>
      <c r="AG153" s="386">
        <f t="shared" si="147"/>
        <v>0</v>
      </c>
      <c r="AH153" s="386">
        <f t="shared" si="148"/>
        <v>0</v>
      </c>
      <c r="AI153" s="386">
        <f t="shared" si="149"/>
        <v>0</v>
      </c>
      <c r="AJ153" s="386">
        <f t="shared" si="150"/>
        <v>27.833376216277845</v>
      </c>
      <c r="AK153" s="386">
        <f t="shared" si="151"/>
        <v>1.4719239800340362</v>
      </c>
      <c r="AL153" s="386">
        <f t="shared" si="152"/>
        <v>2.9559622708956668</v>
      </c>
      <c r="AM153">
        <f t="shared" si="153"/>
        <v>0</v>
      </c>
      <c r="AN153" s="386">
        <f t="shared" si="154"/>
        <v>6.2752137792263616</v>
      </c>
      <c r="AO153" s="386">
        <f t="shared" si="155"/>
        <v>19.158343297010688</v>
      </c>
      <c r="AP153" s="386">
        <f t="shared" si="156"/>
        <v>0.69738002398361731</v>
      </c>
      <c r="AQ153" s="386">
        <f t="shared" si="157"/>
        <v>1.620253164556962</v>
      </c>
      <c r="AR153" s="386">
        <f t="shared" si="158"/>
        <v>2.693281304716086</v>
      </c>
      <c r="AS153" s="386">
        <f t="shared" si="159"/>
        <v>6.5079120120529597</v>
      </c>
      <c r="AT153" s="386">
        <f t="shared" si="160"/>
        <v>0</v>
      </c>
      <c r="AU153" s="386">
        <f t="shared" si="161"/>
        <v>0.95039999999999991</v>
      </c>
      <c r="AV153" s="386">
        <f t="shared" si="162"/>
        <v>2.3240904947905836</v>
      </c>
      <c r="AW153" s="386">
        <f t="shared" si="163"/>
        <v>0.249</v>
      </c>
      <c r="AX153" s="386">
        <f t="shared" si="164"/>
        <v>0.14400000000000002</v>
      </c>
      <c r="AY153" s="386">
        <f t="shared" si="165"/>
        <v>1.2671999999999999</v>
      </c>
      <c r="AZ153" s="386">
        <f t="shared" si="166"/>
        <v>0.10439999999999998</v>
      </c>
      <c r="BA153" s="386">
        <f t="shared" si="123"/>
        <v>1.4112</v>
      </c>
      <c r="BB153" s="386">
        <f t="shared" si="124"/>
        <v>16.406534498158155</v>
      </c>
      <c r="BC153">
        <f t="shared" si="167"/>
        <v>480</v>
      </c>
      <c r="BD153" s="604">
        <f t="shared" si="125"/>
        <v>0.9669493986118769</v>
      </c>
      <c r="BE153" s="614">
        <f t="shared" si="168"/>
        <v>361.28068896131811</v>
      </c>
      <c r="BF153" s="614">
        <f t="shared" si="169"/>
        <v>134.66406523580429</v>
      </c>
      <c r="BG153" s="9"/>
      <c r="BH153" s="4">
        <f t="shared" si="126"/>
        <v>96.694939861187692</v>
      </c>
      <c r="BI153" s="386">
        <f t="shared" si="127"/>
        <v>23.645999993293746</v>
      </c>
      <c r="BJ153" s="386">
        <f t="shared" si="128"/>
        <v>-11.660321607861427</v>
      </c>
      <c r="BK153" s="386">
        <f t="shared" si="129"/>
        <v>0.31363199999999997</v>
      </c>
      <c r="BL153" s="386">
        <f t="shared" si="130"/>
        <v>2.3240904947905836</v>
      </c>
    </row>
    <row r="154" spans="7:64" x14ac:dyDescent="0.3">
      <c r="G154">
        <v>145</v>
      </c>
      <c r="H154" s="610">
        <f t="shared" si="131"/>
        <v>15.875</v>
      </c>
      <c r="I154" s="4" t="str">
        <f t="shared" si="132"/>
        <v>BOOST</v>
      </c>
      <c r="J154">
        <f t="shared" si="170"/>
        <v>2</v>
      </c>
      <c r="K154">
        <f t="shared" si="133"/>
        <v>10</v>
      </c>
      <c r="L154" s="4">
        <f t="shared" si="134"/>
        <v>33.595800524934383</v>
      </c>
      <c r="M154" s="4">
        <f t="shared" si="135"/>
        <v>30.952221442981784</v>
      </c>
      <c r="N154" s="386">
        <f t="shared" si="136"/>
        <v>1</v>
      </c>
      <c r="O154" s="386">
        <f t="shared" si="171"/>
        <v>0.67692141197615285</v>
      </c>
      <c r="P154" s="4">
        <f t="shared" si="137"/>
        <v>5.2906570636669263</v>
      </c>
      <c r="Q154" s="386">
        <f t="shared" si="138"/>
        <v>33.630498072309685</v>
      </c>
      <c r="R154" s="386">
        <f t="shared" si="116"/>
        <v>21.593930215866372</v>
      </c>
      <c r="S154" s="386">
        <f t="shared" si="117"/>
        <v>1.4930458113220864</v>
      </c>
      <c r="T154" s="386">
        <f t="shared" si="118"/>
        <v>23.086976027188459</v>
      </c>
      <c r="U154" s="4">
        <f t="shared" si="139"/>
        <v>14.64272870032773</v>
      </c>
      <c r="V154" s="386">
        <f t="shared" si="119"/>
        <v>0.42881900758280284</v>
      </c>
      <c r="W154" s="386">
        <f t="shared" si="120"/>
        <v>0.42881900758280284</v>
      </c>
      <c r="X154" s="386">
        <f t="shared" si="140"/>
        <v>1.5272811399490476</v>
      </c>
      <c r="Y154" s="386">
        <f t="shared" si="121"/>
        <v>4.6651753608881246E-3</v>
      </c>
      <c r="Z154" s="603">
        <f t="shared" si="122"/>
        <v>4.6651753608881246E-3</v>
      </c>
      <c r="AA154" s="386">
        <f t="shared" si="141"/>
        <v>33.630498072309685</v>
      </c>
      <c r="AB154" s="386">
        <f t="shared" si="142"/>
        <v>6.4467592833722653</v>
      </c>
      <c r="AC154" s="386">
        <f t="shared" si="143"/>
        <v>0</v>
      </c>
      <c r="AD154">
        <f t="shared" si="144"/>
        <v>0</v>
      </c>
      <c r="AE154" s="386">
        <f t="shared" si="145"/>
        <v>-22.279999711995803</v>
      </c>
      <c r="AF154" s="386">
        <f t="shared" si="146"/>
        <v>0</v>
      </c>
      <c r="AG154" s="386">
        <f t="shared" si="147"/>
        <v>0</v>
      </c>
      <c r="AH154" s="386">
        <f t="shared" si="148"/>
        <v>0</v>
      </c>
      <c r="AI154" s="386">
        <f t="shared" si="149"/>
        <v>0</v>
      </c>
      <c r="AJ154" s="386">
        <f t="shared" si="150"/>
        <v>27.669570963934323</v>
      </c>
      <c r="AK154" s="386">
        <f t="shared" si="151"/>
        <v>1.4546497989235749</v>
      </c>
      <c r="AL154" s="386">
        <f t="shared" si="152"/>
        <v>2.9419970948126952</v>
      </c>
      <c r="AM154">
        <f t="shared" si="153"/>
        <v>0</v>
      </c>
      <c r="AN154" s="386">
        <f t="shared" si="154"/>
        <v>6.2005819515394816</v>
      </c>
      <c r="AO154" s="386">
        <f t="shared" si="155"/>
        <v>19.115575933343678</v>
      </c>
      <c r="AP154" s="386">
        <f t="shared" si="156"/>
        <v>0.69426996220051329</v>
      </c>
      <c r="AQ154" s="386">
        <f t="shared" si="157"/>
        <v>1.6125984251968504</v>
      </c>
      <c r="AR154" s="386">
        <f t="shared" si="158"/>
        <v>2.678835374193973</v>
      </c>
      <c r="AS154" s="386">
        <f t="shared" si="159"/>
        <v>6.4467592833722653</v>
      </c>
      <c r="AT154" s="386">
        <f t="shared" si="160"/>
        <v>0</v>
      </c>
      <c r="AU154" s="386">
        <f t="shared" si="161"/>
        <v>0.95039999999999991</v>
      </c>
      <c r="AV154" s="386">
        <f t="shared" si="162"/>
        <v>2.2968154719845923</v>
      </c>
      <c r="AW154" s="386">
        <f t="shared" si="163"/>
        <v>0.249</v>
      </c>
      <c r="AX154" s="386">
        <f t="shared" si="164"/>
        <v>0.14400000000000002</v>
      </c>
      <c r="AY154" s="386">
        <f t="shared" si="165"/>
        <v>1.2671999999999999</v>
      </c>
      <c r="AZ154" s="386">
        <f t="shared" si="166"/>
        <v>0.10439999999999998</v>
      </c>
      <c r="BA154" s="386">
        <f t="shared" si="123"/>
        <v>1.4112</v>
      </c>
      <c r="BB154" s="386">
        <f t="shared" si="124"/>
        <v>15.027293295854395</v>
      </c>
      <c r="BC154">
        <f t="shared" si="167"/>
        <v>480</v>
      </c>
      <c r="BD154" s="604">
        <f t="shared" si="125"/>
        <v>0.9696435055210717</v>
      </c>
      <c r="BE154" s="614">
        <f t="shared" si="168"/>
        <v>357.54909757697408</v>
      </c>
      <c r="BF154" s="614">
        <f t="shared" si="169"/>
        <v>133.94176870969864</v>
      </c>
      <c r="BG154" s="9"/>
      <c r="BH154" s="4">
        <f t="shared" si="126"/>
        <v>96.964350552107163</v>
      </c>
      <c r="BI154" s="386">
        <f t="shared" si="127"/>
        <v>23.086976027188459</v>
      </c>
      <c r="BJ154" s="386">
        <f t="shared" si="128"/>
        <v>-12.45018238626235</v>
      </c>
      <c r="BK154" s="386">
        <f t="shared" si="129"/>
        <v>0.31363199999999997</v>
      </c>
      <c r="BL154" s="386">
        <f t="shared" si="130"/>
        <v>2.2968154719845923</v>
      </c>
    </row>
    <row r="155" spans="7:64" x14ac:dyDescent="0.3">
      <c r="G155">
        <v>146</v>
      </c>
      <c r="H155" s="610">
        <f t="shared" si="131"/>
        <v>15.95</v>
      </c>
      <c r="I155" s="4" t="str">
        <f t="shared" si="132"/>
        <v>BOOST</v>
      </c>
      <c r="J155">
        <f t="shared" si="170"/>
        <v>2</v>
      </c>
      <c r="K155">
        <f t="shared" si="133"/>
        <v>10</v>
      </c>
      <c r="L155" s="4">
        <f t="shared" si="134"/>
        <v>33.437826541274816</v>
      </c>
      <c r="M155" s="4">
        <f t="shared" si="135"/>
        <v>30.79951758172723</v>
      </c>
      <c r="N155" s="386">
        <f t="shared" si="136"/>
        <v>1</v>
      </c>
      <c r="O155" s="386">
        <f t="shared" si="171"/>
        <v>0.67531958987783591</v>
      </c>
      <c r="P155" s="4">
        <f t="shared" si="137"/>
        <v>5.3043590650540349</v>
      </c>
      <c r="Q155" s="386">
        <f t="shared" si="138"/>
        <v>33.472868553929381</v>
      </c>
      <c r="R155" s="386">
        <f t="shared" si="116"/>
        <v>21.051862462134086</v>
      </c>
      <c r="S155" s="386">
        <f t="shared" si="117"/>
        <v>1.5019698803045181</v>
      </c>
      <c r="T155" s="386">
        <f t="shared" si="118"/>
        <v>22.553832342438604</v>
      </c>
      <c r="U155" s="4">
        <f t="shared" si="139"/>
        <v>14.590133940022847</v>
      </c>
      <c r="V155" s="386">
        <f t="shared" si="119"/>
        <v>0.42574401677561319</v>
      </c>
      <c r="W155" s="386">
        <f t="shared" si="120"/>
        <v>0.42574401677561319</v>
      </c>
      <c r="X155" s="386">
        <f t="shared" si="140"/>
        <v>1.5312365670436894</v>
      </c>
      <c r="Y155" s="386">
        <f t="shared" si="121"/>
        <v>4.6893708485034862E-3</v>
      </c>
      <c r="Z155" s="603">
        <f t="shared" si="122"/>
        <v>4.6893708485034862E-3</v>
      </c>
      <c r="AA155" s="386">
        <f t="shared" si="141"/>
        <v>33.472868553929381</v>
      </c>
      <c r="AB155" s="386">
        <f t="shared" si="142"/>
        <v>6.3864676966032157</v>
      </c>
      <c r="AC155" s="386">
        <f t="shared" si="143"/>
        <v>0</v>
      </c>
      <c r="AD155">
        <f t="shared" si="144"/>
        <v>0</v>
      </c>
      <c r="AE155" s="386">
        <f t="shared" si="145"/>
        <v>-23.031433448647146</v>
      </c>
      <c r="AF155" s="386">
        <f t="shared" si="146"/>
        <v>0</v>
      </c>
      <c r="AG155" s="386">
        <f t="shared" si="147"/>
        <v>0</v>
      </c>
      <c r="AH155" s="386">
        <f t="shared" si="148"/>
        <v>0</v>
      </c>
      <c r="AI155" s="386">
        <f t="shared" si="149"/>
        <v>0</v>
      </c>
      <c r="AJ155" s="386">
        <f t="shared" si="150"/>
        <v>27.507277332595166</v>
      </c>
      <c r="AK155" s="386">
        <f t="shared" si="151"/>
        <v>1.4376355818793773</v>
      </c>
      <c r="AL155" s="386">
        <f t="shared" si="152"/>
        <v>2.9281632526740773</v>
      </c>
      <c r="AM155">
        <f t="shared" si="153"/>
        <v>0</v>
      </c>
      <c r="AN155" s="386">
        <f t="shared" si="154"/>
        <v>6.1276701680855767</v>
      </c>
      <c r="AO155" s="386">
        <f t="shared" si="155"/>
        <v>19.073086351619409</v>
      </c>
      <c r="AP155" s="386">
        <f t="shared" si="156"/>
        <v>0.69118698365502806</v>
      </c>
      <c r="AQ155" s="386">
        <f t="shared" si="157"/>
        <v>1.6050156739811912</v>
      </c>
      <c r="AR155" s="386">
        <f t="shared" si="158"/>
        <v>2.664542008351078</v>
      </c>
      <c r="AS155" s="386">
        <f t="shared" si="159"/>
        <v>6.3864676966032157</v>
      </c>
      <c r="AT155" s="386">
        <f t="shared" si="160"/>
        <v>0</v>
      </c>
      <c r="AU155" s="386">
        <f t="shared" si="161"/>
        <v>0.95039999999999991</v>
      </c>
      <c r="AV155" s="386">
        <f t="shared" si="162"/>
        <v>2.2699509187569116</v>
      </c>
      <c r="AW155" s="386">
        <f t="shared" si="163"/>
        <v>0.249</v>
      </c>
      <c r="AX155" s="386">
        <f t="shared" si="164"/>
        <v>0.14400000000000002</v>
      </c>
      <c r="AY155" s="386">
        <f t="shared" si="165"/>
        <v>1.2671999999999999</v>
      </c>
      <c r="AZ155" s="386">
        <f t="shared" si="166"/>
        <v>0.10439999999999998</v>
      </c>
      <c r="BA155" s="386">
        <f t="shared" si="123"/>
        <v>1.4112</v>
      </c>
      <c r="BB155" s="386">
        <f t="shared" si="124"/>
        <v>13.625595376609143</v>
      </c>
      <c r="BC155">
        <f t="shared" si="167"/>
        <v>480</v>
      </c>
      <c r="BD155" s="604">
        <f t="shared" si="125"/>
        <v>0.97239690262371103</v>
      </c>
      <c r="BE155" s="614">
        <f t="shared" si="168"/>
        <v>353.90350840427885</v>
      </c>
      <c r="BF155" s="614">
        <f t="shared" si="169"/>
        <v>133.22710041755391</v>
      </c>
      <c r="BG155" s="9"/>
      <c r="BH155" s="4">
        <f t="shared" si="126"/>
        <v>97.239690262371099</v>
      </c>
      <c r="BI155" s="386">
        <f t="shared" si="127"/>
        <v>22.553832342438604</v>
      </c>
      <c r="BJ155" s="386">
        <f t="shared" si="128"/>
        <v>-13.288821272210493</v>
      </c>
      <c r="BK155" s="386">
        <f t="shared" si="129"/>
        <v>0.31363199999999997</v>
      </c>
      <c r="BL155" s="386">
        <f t="shared" si="130"/>
        <v>2.2699509187569116</v>
      </c>
    </row>
    <row r="156" spans="7:64" x14ac:dyDescent="0.3">
      <c r="G156">
        <v>147</v>
      </c>
      <c r="H156" s="610">
        <f t="shared" si="131"/>
        <v>16.024999999999999</v>
      </c>
      <c r="I156" s="4" t="str">
        <f t="shared" si="132"/>
        <v>BOOST</v>
      </c>
      <c r="J156">
        <f t="shared" si="170"/>
        <v>2</v>
      </c>
      <c r="K156">
        <f t="shared" si="133"/>
        <v>10</v>
      </c>
      <c r="L156" s="4">
        <f t="shared" si="134"/>
        <v>33.28133125325013</v>
      </c>
      <c r="M156" s="4">
        <f t="shared" si="135"/>
        <v>30.648347708619109</v>
      </c>
      <c r="N156" s="386">
        <f t="shared" si="136"/>
        <v>1</v>
      </c>
      <c r="O156" s="386">
        <f t="shared" si="171"/>
        <v>0.67371813661629332</v>
      </c>
      <c r="P156" s="4">
        <f t="shared" si="137"/>
        <v>5.3179335985914724</v>
      </c>
      <c r="Q156" s="386">
        <f t="shared" si="138"/>
        <v>33.316718197752955</v>
      </c>
      <c r="R156" s="386">
        <f t="shared" si="116"/>
        <v>20.534008083035737</v>
      </c>
      <c r="S156" s="386">
        <f t="shared" si="117"/>
        <v>1.5108406218234998</v>
      </c>
      <c r="T156" s="386">
        <f t="shared" si="118"/>
        <v>22.044848704859238</v>
      </c>
      <c r="U156" s="4">
        <f t="shared" si="139"/>
        <v>14.537870416483619</v>
      </c>
      <c r="V156" s="386">
        <f t="shared" si="119"/>
        <v>0.42269935249293916</v>
      </c>
      <c r="W156" s="386">
        <f t="shared" si="120"/>
        <v>0.42269935249293916</v>
      </c>
      <c r="X156" s="386">
        <f t="shared" si="140"/>
        <v>1.5351551973396711</v>
      </c>
      <c r="Y156" s="386">
        <f t="shared" si="121"/>
        <v>4.7134029598380096E-3</v>
      </c>
      <c r="Z156" s="603">
        <f t="shared" si="122"/>
        <v>4.7134029598380096E-3</v>
      </c>
      <c r="AA156" s="386">
        <f t="shared" si="141"/>
        <v>33.316718197752955</v>
      </c>
      <c r="AB156" s="386">
        <f t="shared" si="142"/>
        <v>6.3270211553703524</v>
      </c>
      <c r="AC156" s="386">
        <f t="shared" si="143"/>
        <v>0</v>
      </c>
      <c r="AD156">
        <f t="shared" si="144"/>
        <v>0</v>
      </c>
      <c r="AE156" s="386">
        <f t="shared" si="145"/>
        <v>-23.839187226840295</v>
      </c>
      <c r="AF156" s="386">
        <f t="shared" si="146"/>
        <v>0</v>
      </c>
      <c r="AG156" s="386">
        <f t="shared" si="147"/>
        <v>0</v>
      </c>
      <c r="AH156" s="386">
        <f t="shared" si="148"/>
        <v>0</v>
      </c>
      <c r="AI156" s="386">
        <f t="shared" si="149"/>
        <v>0</v>
      </c>
      <c r="AJ156" s="386">
        <f t="shared" si="150"/>
        <v>27.34647385180978</v>
      </c>
      <c r="AK156" s="386">
        <f t="shared" si="151"/>
        <v>1.4208763010426604</v>
      </c>
      <c r="AL156" s="386">
        <f t="shared" si="152"/>
        <v>2.914458900477475</v>
      </c>
      <c r="AM156">
        <f t="shared" si="153"/>
        <v>0</v>
      </c>
      <c r="AN156" s="386">
        <f t="shared" si="154"/>
        <v>6.0564199035410446</v>
      </c>
      <c r="AO156" s="386">
        <f t="shared" si="155"/>
        <v>19.030871744110065</v>
      </c>
      <c r="AP156" s="386">
        <f t="shared" si="156"/>
        <v>0.688130750747457</v>
      </c>
      <c r="AQ156" s="386">
        <f t="shared" si="157"/>
        <v>1.5975039001560063</v>
      </c>
      <c r="AR156" s="386">
        <f t="shared" si="158"/>
        <v>2.6503988395516345</v>
      </c>
      <c r="AS156" s="386">
        <f t="shared" si="159"/>
        <v>6.3270211553703524</v>
      </c>
      <c r="AT156" s="386">
        <f t="shared" si="160"/>
        <v>0</v>
      </c>
      <c r="AU156" s="386">
        <f t="shared" si="161"/>
        <v>0.95039999999999991</v>
      </c>
      <c r="AV156" s="386">
        <f t="shared" si="162"/>
        <v>2.2434888963831479</v>
      </c>
      <c r="AW156" s="386">
        <f t="shared" si="163"/>
        <v>0.249</v>
      </c>
      <c r="AX156" s="386">
        <f t="shared" si="164"/>
        <v>0.14400000000000002</v>
      </c>
      <c r="AY156" s="386">
        <f t="shared" si="165"/>
        <v>1.2671999999999999</v>
      </c>
      <c r="AZ156" s="386">
        <f t="shared" si="166"/>
        <v>0.10439999999999998</v>
      </c>
      <c r="BA156" s="386">
        <f t="shared" si="123"/>
        <v>1.4112</v>
      </c>
      <c r="BB156" s="386">
        <f t="shared" si="124"/>
        <v>12.193981872947544</v>
      </c>
      <c r="BC156">
        <f t="shared" si="167"/>
        <v>480</v>
      </c>
      <c r="BD156" s="604">
        <f t="shared" si="125"/>
        <v>0.97522525198998633</v>
      </c>
      <c r="BE156" s="614">
        <f t="shared" si="168"/>
        <v>350.34099517705226</v>
      </c>
      <c r="BF156" s="614">
        <f t="shared" si="169"/>
        <v>132.51994197758171</v>
      </c>
      <c r="BG156" s="9"/>
      <c r="BH156" s="4">
        <f t="shared" si="126"/>
        <v>97.522525198998636</v>
      </c>
      <c r="BI156" s="386">
        <f t="shared" si="127"/>
        <v>22.044848704859238</v>
      </c>
      <c r="BJ156" s="386">
        <f t="shared" si="128"/>
        <v>-14.181968483747616</v>
      </c>
      <c r="BK156" s="386">
        <f t="shared" si="129"/>
        <v>0.31363199999999997</v>
      </c>
      <c r="BL156" s="386">
        <f t="shared" si="130"/>
        <v>2.2434888963831479</v>
      </c>
    </row>
    <row r="157" spans="7:64" x14ac:dyDescent="0.3">
      <c r="G157">
        <v>148</v>
      </c>
      <c r="H157" s="610">
        <f t="shared" si="131"/>
        <v>16.100000000000001</v>
      </c>
      <c r="I157" s="4" t="str">
        <f t="shared" si="132"/>
        <v>BOOST</v>
      </c>
      <c r="J157">
        <f t="shared" si="170"/>
        <v>2</v>
      </c>
      <c r="K157">
        <f t="shared" si="133"/>
        <v>10</v>
      </c>
      <c r="L157" s="4">
        <f t="shared" si="134"/>
        <v>33.126293995859207</v>
      </c>
      <c r="M157" s="4">
        <f t="shared" si="135"/>
        <v>30.49868835602895</v>
      </c>
      <c r="N157" s="386">
        <f t="shared" si="136"/>
        <v>1</v>
      </c>
      <c r="O157" s="386">
        <f t="shared" si="171"/>
        <v>0.67211704702627939</v>
      </c>
      <c r="P157" s="4">
        <f t="shared" si="137"/>
        <v>5.3313807924343362</v>
      </c>
      <c r="Q157" s="386">
        <f t="shared" si="138"/>
        <v>33.162026310167768</v>
      </c>
      <c r="R157" s="386">
        <f t="shared" si="116"/>
        <v>20.038796136090401</v>
      </c>
      <c r="S157" s="386">
        <f t="shared" si="117"/>
        <v>1.5196573101590629</v>
      </c>
      <c r="T157" s="386">
        <f t="shared" si="118"/>
        <v>21.558453446249462</v>
      </c>
      <c r="U157" s="4">
        <f t="shared" si="139"/>
        <v>14.485933688472628</v>
      </c>
      <c r="V157" s="386">
        <f t="shared" si="119"/>
        <v>0.41968454965365237</v>
      </c>
      <c r="W157" s="386">
        <f t="shared" si="120"/>
        <v>0.41968454965365237</v>
      </c>
      <c r="X157" s="386">
        <f t="shared" si="140"/>
        <v>1.5390370678321823</v>
      </c>
      <c r="Y157" s="386">
        <f t="shared" si="121"/>
        <v>4.7372701923229623E-3</v>
      </c>
      <c r="Z157" s="603">
        <f t="shared" si="122"/>
        <v>4.7372701923229623E-3</v>
      </c>
      <c r="AA157" s="386">
        <f t="shared" si="141"/>
        <v>33.162026310167768</v>
      </c>
      <c r="AB157" s="386">
        <f t="shared" si="142"/>
        <v>6.268403937278678</v>
      </c>
      <c r="AC157" s="386">
        <f t="shared" si="143"/>
        <v>0</v>
      </c>
      <c r="AD157">
        <f t="shared" si="144"/>
        <v>0</v>
      </c>
      <c r="AE157" s="386">
        <f t="shared" si="145"/>
        <v>-24.709809521434263</v>
      </c>
      <c r="AF157" s="386">
        <f t="shared" si="146"/>
        <v>0</v>
      </c>
      <c r="AG157" s="386">
        <f t="shared" si="147"/>
        <v>0</v>
      </c>
      <c r="AH157" s="386">
        <f t="shared" si="148"/>
        <v>0</v>
      </c>
      <c r="AI157" s="386">
        <f t="shared" si="149"/>
        <v>0</v>
      </c>
      <c r="AJ157" s="386">
        <f t="shared" si="150"/>
        <v>27.187139451585161</v>
      </c>
      <c r="AK157" s="386">
        <f t="shared" si="151"/>
        <v>1.4043670479638826</v>
      </c>
      <c r="AL157" s="386">
        <f t="shared" si="152"/>
        <v>2.9008822285808402</v>
      </c>
      <c r="AM157">
        <f t="shared" si="153"/>
        <v>0</v>
      </c>
      <c r="AN157" s="386">
        <f t="shared" si="154"/>
        <v>5.9867752548362416</v>
      </c>
      <c r="AO157" s="386">
        <f t="shared" si="155"/>
        <v>18.988929338862711</v>
      </c>
      <c r="AP157" s="386">
        <f t="shared" si="156"/>
        <v>0.68510093112900994</v>
      </c>
      <c r="AQ157" s="386">
        <f t="shared" si="157"/>
        <v>1.5900621118012419</v>
      </c>
      <c r="AR157" s="386">
        <f t="shared" si="158"/>
        <v>2.6364035480504961</v>
      </c>
      <c r="AS157" s="386">
        <f t="shared" si="159"/>
        <v>6.268403937278678</v>
      </c>
      <c r="AT157" s="386">
        <f t="shared" si="160"/>
        <v>0</v>
      </c>
      <c r="AU157" s="386">
        <f t="shared" si="161"/>
        <v>0.95039999999999991</v>
      </c>
      <c r="AV157" s="386">
        <f t="shared" si="162"/>
        <v>2.2174216546798147</v>
      </c>
      <c r="AW157" s="386">
        <f t="shared" si="163"/>
        <v>0.249</v>
      </c>
      <c r="AX157" s="386">
        <f t="shared" si="164"/>
        <v>0.14400000000000002</v>
      </c>
      <c r="AY157" s="386">
        <f t="shared" si="165"/>
        <v>1.2671999999999999</v>
      </c>
      <c r="AZ157" s="386">
        <f t="shared" si="166"/>
        <v>0.10439999999999998</v>
      </c>
      <c r="BA157" s="386">
        <f t="shared" si="123"/>
        <v>1.4112</v>
      </c>
      <c r="BB157" s="386">
        <f t="shared" si="124"/>
        <v>10.724266202227726</v>
      </c>
      <c r="BC157">
        <f t="shared" si="167"/>
        <v>480</v>
      </c>
      <c r="BD157" s="604">
        <f t="shared" si="125"/>
        <v>0.97814604465105404</v>
      </c>
      <c r="BE157" s="614">
        <f t="shared" si="168"/>
        <v>346.85876274181209</v>
      </c>
      <c r="BF157" s="614">
        <f t="shared" si="169"/>
        <v>131.82017740252482</v>
      </c>
      <c r="BG157" s="9"/>
      <c r="BH157" s="4">
        <f t="shared" si="126"/>
        <v>97.814604465105404</v>
      </c>
      <c r="BI157" s="386">
        <f t="shared" si="127"/>
        <v>21.558453446249462</v>
      </c>
      <c r="BJ157" s="386">
        <f t="shared" si="128"/>
        <v>-15.136230718547525</v>
      </c>
      <c r="BK157" s="386">
        <f t="shared" si="129"/>
        <v>0.31363199999999997</v>
      </c>
      <c r="BL157" s="386">
        <f t="shared" si="130"/>
        <v>2.2174216546798147</v>
      </c>
    </row>
    <row r="158" spans="7:64" x14ac:dyDescent="0.3">
      <c r="G158">
        <v>149</v>
      </c>
      <c r="H158" s="610">
        <f t="shared" si="131"/>
        <v>16.175000000000001</v>
      </c>
      <c r="I158" s="4" t="str">
        <f t="shared" si="132"/>
        <v>BOOST</v>
      </c>
      <c r="J158">
        <f t="shared" si="170"/>
        <v>2</v>
      </c>
      <c r="K158">
        <f t="shared" si="133"/>
        <v>10</v>
      </c>
      <c r="L158" s="4">
        <f t="shared" si="134"/>
        <v>32.972694487377638</v>
      </c>
      <c r="M158" s="4">
        <f t="shared" si="135"/>
        <v>30.350516540812812</v>
      </c>
      <c r="N158" s="386">
        <f t="shared" si="136"/>
        <v>1</v>
      </c>
      <c r="O158" s="386">
        <f t="shared" si="171"/>
        <v>0.67051631603854767</v>
      </c>
      <c r="P158" s="4">
        <f t="shared" si="137"/>
        <v>5.3447007723418043</v>
      </c>
      <c r="Q158" s="386">
        <f t="shared" si="138"/>
        <v>33.008772580736263</v>
      </c>
      <c r="R158" s="386">
        <f t="shared" si="116"/>
        <v>19.564788536126397</v>
      </c>
      <c r="S158" s="386">
        <f t="shared" si="117"/>
        <v>1.5284192256125324</v>
      </c>
      <c r="T158" s="386">
        <f t="shared" si="118"/>
        <v>21.093207761738928</v>
      </c>
      <c r="U158" s="4">
        <f t="shared" si="139"/>
        <v>14.434319395838346</v>
      </c>
      <c r="V158" s="386">
        <f t="shared" si="119"/>
        <v>0.41669915284215014</v>
      </c>
      <c r="W158" s="386">
        <f t="shared" si="120"/>
        <v>0.41669915284215014</v>
      </c>
      <c r="X158" s="386">
        <f t="shared" si="140"/>
        <v>1.5428822148247707</v>
      </c>
      <c r="Y158" s="386">
        <f t="shared" si="121"/>
        <v>4.7609710576451796E-3</v>
      </c>
      <c r="Z158" s="603">
        <f t="shared" si="122"/>
        <v>4.7609710576451796E-3</v>
      </c>
      <c r="AA158" s="386">
        <f t="shared" si="141"/>
        <v>33.008772580736263</v>
      </c>
      <c r="AB158" s="386">
        <f t="shared" si="142"/>
        <v>6.2106006835345671</v>
      </c>
      <c r="AC158" s="386">
        <f t="shared" si="143"/>
        <v>0</v>
      </c>
      <c r="AD158">
        <f t="shared" si="144"/>
        <v>0</v>
      </c>
      <c r="AE158" s="386">
        <f t="shared" si="145"/>
        <v>-25.650905240700826</v>
      </c>
      <c r="AF158" s="386">
        <f t="shared" si="146"/>
        <v>0</v>
      </c>
      <c r="AG158" s="386">
        <f t="shared" si="147"/>
        <v>0</v>
      </c>
      <c r="AH158" s="386">
        <f t="shared" si="148"/>
        <v>0</v>
      </c>
      <c r="AI158" s="386">
        <f t="shared" si="149"/>
        <v>0</v>
      </c>
      <c r="AJ158" s="386">
        <f t="shared" si="150"/>
        <v>27.029253453061543</v>
      </c>
      <c r="AK158" s="386">
        <f t="shared" si="151"/>
        <v>1.3881030302366948</v>
      </c>
      <c r="AL158" s="386">
        <f t="shared" si="152"/>
        <v>2.8874314609058134</v>
      </c>
      <c r="AM158">
        <f t="shared" si="153"/>
        <v>0</v>
      </c>
      <c r="AN158" s="386">
        <f t="shared" si="154"/>
        <v>5.9186827959584525</v>
      </c>
      <c r="AO158" s="386">
        <f t="shared" si="155"/>
        <v>18.9472563991974</v>
      </c>
      <c r="AP158" s="386">
        <f t="shared" si="156"/>
        <v>0.68209719760816101</v>
      </c>
      <c r="AQ158" s="386">
        <f t="shared" si="157"/>
        <v>1.5826893353941267</v>
      </c>
      <c r="AR158" s="386">
        <f t="shared" si="158"/>
        <v>2.622553860809167</v>
      </c>
      <c r="AS158" s="386">
        <f t="shared" si="159"/>
        <v>6.2106006835345671</v>
      </c>
      <c r="AT158" s="386">
        <f t="shared" si="160"/>
        <v>0</v>
      </c>
      <c r="AU158" s="386">
        <f t="shared" si="161"/>
        <v>0.95039999999999991</v>
      </c>
      <c r="AV158" s="386">
        <f t="shared" si="162"/>
        <v>2.191741626689518</v>
      </c>
      <c r="AW158" s="386">
        <f t="shared" si="163"/>
        <v>0.249</v>
      </c>
      <c r="AX158" s="386">
        <f t="shared" si="164"/>
        <v>0.14400000000000002</v>
      </c>
      <c r="AY158" s="386">
        <f t="shared" si="165"/>
        <v>1.2671999999999999</v>
      </c>
      <c r="AZ158" s="386">
        <f t="shared" si="166"/>
        <v>0.10439999999999998</v>
      </c>
      <c r="BA158" s="386">
        <f t="shared" si="123"/>
        <v>1.4112</v>
      </c>
      <c r="BB158" s="386">
        <f t="shared" si="124"/>
        <v>9.207340928395034</v>
      </c>
      <c r="BC158">
        <f t="shared" si="167"/>
        <v>480</v>
      </c>
      <c r="BD158" s="604">
        <f t="shared" si="125"/>
        <v>0.98117906221333118</v>
      </c>
      <c r="BE158" s="614">
        <f t="shared" si="168"/>
        <v>343.45413979792261</v>
      </c>
      <c r="BF158" s="614">
        <f t="shared" si="169"/>
        <v>131.12769304045835</v>
      </c>
      <c r="BG158" s="9"/>
      <c r="BH158" s="4">
        <f t="shared" si="126"/>
        <v>98.117906221333115</v>
      </c>
      <c r="BI158" s="386">
        <f t="shared" si="127"/>
        <v>21.093207761738928</v>
      </c>
      <c r="BJ158" s="386">
        <f t="shared" si="128"/>
        <v>-16.159268583933208</v>
      </c>
      <c r="BK158" s="386">
        <f t="shared" si="129"/>
        <v>0.31363199999999997</v>
      </c>
      <c r="BL158" s="386">
        <f t="shared" si="130"/>
        <v>2.191741626689518</v>
      </c>
    </row>
    <row r="159" spans="7:64" x14ac:dyDescent="0.3">
      <c r="G159">
        <v>150</v>
      </c>
      <c r="H159" s="610">
        <f t="shared" si="131"/>
        <v>16.25</v>
      </c>
      <c r="I159" s="4" t="str">
        <f t="shared" si="132"/>
        <v>BOOST</v>
      </c>
      <c r="J159">
        <f t="shared" si="170"/>
        <v>2</v>
      </c>
      <c r="K159">
        <f t="shared" si="133"/>
        <v>10</v>
      </c>
      <c r="L159" s="4">
        <f t="shared" si="134"/>
        <v>32.820512820512818</v>
      </c>
      <c r="M159" s="4">
        <f t="shared" si="135"/>
        <v>30.203809751696788</v>
      </c>
      <c r="N159" s="386">
        <f t="shared" si="136"/>
        <v>1</v>
      </c>
      <c r="O159" s="386">
        <f t="shared" si="171"/>
        <v>0.66891593867762922</v>
      </c>
      <c r="P159" s="4">
        <f t="shared" si="137"/>
        <v>5.3578936617328408</v>
      </c>
      <c r="Q159" s="386">
        <f t="shared" si="138"/>
        <v>32.856937073353564</v>
      </c>
      <c r="R159" s="386">
        <f t="shared" si="116"/>
        <v>19.110666303055421</v>
      </c>
      <c r="S159" s="386">
        <f t="shared" si="117"/>
        <v>1.5371256545276923</v>
      </c>
      <c r="T159" s="386">
        <f t="shared" si="118"/>
        <v>20.647791957583113</v>
      </c>
      <c r="U159" s="4">
        <f t="shared" si="139"/>
        <v>14.383023257582252</v>
      </c>
      <c r="V159" s="386">
        <f t="shared" si="119"/>
        <v>0.41374271605630397</v>
      </c>
      <c r="W159" s="386">
        <f t="shared" si="120"/>
        <v>0.41374271605630397</v>
      </c>
      <c r="X159" s="386">
        <f t="shared" si="140"/>
        <v>1.5466906739454227</v>
      </c>
      <c r="Y159" s="386">
        <f t="shared" si="121"/>
        <v>4.7845040817394921E-3</v>
      </c>
      <c r="Z159" s="603">
        <f t="shared" si="122"/>
        <v>4.7845040817394921E-3</v>
      </c>
      <c r="AA159" s="386">
        <f t="shared" si="141"/>
        <v>32.856937073353564</v>
      </c>
      <c r="AB159" s="386">
        <f t="shared" si="142"/>
        <v>6.1535963889012004</v>
      </c>
      <c r="AC159" s="386">
        <f t="shared" si="143"/>
        <v>0</v>
      </c>
      <c r="AD159">
        <f t="shared" si="144"/>
        <v>0</v>
      </c>
      <c r="AE159" s="386">
        <f t="shared" si="145"/>
        <v>-26.671357712737368</v>
      </c>
      <c r="AF159" s="386">
        <f t="shared" si="146"/>
        <v>0</v>
      </c>
      <c r="AG159" s="386">
        <f t="shared" si="147"/>
        <v>0</v>
      </c>
      <c r="AH159" s="386">
        <f t="shared" si="148"/>
        <v>0</v>
      </c>
      <c r="AI159" s="386">
        <f t="shared" si="149"/>
        <v>0</v>
      </c>
      <c r="AJ159" s="386">
        <f t="shared" si="150"/>
        <v>26.872795559447194</v>
      </c>
      <c r="AK159" s="386">
        <f t="shared" si="151"/>
        <v>1.3720795682417053</v>
      </c>
      <c r="AL159" s="386">
        <f t="shared" si="152"/>
        <v>2.8741048541631713</v>
      </c>
      <c r="AM159">
        <f t="shared" si="153"/>
        <v>0</v>
      </c>
      <c r="AN159" s="386">
        <f t="shared" si="154"/>
        <v>5.8520914422962367</v>
      </c>
      <c r="AO159" s="386">
        <f t="shared" si="155"/>
        <v>18.905850223210564</v>
      </c>
      <c r="AP159" s="386">
        <f t="shared" si="156"/>
        <v>0.67911922805869473</v>
      </c>
      <c r="AQ159" s="386">
        <f t="shared" si="157"/>
        <v>1.5753846153846154</v>
      </c>
      <c r="AR159" s="386">
        <f t="shared" si="158"/>
        <v>2.6088475503460788</v>
      </c>
      <c r="AS159" s="386">
        <f t="shared" si="159"/>
        <v>6.1535963889012004</v>
      </c>
      <c r="AT159" s="386">
        <f t="shared" si="160"/>
        <v>0</v>
      </c>
      <c r="AU159" s="386">
        <f t="shared" si="161"/>
        <v>0.95039999999999991</v>
      </c>
      <c r="AV159" s="386">
        <f t="shared" si="162"/>
        <v>2.1664414235395348</v>
      </c>
      <c r="AW159" s="386">
        <f t="shared" si="163"/>
        <v>0.249</v>
      </c>
      <c r="AX159" s="386">
        <f t="shared" si="164"/>
        <v>0.14400000000000002</v>
      </c>
      <c r="AY159" s="386">
        <f t="shared" si="165"/>
        <v>1.2671999999999999</v>
      </c>
      <c r="AZ159" s="386">
        <f t="shared" si="166"/>
        <v>0.10439999999999998</v>
      </c>
      <c r="BA159" s="386">
        <f t="shared" si="123"/>
        <v>1.4112</v>
      </c>
      <c r="BB159" s="386">
        <f t="shared" si="124"/>
        <v>7.6329418811656407</v>
      </c>
      <c r="BC159">
        <f t="shared" si="167"/>
        <v>480</v>
      </c>
      <c r="BD159" s="604">
        <f t="shared" si="125"/>
        <v>0.98434695192716126</v>
      </c>
      <c r="BE159" s="614">
        <f t="shared" si="168"/>
        <v>340.12457211481183</v>
      </c>
      <c r="BF159" s="614">
        <f t="shared" si="169"/>
        <v>130.44237751730395</v>
      </c>
      <c r="BG159" s="9"/>
      <c r="BH159" s="4">
        <f t="shared" si="126"/>
        <v>98.43469519271612</v>
      </c>
      <c r="BI159" s="386">
        <f t="shared" si="127"/>
        <v>20.647791957583113</v>
      </c>
      <c r="BJ159" s="386">
        <f t="shared" si="128"/>
        <v>-17.260018720095058</v>
      </c>
      <c r="BK159" s="386">
        <f t="shared" si="129"/>
        <v>0.31363199999999997</v>
      </c>
      <c r="BL159" s="386">
        <f t="shared" si="130"/>
        <v>2.1664414235395348</v>
      </c>
    </row>
    <row r="160" spans="7:64" x14ac:dyDescent="0.3">
      <c r="G160">
        <v>151</v>
      </c>
      <c r="H160" s="610">
        <f t="shared" si="131"/>
        <v>16.324999999999999</v>
      </c>
      <c r="I160" s="4" t="str">
        <f t="shared" si="132"/>
        <v>BOOST</v>
      </c>
      <c r="J160">
        <f t="shared" si="170"/>
        <v>2</v>
      </c>
      <c r="K160">
        <f t="shared" si="133"/>
        <v>10</v>
      </c>
      <c r="L160" s="4">
        <f t="shared" si="134"/>
        <v>32.669729453802965</v>
      </c>
      <c r="M160" s="4">
        <f t="shared" si="135"/>
        <v>30.058545937059314</v>
      </c>
      <c r="N160" s="386">
        <f t="shared" si="136"/>
        <v>1</v>
      </c>
      <c r="O160" s="386">
        <f t="shared" si="171"/>
        <v>0.66731591005967605</v>
      </c>
      <c r="P160" s="4">
        <f t="shared" si="137"/>
        <v>5.3709595817403963</v>
      </c>
      <c r="Q160" s="386">
        <f t="shared" si="138"/>
        <v>32.706500217648966</v>
      </c>
      <c r="R160" s="386">
        <f t="shared" si="116"/>
        <v>18.675217483183744</v>
      </c>
      <c r="S160" s="386">
        <f t="shared" si="117"/>
        <v>1.545775889311783</v>
      </c>
      <c r="T160" s="386">
        <f t="shared" si="118"/>
        <v>20.220993372495528</v>
      </c>
      <c r="U160" s="4">
        <f t="shared" si="139"/>
        <v>14.332041069982639</v>
      </c>
      <c r="V160" s="386">
        <f t="shared" si="119"/>
        <v>0.41081480246333818</v>
      </c>
      <c r="W160" s="386">
        <f t="shared" si="120"/>
        <v>0.41081480246333818</v>
      </c>
      <c r="X160" s="386">
        <f t="shared" si="140"/>
        <v>1.5504624801622089</v>
      </c>
      <c r="Y160" s="386">
        <f t="shared" si="121"/>
        <v>4.8078678047814953E-3</v>
      </c>
      <c r="Z160" s="603">
        <f t="shared" si="122"/>
        <v>4.8078678047814953E-3</v>
      </c>
      <c r="AA160" s="386">
        <f t="shared" si="141"/>
        <v>32.706500217648966</v>
      </c>
      <c r="AB160" s="386">
        <f t="shared" si="142"/>
        <v>6.0973763919763098</v>
      </c>
      <c r="AC160" s="386">
        <f t="shared" si="143"/>
        <v>0</v>
      </c>
      <c r="AD160">
        <f t="shared" si="144"/>
        <v>0</v>
      </c>
      <c r="AE160" s="386">
        <f t="shared" si="145"/>
        <v>-27.781609102211931</v>
      </c>
      <c r="AF160" s="386">
        <f t="shared" si="146"/>
        <v>0</v>
      </c>
      <c r="AG160" s="386">
        <f t="shared" si="147"/>
        <v>0</v>
      </c>
      <c r="AH160" s="386">
        <f t="shared" si="148"/>
        <v>0</v>
      </c>
      <c r="AI160" s="386">
        <f t="shared" si="149"/>
        <v>0</v>
      </c>
      <c r="AJ160" s="386">
        <f t="shared" si="150"/>
        <v>26.717745847204235</v>
      </c>
      <c r="AK160" s="386">
        <f t="shared" si="151"/>
        <v>1.3562920919960184</v>
      </c>
      <c r="AL160" s="386">
        <f t="shared" si="152"/>
        <v>2.8609006970996349</v>
      </c>
      <c r="AM160">
        <f t="shared" si="153"/>
        <v>0</v>
      </c>
      <c r="AN160" s="386">
        <f t="shared" si="154"/>
        <v>5.7869523238016995</v>
      </c>
      <c r="AO160" s="386">
        <f t="shared" si="155"/>
        <v>18.864708143283657</v>
      </c>
      <c r="AP160" s="386">
        <f t="shared" si="156"/>
        <v>0.67616670532941825</v>
      </c>
      <c r="AQ160" s="386">
        <f t="shared" si="157"/>
        <v>1.5681470137825424</v>
      </c>
      <c r="AR160" s="386">
        <f t="shared" si="158"/>
        <v>2.5952824336199893</v>
      </c>
      <c r="AS160" s="386">
        <f t="shared" si="159"/>
        <v>6.0973763919763098</v>
      </c>
      <c r="AT160" s="386">
        <f t="shared" si="160"/>
        <v>0</v>
      </c>
      <c r="AU160" s="386">
        <f t="shared" si="161"/>
        <v>0.95039999999999991</v>
      </c>
      <c r="AV160" s="386">
        <f t="shared" si="162"/>
        <v>2.1415138294673977</v>
      </c>
      <c r="AW160" s="386">
        <f t="shared" si="163"/>
        <v>0.249</v>
      </c>
      <c r="AX160" s="386">
        <f t="shared" si="164"/>
        <v>0.14400000000000002</v>
      </c>
      <c r="AY160" s="386">
        <f t="shared" si="165"/>
        <v>1.2671999999999999</v>
      </c>
      <c r="AZ160" s="386">
        <f t="shared" si="166"/>
        <v>0.10439999999999998</v>
      </c>
      <c r="BA160" s="386">
        <f t="shared" si="123"/>
        <v>1.4112</v>
      </c>
      <c r="BB160" s="386">
        <f t="shared" si="124"/>
        <v>5.9893555274408037</v>
      </c>
      <c r="BC160">
        <f t="shared" si="167"/>
        <v>480</v>
      </c>
      <c r="BD160" s="604">
        <f t="shared" si="125"/>
        <v>0.98767595327074476</v>
      </c>
      <c r="BE160" s="614">
        <f t="shared" si="168"/>
        <v>336.86761619008496</v>
      </c>
      <c r="BF160" s="614">
        <f t="shared" si="169"/>
        <v>129.76412168099947</v>
      </c>
      <c r="BG160" s="9"/>
      <c r="BH160" s="4">
        <f t="shared" si="126"/>
        <v>98.767595327074474</v>
      </c>
      <c r="BI160" s="386">
        <f t="shared" si="127"/>
        <v>20.220993372495528</v>
      </c>
      <c r="BJ160" s="386">
        <f t="shared" si="128"/>
        <v>-18.448974344790244</v>
      </c>
      <c r="BK160" s="386">
        <f t="shared" si="129"/>
        <v>0.31363199999999997</v>
      </c>
      <c r="BL160" s="386">
        <f t="shared" si="130"/>
        <v>2.1415138294673977</v>
      </c>
    </row>
    <row r="161" spans="7:64" x14ac:dyDescent="0.3">
      <c r="G161">
        <v>152</v>
      </c>
      <c r="H161" s="610">
        <f t="shared" si="131"/>
        <v>16.399999999999999</v>
      </c>
      <c r="I161" s="4" t="str">
        <f t="shared" si="132"/>
        <v>BOOST</v>
      </c>
      <c r="J161">
        <f t="shared" si="170"/>
        <v>2</v>
      </c>
      <c r="K161">
        <f t="shared" si="133"/>
        <v>10</v>
      </c>
      <c r="L161" s="4">
        <f t="shared" si="134"/>
        <v>32.520325203252035</v>
      </c>
      <c r="M161" s="4">
        <f t="shared" si="135"/>
        <v>29.914703493095043</v>
      </c>
      <c r="N161" s="386">
        <f t="shared" si="136"/>
        <v>1</v>
      </c>
      <c r="O161" s="386">
        <f t="shared" si="171"/>
        <v>0.66571622539035979</v>
      </c>
      <c r="P161" s="4">
        <f t="shared" si="137"/>
        <v>5.3838986512640741</v>
      </c>
      <c r="Q161" s="386">
        <f t="shared" si="138"/>
        <v>32.557442800623328</v>
      </c>
      <c r="R161" s="386">
        <f t="shared" si="116"/>
        <v>18.257326511184484</v>
      </c>
      <c r="S161" s="386">
        <f t="shared" si="117"/>
        <v>1.5543692284562443</v>
      </c>
      <c r="T161" s="386">
        <f t="shared" si="118"/>
        <v>19.811695739640729</v>
      </c>
      <c r="U161" s="4">
        <f t="shared" si="139"/>
        <v>14.281368704772904</v>
      </c>
      <c r="V161" s="386">
        <f t="shared" si="119"/>
        <v>0.40791498416333377</v>
      </c>
      <c r="W161" s="386">
        <f t="shared" si="120"/>
        <v>0.40791498416333377</v>
      </c>
      <c r="X161" s="386">
        <f t="shared" si="140"/>
        <v>1.5541976677984881</v>
      </c>
      <c r="Y161" s="386">
        <f t="shared" si="121"/>
        <v>4.8310607811805194E-3</v>
      </c>
      <c r="Z161" s="603">
        <f t="shared" si="122"/>
        <v>4.8310607811805194E-3</v>
      </c>
      <c r="AA161" s="386">
        <f t="shared" si="141"/>
        <v>32.557442800623328</v>
      </c>
      <c r="AB161" s="386">
        <f t="shared" si="142"/>
        <v>6.0419263657804017</v>
      </c>
      <c r="AC161" s="386">
        <f t="shared" si="143"/>
        <v>0</v>
      </c>
      <c r="AD161">
        <f t="shared" si="144"/>
        <v>0</v>
      </c>
      <c r="AE161" s="386">
        <f t="shared" si="145"/>
        <v>-28.99401802379289</v>
      </c>
      <c r="AF161" s="386">
        <f t="shared" si="146"/>
        <v>0</v>
      </c>
      <c r="AG161" s="386">
        <f t="shared" si="147"/>
        <v>0</v>
      </c>
      <c r="AH161" s="386">
        <f t="shared" si="148"/>
        <v>0</v>
      </c>
      <c r="AI161" s="386">
        <f t="shared" si="149"/>
        <v>0</v>
      </c>
      <c r="AJ161" s="386">
        <f t="shared" si="150"/>
        <v>26.564084757477058</v>
      </c>
      <c r="AK161" s="386">
        <f t="shared" si="151"/>
        <v>1.3407361381046075</v>
      </c>
      <c r="AL161" s="386">
        <f t="shared" si="152"/>
        <v>2.8478173097653379</v>
      </c>
      <c r="AM161">
        <f t="shared" si="153"/>
        <v>0</v>
      </c>
      <c r="AN161" s="386">
        <f t="shared" si="154"/>
        <v>5.7232186663090161</v>
      </c>
      <c r="AO161" s="386">
        <f t="shared" si="155"/>
        <v>18.823827525597306</v>
      </c>
      <c r="AP161" s="386">
        <f t="shared" si="156"/>
        <v>0.6732393171555261</v>
      </c>
      <c r="AQ161" s="386">
        <f t="shared" si="157"/>
        <v>1.5609756097560978</v>
      </c>
      <c r="AR161" s="386">
        <f t="shared" si="158"/>
        <v>2.5818563709454105</v>
      </c>
      <c r="AS161" s="386">
        <f t="shared" si="159"/>
        <v>6.0419263657804017</v>
      </c>
      <c r="AT161" s="386">
        <f t="shared" si="160"/>
        <v>0</v>
      </c>
      <c r="AU161" s="386">
        <f t="shared" si="161"/>
        <v>0.95039999999999991</v>
      </c>
      <c r="AV161" s="386">
        <f t="shared" si="162"/>
        <v>2.1169517970072751</v>
      </c>
      <c r="AW161" s="386">
        <f t="shared" si="163"/>
        <v>0.249</v>
      </c>
      <c r="AX161" s="386">
        <f t="shared" si="164"/>
        <v>0.14400000000000002</v>
      </c>
      <c r="AY161" s="386">
        <f t="shared" si="165"/>
        <v>1.2671999999999999</v>
      </c>
      <c r="AZ161" s="386">
        <f t="shared" si="166"/>
        <v>0.10439999999999998</v>
      </c>
      <c r="BA161" s="386">
        <f t="shared" si="123"/>
        <v>1.4112</v>
      </c>
      <c r="BB161" s="386">
        <f t="shared" si="124"/>
        <v>4.2630505950540565</v>
      </c>
      <c r="BC161">
        <f t="shared" si="167"/>
        <v>480</v>
      </c>
      <c r="BD161" s="604">
        <f t="shared" si="125"/>
        <v>0.99119682868677328</v>
      </c>
      <c r="BE161" s="614">
        <f t="shared" si="168"/>
        <v>333.68093331545083</v>
      </c>
      <c r="BF161" s="614">
        <f t="shared" si="169"/>
        <v>129.09281854727053</v>
      </c>
      <c r="BG161" s="9"/>
      <c r="BH161" s="4">
        <f t="shared" si="126"/>
        <v>99.11968286867733</v>
      </c>
      <c r="BI161" s="386">
        <f t="shared" si="127"/>
        <v>19.811695739640729</v>
      </c>
      <c r="BJ161" s="386">
        <f t="shared" si="128"/>
        <v>-19.738542986538466</v>
      </c>
      <c r="BK161" s="386">
        <f t="shared" si="129"/>
        <v>0.31363199999999997</v>
      </c>
      <c r="BL161" s="386">
        <f t="shared" si="130"/>
        <v>2.1169517970072751</v>
      </c>
    </row>
    <row r="162" spans="7:64" x14ac:dyDescent="0.3">
      <c r="G162">
        <v>153</v>
      </c>
      <c r="H162" s="610">
        <f t="shared" si="131"/>
        <v>16.475000000000001</v>
      </c>
      <c r="I162" s="4" t="str">
        <f t="shared" si="132"/>
        <v>BOOST</v>
      </c>
      <c r="J162">
        <f t="shared" si="170"/>
        <v>2</v>
      </c>
      <c r="K162">
        <f t="shared" si="133"/>
        <v>10</v>
      </c>
      <c r="L162" s="4">
        <f t="shared" si="134"/>
        <v>32.372281234193217</v>
      </c>
      <c r="M162" s="4">
        <f t="shared" si="135"/>
        <v>29.772261252346979</v>
      </c>
      <c r="N162" s="386">
        <f t="shared" si="136"/>
        <v>1</v>
      </c>
      <c r="O162" s="386">
        <f t="shared" si="171"/>
        <v>0.66411687996283153</v>
      </c>
      <c r="P162" s="4">
        <f t="shared" si="137"/>
        <v>5.3967109870213754</v>
      </c>
      <c r="Q162" s="386">
        <f t="shared" si="138"/>
        <v>32.409745958515082</v>
      </c>
      <c r="R162" s="386">
        <f t="shared" si="116"/>
        <v>17.855964816169255</v>
      </c>
      <c r="S162" s="386">
        <f t="shared" si="117"/>
        <v>1.5629049765572949</v>
      </c>
      <c r="T162" s="386">
        <f t="shared" si="118"/>
        <v>19.41886979272655</v>
      </c>
      <c r="U162" s="4">
        <f t="shared" si="139"/>
        <v>14.231002107372683</v>
      </c>
      <c r="V162" s="386">
        <f t="shared" si="119"/>
        <v>0.40504284196009149</v>
      </c>
      <c r="W162" s="386">
        <f t="shared" si="120"/>
        <v>0.40504284196009149</v>
      </c>
      <c r="X162" s="386">
        <f t="shared" si="140"/>
        <v>1.5578962705477011</v>
      </c>
      <c r="Y162" s="386">
        <f t="shared" si="121"/>
        <v>4.8540815795728711E-3</v>
      </c>
      <c r="Z162" s="603">
        <f t="shared" si="122"/>
        <v>4.8540815795728711E-3</v>
      </c>
      <c r="AA162" s="386">
        <f t="shared" si="141"/>
        <v>32.409745958515082</v>
      </c>
      <c r="AB162" s="386">
        <f t="shared" si="142"/>
        <v>5.9872323086442627</v>
      </c>
      <c r="AC162" s="386">
        <f t="shared" si="143"/>
        <v>0</v>
      </c>
      <c r="AD162">
        <f t="shared" si="144"/>
        <v>0</v>
      </c>
      <c r="AE162" s="386">
        <f t="shared" si="145"/>
        <v>-30.323320338180324</v>
      </c>
      <c r="AF162" s="386">
        <f t="shared" si="146"/>
        <v>0</v>
      </c>
      <c r="AG162" s="386">
        <f t="shared" si="147"/>
        <v>0</v>
      </c>
      <c r="AH162" s="386">
        <f t="shared" si="148"/>
        <v>0</v>
      </c>
      <c r="AI162" s="386">
        <f t="shared" si="149"/>
        <v>0</v>
      </c>
      <c r="AJ162" s="386">
        <f t="shared" si="150"/>
        <v>26.411793087756017</v>
      </c>
      <c r="AK162" s="386">
        <f t="shared" si="151"/>
        <v>1.3254073468098293</v>
      </c>
      <c r="AL162" s="386">
        <f t="shared" si="152"/>
        <v>2.8348530428013068</v>
      </c>
      <c r="AM162">
        <f t="shared" si="153"/>
        <v>0</v>
      </c>
      <c r="AN162" s="386">
        <f t="shared" si="154"/>
        <v>5.6608456804039538</v>
      </c>
      <c r="AO162" s="386">
        <f t="shared" si="155"/>
        <v>18.783205769650934</v>
      </c>
      <c r="AP162" s="386">
        <f t="shared" si="156"/>
        <v>0.67033675607159138</v>
      </c>
      <c r="AQ162" s="386">
        <f t="shared" si="157"/>
        <v>1.5538694992412745</v>
      </c>
      <c r="AR162" s="386">
        <f t="shared" si="158"/>
        <v>2.5685672649390501</v>
      </c>
      <c r="AS162" s="386">
        <f t="shared" si="159"/>
        <v>5.9872323086442627</v>
      </c>
      <c r="AT162" s="386">
        <f t="shared" si="160"/>
        <v>0</v>
      </c>
      <c r="AU162" s="386">
        <f t="shared" si="161"/>
        <v>0.95039999999999991</v>
      </c>
      <c r="AV162" s="386">
        <f t="shared" si="162"/>
        <v>2.0927484423313096</v>
      </c>
      <c r="AW162" s="386">
        <f t="shared" si="163"/>
        <v>0.249</v>
      </c>
      <c r="AX162" s="386">
        <f t="shared" si="164"/>
        <v>0.14400000000000002</v>
      </c>
      <c r="AY162" s="386">
        <f t="shared" si="165"/>
        <v>1.2671999999999999</v>
      </c>
      <c r="AZ162" s="386">
        <f t="shared" si="166"/>
        <v>0.10439999999999998</v>
      </c>
      <c r="BA162" s="386">
        <f t="shared" si="123"/>
        <v>1.4112</v>
      </c>
      <c r="BB162" s="386">
        <f t="shared" si="124"/>
        <v>2.4382077657602061</v>
      </c>
      <c r="BC162">
        <f t="shared" si="167"/>
        <v>480</v>
      </c>
      <c r="BD162" s="604">
        <f t="shared" si="125"/>
        <v>0.99494607241608857</v>
      </c>
      <c r="BE162" s="614">
        <f t="shared" si="168"/>
        <v>330.56228402019769</v>
      </c>
      <c r="BF162" s="614">
        <f t="shared" si="169"/>
        <v>128.4283632469525</v>
      </c>
      <c r="BG162" s="9"/>
      <c r="BH162" s="4">
        <f t="shared" si="126"/>
        <v>99.494607241608861</v>
      </c>
      <c r="BI162" s="386">
        <f t="shared" si="127"/>
        <v>19.41886979272655</v>
      </c>
      <c r="BJ162" s="386">
        <f t="shared" si="128"/>
        <v>-21.143507392837325</v>
      </c>
      <c r="BK162" s="386">
        <f t="shared" si="129"/>
        <v>0.31363199999999997</v>
      </c>
      <c r="BL162" s="386">
        <f t="shared" si="130"/>
        <v>2.0927484423313096</v>
      </c>
    </row>
    <row r="163" spans="7:64" x14ac:dyDescent="0.3">
      <c r="G163">
        <v>154</v>
      </c>
      <c r="H163" s="610">
        <f t="shared" si="131"/>
        <v>16.55</v>
      </c>
      <c r="I163" s="4" t="str">
        <f t="shared" si="132"/>
        <v>BOOST</v>
      </c>
      <c r="J163">
        <f t="shared" si="170"/>
        <v>2</v>
      </c>
      <c r="K163">
        <f t="shared" si="133"/>
        <v>10</v>
      </c>
      <c r="L163" s="4">
        <f t="shared" si="134"/>
        <v>32.225579053373615</v>
      </c>
      <c r="M163" s="4">
        <f t="shared" si="135"/>
        <v>29.631198472592949</v>
      </c>
      <c r="N163" s="386">
        <f t="shared" si="136"/>
        <v>1</v>
      </c>
      <c r="O163" s="386">
        <f t="shared" si="171"/>
        <v>0.66251786915573496</v>
      </c>
      <c r="P163" s="4">
        <f t="shared" si="137"/>
        <v>5.4093967035975163</v>
      </c>
      <c r="Q163" s="386">
        <f t="shared" si="138"/>
        <v>32.263391168887374</v>
      </c>
      <c r="R163" s="386">
        <f t="shared" si="116"/>
        <v>17.470182505359581</v>
      </c>
      <c r="S163" s="386">
        <f t="shared" si="117"/>
        <v>1.5713824443362441</v>
      </c>
      <c r="T163" s="386">
        <f t="shared" si="118"/>
        <v>19.041564949695825</v>
      </c>
      <c r="U163" s="4">
        <f t="shared" si="139"/>
        <v>14.18093729516977</v>
      </c>
      <c r="V163" s="386">
        <f t="shared" si="119"/>
        <v>0.4021979651390738</v>
      </c>
      <c r="W163" s="386">
        <f t="shared" si="120"/>
        <v>0.4021979651390738</v>
      </c>
      <c r="X163" s="386">
        <f t="shared" si="140"/>
        <v>1.5615583214877502</v>
      </c>
      <c r="Y163" s="386">
        <f t="shared" si="121"/>
        <v>4.8769287828152796E-3</v>
      </c>
      <c r="Z163" s="603">
        <f t="shared" si="122"/>
        <v>4.8769287828152796E-3</v>
      </c>
      <c r="AA163" s="386">
        <f t="shared" si="141"/>
        <v>32.263391168887374</v>
      </c>
      <c r="AB163" s="386">
        <f t="shared" si="142"/>
        <v>5.9332805353848466</v>
      </c>
      <c r="AC163" s="386">
        <f t="shared" si="143"/>
        <v>0</v>
      </c>
      <c r="AD163">
        <f t="shared" si="144"/>
        <v>0</v>
      </c>
      <c r="AE163" s="386">
        <f t="shared" si="145"/>
        <v>-31.787229618681632</v>
      </c>
      <c r="AF163" s="386">
        <f t="shared" si="146"/>
        <v>0</v>
      </c>
      <c r="AG163" s="386">
        <f t="shared" si="147"/>
        <v>0</v>
      </c>
      <c r="AH163" s="386">
        <f t="shared" si="148"/>
        <v>0</v>
      </c>
      <c r="AI163" s="386">
        <f t="shared" si="149"/>
        <v>0</v>
      </c>
      <c r="AJ163" s="386">
        <f t="shared" si="150"/>
        <v>26.260851983768497</v>
      </c>
      <c r="AK163" s="386">
        <f t="shared" si="151"/>
        <v>1.3103014591354558</v>
      </c>
      <c r="AL163" s="386">
        <f t="shared" si="152"/>
        <v>2.8220062767463161</v>
      </c>
      <c r="AM163">
        <f t="shared" si="153"/>
        <v>0</v>
      </c>
      <c r="AN163" s="386">
        <f t="shared" si="154"/>
        <v>5.5997904572896608</v>
      </c>
      <c r="AO163" s="386">
        <f t="shared" si="155"/>
        <v>18.742840307787986</v>
      </c>
      <c r="AP163" s="386">
        <f t="shared" si="156"/>
        <v>0.66745871932615997</v>
      </c>
      <c r="AQ163" s="386">
        <f t="shared" si="157"/>
        <v>1.5468277945619335</v>
      </c>
      <c r="AR163" s="386">
        <f t="shared" si="158"/>
        <v>2.5554130594962334</v>
      </c>
      <c r="AS163" s="386">
        <f t="shared" si="159"/>
        <v>5.9332805353848466</v>
      </c>
      <c r="AT163" s="386">
        <f t="shared" si="160"/>
        <v>0</v>
      </c>
      <c r="AU163" s="386">
        <f t="shared" si="161"/>
        <v>0.95039999999999991</v>
      </c>
      <c r="AV163" s="386">
        <f t="shared" si="162"/>
        <v>2.0688970407401932</v>
      </c>
      <c r="AW163" s="386">
        <f t="shared" si="163"/>
        <v>0.249</v>
      </c>
      <c r="AX163" s="386">
        <f t="shared" si="164"/>
        <v>0.14400000000000002</v>
      </c>
      <c r="AY163" s="386">
        <f t="shared" si="165"/>
        <v>1.2671999999999999</v>
      </c>
      <c r="AZ163" s="386">
        <f t="shared" si="166"/>
        <v>0.10439999999999998</v>
      </c>
      <c r="BA163" s="386">
        <f t="shared" si="123"/>
        <v>1.4112</v>
      </c>
      <c r="BB163" s="386">
        <f t="shared" si="124"/>
        <v>0.49611078246216811</v>
      </c>
      <c r="BC163">
        <f t="shared" si="167"/>
        <v>480</v>
      </c>
      <c r="BD163" s="604">
        <f t="shared" si="125"/>
        <v>0.99896750302171178</v>
      </c>
      <c r="BE163" s="614">
        <f t="shared" si="168"/>
        <v>327.50952286448307</v>
      </c>
      <c r="BF163" s="614">
        <f t="shared" si="169"/>
        <v>127.77065297481167</v>
      </c>
      <c r="BG163" s="9"/>
      <c r="BH163" s="4">
        <f t="shared" si="126"/>
        <v>99.896750302171171</v>
      </c>
      <c r="BI163" s="386">
        <f t="shared" si="127"/>
        <v>19.041564949695825</v>
      </c>
      <c r="BJ163" s="386">
        <f t="shared" si="128"/>
        <v>-22.681626101895741</v>
      </c>
      <c r="BK163" s="386">
        <f t="shared" si="129"/>
        <v>0.31363199999999997</v>
      </c>
      <c r="BL163" s="386">
        <f t="shared" si="130"/>
        <v>2.0688970407401932</v>
      </c>
    </row>
    <row r="164" spans="7:64" x14ac:dyDescent="0.3">
      <c r="G164">
        <v>155</v>
      </c>
      <c r="H164" s="610">
        <f t="shared" si="131"/>
        <v>16.625</v>
      </c>
      <c r="I164" s="4" t="str">
        <f t="shared" si="132"/>
        <v>BOOST</v>
      </c>
      <c r="J164">
        <f t="shared" si="170"/>
        <v>2</v>
      </c>
      <c r="K164">
        <f t="shared" si="133"/>
        <v>10</v>
      </c>
      <c r="L164" s="4">
        <f t="shared" si="134"/>
        <v>32.080200501253131</v>
      </c>
      <c r="M164" s="4">
        <f t="shared" si="135"/>
        <v>29.49149482607384</v>
      </c>
      <c r="N164" s="386">
        <f t="shared" si="136"/>
        <v>1</v>
      </c>
      <c r="O164" s="386">
        <f t="shared" si="171"/>
        <v>0.66091918843127406</v>
      </c>
      <c r="P164" s="4">
        <f t="shared" si="137"/>
        <v>5.4219559134939015</v>
      </c>
      <c r="Q164" s="386">
        <f t="shared" si="138"/>
        <v>32.118360242929448</v>
      </c>
      <c r="R164" s="386">
        <f t="shared" si="116"/>
        <v>17.099100983847912</v>
      </c>
      <c r="S164" s="386">
        <f t="shared" si="117"/>
        <v>1.5798009486596416</v>
      </c>
      <c r="T164" s="386">
        <f t="shared" si="118"/>
        <v>18.678901932507554</v>
      </c>
      <c r="U164" s="4">
        <f t="shared" si="139"/>
        <v>14.131170355851241</v>
      </c>
      <c r="V164" s="386">
        <f t="shared" si="119"/>
        <v>0.39937995125217779</v>
      </c>
      <c r="W164" s="386">
        <f t="shared" si="120"/>
        <v>0.39937995125217779</v>
      </c>
      <c r="X164" s="386">
        <f t="shared" si="140"/>
        <v>1.5651838530949937</v>
      </c>
      <c r="Y164" s="386">
        <f t="shared" si="121"/>
        <v>4.8996009879785822E-3</v>
      </c>
      <c r="Z164" s="603">
        <f t="shared" si="122"/>
        <v>4.8996009879785822E-3</v>
      </c>
      <c r="AA164" s="386">
        <f t="shared" si="141"/>
        <v>32.118360242929448</v>
      </c>
      <c r="AB164" s="386">
        <f t="shared" si="142"/>
        <v>5.8800576687591679</v>
      </c>
      <c r="AC164" s="386">
        <f t="shared" si="143"/>
        <v>0</v>
      </c>
      <c r="AD164">
        <f t="shared" si="144"/>
        <v>0</v>
      </c>
      <c r="AE164" s="386">
        <f t="shared" si="145"/>
        <v>-33.40722930719825</v>
      </c>
      <c r="AF164" s="386">
        <f t="shared" si="146"/>
        <v>0</v>
      </c>
      <c r="AG164" s="386">
        <f t="shared" si="147"/>
        <v>0</v>
      </c>
      <c r="AH164" s="386">
        <f t="shared" si="148"/>
        <v>0</v>
      </c>
      <c r="AI164" s="386">
        <f t="shared" si="149"/>
        <v>0</v>
      </c>
      <c r="AJ164" s="386">
        <f t="shared" si="150"/>
        <v>26.111242931590333</v>
      </c>
      <c r="AK164" s="386">
        <f t="shared" si="151"/>
        <v>1.2954143141217997</v>
      </c>
      <c r="AL164" s="386">
        <f t="shared" si="152"/>
        <v>2.8092754213624986</v>
      </c>
      <c r="AM164">
        <f t="shared" si="153"/>
        <v>0</v>
      </c>
      <c r="AN164" s="386">
        <f t="shared" si="154"/>
        <v>5.5400118711402548</v>
      </c>
      <c r="AO164" s="386">
        <f t="shared" si="155"/>
        <v>18.702728604726765</v>
      </c>
      <c r="AP164" s="386">
        <f t="shared" si="156"/>
        <v>0.664604908797923</v>
      </c>
      <c r="AQ164" s="386">
        <f t="shared" si="157"/>
        <v>1.5398496240601502</v>
      </c>
      <c r="AR164" s="386">
        <f t="shared" si="158"/>
        <v>2.5423917387963404</v>
      </c>
      <c r="AS164" s="386">
        <f t="shared" si="159"/>
        <v>5.8800576687591679</v>
      </c>
      <c r="AT164" s="386">
        <f t="shared" si="160"/>
        <v>0</v>
      </c>
      <c r="AU164" s="386">
        <f t="shared" si="161"/>
        <v>0.95039999999999991</v>
      </c>
      <c r="AV164" s="386">
        <f t="shared" si="162"/>
        <v>2.0453910222975784</v>
      </c>
      <c r="AW164" s="386">
        <f t="shared" si="163"/>
        <v>0.249</v>
      </c>
      <c r="AX164" s="386">
        <f t="shared" si="164"/>
        <v>0.14400000000000002</v>
      </c>
      <c r="AY164" s="386">
        <f t="shared" si="165"/>
        <v>1.2671999999999999</v>
      </c>
      <c r="AZ164" s="386">
        <f t="shared" si="166"/>
        <v>0.10439999999999998</v>
      </c>
      <c r="BA164" s="386">
        <f t="shared" si="123"/>
        <v>1.4112</v>
      </c>
      <c r="BB164" s="386">
        <f t="shared" si="124"/>
        <v>-1.5856531902163646</v>
      </c>
      <c r="BC164">
        <f t="shared" si="167"/>
        <v>480</v>
      </c>
      <c r="BD164" s="604">
        <f t="shared" si="125"/>
        <v>1.0033143930586321</v>
      </c>
      <c r="BE164" s="614">
        <f t="shared" si="168"/>
        <v>324.52059355701277</v>
      </c>
      <c r="BF164" s="614">
        <f t="shared" si="169"/>
        <v>127.11958693981703</v>
      </c>
      <c r="BG164" s="9"/>
      <c r="BH164" s="4">
        <f t="shared" si="126"/>
        <v>100.33143930586321</v>
      </c>
      <c r="BI164" s="386">
        <f t="shared" si="127"/>
        <v>18.678901932507554</v>
      </c>
      <c r="BJ164" s="386">
        <f t="shared" si="128"/>
        <v>-24.374425697261657</v>
      </c>
      <c r="BK164" s="386">
        <f t="shared" si="129"/>
        <v>0.31363199999999997</v>
      </c>
      <c r="BL164" s="386">
        <f t="shared" si="130"/>
        <v>2.0453910222975784</v>
      </c>
    </row>
    <row r="165" spans="7:64" x14ac:dyDescent="0.3">
      <c r="G165">
        <v>156</v>
      </c>
      <c r="H165" s="610">
        <f t="shared" si="131"/>
        <v>16.700000000000003</v>
      </c>
      <c r="I165" s="4" t="str">
        <f t="shared" si="132"/>
        <v>BOOST</v>
      </c>
      <c r="J165">
        <f t="shared" si="170"/>
        <v>2</v>
      </c>
      <c r="K165">
        <f t="shared" si="133"/>
        <v>10</v>
      </c>
      <c r="L165" s="4">
        <f t="shared" si="134"/>
        <v>31.936127744510973</v>
      </c>
      <c r="M165" s="4">
        <f t="shared" si="135"/>
        <v>29.353130389051284</v>
      </c>
      <c r="N165" s="386">
        <f t="shared" si="136"/>
        <v>1</v>
      </c>
      <c r="O165" s="386">
        <f t="shared" si="171"/>
        <v>0.65932083333333336</v>
      </c>
      <c r="P165" s="4">
        <f t="shared" si="137"/>
        <v>5.4343887271752802</v>
      </c>
      <c r="Q165" s="386">
        <f t="shared" si="138"/>
        <v>31.974635317965618</v>
      </c>
      <c r="R165" s="386">
        <f t="shared" si="116"/>
        <v>16.741906389784805</v>
      </c>
      <c r="S165" s="386">
        <f t="shared" si="117"/>
        <v>1.5881598125591747</v>
      </c>
      <c r="T165" s="386">
        <f t="shared" si="118"/>
        <v>18.330066202343978</v>
      </c>
      <c r="U165" s="4">
        <f t="shared" si="139"/>
        <v>14.081697445782094</v>
      </c>
      <c r="V165" s="386">
        <f t="shared" si="119"/>
        <v>0.39658840590909189</v>
      </c>
      <c r="W165" s="386">
        <f t="shared" si="120"/>
        <v>0.39658840590909189</v>
      </c>
      <c r="X165" s="386">
        <f t="shared" si="140"/>
        <v>1.5687728972578581</v>
      </c>
      <c r="Y165" s="386">
        <f t="shared" si="121"/>
        <v>4.922096806341628E-3</v>
      </c>
      <c r="Z165" s="603">
        <f t="shared" si="122"/>
        <v>4.922096806341628E-3</v>
      </c>
      <c r="AA165" s="386">
        <f t="shared" si="141"/>
        <v>31.974635317965618</v>
      </c>
      <c r="AB165" s="386">
        <f t="shared" si="142"/>
        <v>5.8275506311862966</v>
      </c>
      <c r="AC165" s="386">
        <f t="shared" si="143"/>
        <v>0</v>
      </c>
      <c r="AD165">
        <f t="shared" si="144"/>
        <v>0</v>
      </c>
      <c r="AE165" s="386">
        <f t="shared" si="145"/>
        <v>-35.209631964345682</v>
      </c>
      <c r="AF165" s="386">
        <f t="shared" si="146"/>
        <v>0</v>
      </c>
      <c r="AG165" s="386">
        <f t="shared" si="147"/>
        <v>0</v>
      </c>
      <c r="AH165" s="386">
        <f t="shared" si="148"/>
        <v>0</v>
      </c>
      <c r="AI165" s="386">
        <f t="shared" si="149"/>
        <v>0</v>
      </c>
      <c r="AJ165" s="386">
        <f t="shared" si="150"/>
        <v>25.962947749970709</v>
      </c>
      <c r="AK165" s="386">
        <f t="shared" si="151"/>
        <v>1.2807418461486473</v>
      </c>
      <c r="AL165" s="386">
        <f t="shared" si="152"/>
        <v>2.7966589149791337</v>
      </c>
      <c r="AM165">
        <f t="shared" si="153"/>
        <v>0</v>
      </c>
      <c r="AN165" s="386">
        <f t="shared" si="154"/>
        <v>5.4814704874755282</v>
      </c>
      <c r="AO165" s="386">
        <f t="shared" si="155"/>
        <v>18.662868157096998</v>
      </c>
      <c r="AP165" s="386">
        <f t="shared" si="156"/>
        <v>0.66177503091345169</v>
      </c>
      <c r="AQ165" s="386">
        <f t="shared" si="157"/>
        <v>1.5329341317365268</v>
      </c>
      <c r="AR165" s="386">
        <f t="shared" si="158"/>
        <v>2.5295013263363493</v>
      </c>
      <c r="AS165" s="386">
        <f t="shared" si="159"/>
        <v>5.8275506311862966</v>
      </c>
      <c r="AT165" s="386">
        <f t="shared" si="160"/>
        <v>0</v>
      </c>
      <c r="AU165" s="386">
        <f t="shared" si="161"/>
        <v>0.95039999999999991</v>
      </c>
      <c r="AV165" s="386">
        <f t="shared" si="162"/>
        <v>2.0222239676031273</v>
      </c>
      <c r="AW165" s="386">
        <f t="shared" si="163"/>
        <v>0.249</v>
      </c>
      <c r="AX165" s="386">
        <f t="shared" si="164"/>
        <v>0.14400000000000002</v>
      </c>
      <c r="AY165" s="386">
        <f t="shared" si="165"/>
        <v>1.2671999999999999</v>
      </c>
      <c r="AZ165" s="386">
        <f t="shared" si="166"/>
        <v>0.10439999999999998</v>
      </c>
      <c r="BA165" s="386">
        <f t="shared" si="123"/>
        <v>1.4112</v>
      </c>
      <c r="BB165" s="386">
        <f t="shared" si="124"/>
        <v>-3.8342594778712624</v>
      </c>
      <c r="BC165">
        <f t="shared" si="167"/>
        <v>480</v>
      </c>
      <c r="BD165" s="604">
        <f t="shared" si="125"/>
        <v>1.0080523631827585</v>
      </c>
      <c r="BE165" s="614">
        <f t="shared" si="168"/>
        <v>321.5935243737764</v>
      </c>
      <c r="BF165" s="614">
        <f t="shared" si="169"/>
        <v>126.47506631681746</v>
      </c>
      <c r="BG165" s="9"/>
      <c r="BH165" s="4">
        <f t="shared" si="126"/>
        <v>100.80523631827585</v>
      </c>
      <c r="BI165" s="386">
        <f t="shared" si="127"/>
        <v>18.330066202343978</v>
      </c>
      <c r="BJ165" s="386">
        <f t="shared" si="128"/>
        <v>-26.24826015053381</v>
      </c>
      <c r="BK165" s="386">
        <f t="shared" si="129"/>
        <v>0.31363199999999997</v>
      </c>
      <c r="BL165" s="386">
        <f t="shared" si="130"/>
        <v>2.0222239676031273</v>
      </c>
    </row>
    <row r="166" spans="7:64" x14ac:dyDescent="0.3">
      <c r="G166">
        <v>157</v>
      </c>
      <c r="H166" s="610">
        <f t="shared" si="131"/>
        <v>16.774999999999999</v>
      </c>
      <c r="I166" s="4" t="str">
        <f t="shared" si="132"/>
        <v>BOOST</v>
      </c>
      <c r="J166">
        <f t="shared" si="170"/>
        <v>2</v>
      </c>
      <c r="K166">
        <f t="shared" si="133"/>
        <v>10</v>
      </c>
      <c r="L166" s="4">
        <f t="shared" si="134"/>
        <v>31.793343268753109</v>
      </c>
      <c r="M166" s="4">
        <f t="shared" si="135"/>
        <v>29.216085631682866</v>
      </c>
      <c r="N166" s="386">
        <f t="shared" si="136"/>
        <v>1</v>
      </c>
      <c r="O166" s="386">
        <f t="shared" si="171"/>
        <v>0.65772279948564782</v>
      </c>
      <c r="P166" s="4">
        <f t="shared" si="137"/>
        <v>5.4466952531156201</v>
      </c>
      <c r="Q166" s="386">
        <f t="shared" si="138"/>
        <v>31.832198850165241</v>
      </c>
      <c r="R166" s="386">
        <f t="shared" si="116"/>
        <v>16.397843741782605</v>
      </c>
      <c r="S166" s="386">
        <f t="shared" si="117"/>
        <v>1.5964583652513789</v>
      </c>
      <c r="T166" s="386">
        <f t="shared" si="118"/>
        <v>17.994302107033985</v>
      </c>
      <c r="U166" s="4">
        <f t="shared" si="139"/>
        <v>14.032514788429676</v>
      </c>
      <c r="V166" s="386">
        <f t="shared" si="119"/>
        <v>0.39382294257499512</v>
      </c>
      <c r="W166" s="386">
        <f t="shared" si="120"/>
        <v>0.39382294257499512</v>
      </c>
      <c r="X166" s="386">
        <f t="shared" si="140"/>
        <v>1.5723254852900801</v>
      </c>
      <c r="Y166" s="386">
        <f t="shared" si="121"/>
        <v>4.9444148633853722E-3</v>
      </c>
      <c r="Z166" s="603">
        <f t="shared" si="122"/>
        <v>4.9444148633853722E-3</v>
      </c>
      <c r="AA166" s="386">
        <f t="shared" si="141"/>
        <v>31.832198850165241</v>
      </c>
      <c r="AB166" s="386">
        <f t="shared" si="142"/>
        <v>5.7757466367278294</v>
      </c>
      <c r="AC166" s="386">
        <f t="shared" si="143"/>
        <v>0</v>
      </c>
      <c r="AD166">
        <f t="shared" si="144"/>
        <v>0</v>
      </c>
      <c r="AE166" s="386">
        <f t="shared" si="145"/>
        <v>-37.227016936163956</v>
      </c>
      <c r="AF166" s="386">
        <f t="shared" si="146"/>
        <v>0</v>
      </c>
      <c r="AG166" s="386">
        <f t="shared" si="147"/>
        <v>0</v>
      </c>
      <c r="AH166" s="386">
        <f t="shared" si="148"/>
        <v>0</v>
      </c>
      <c r="AI166" s="386">
        <f t="shared" si="149"/>
        <v>0</v>
      </c>
      <c r="AJ166" s="386">
        <f t="shared" si="150"/>
        <v>25.815948582863658</v>
      </c>
      <c r="AK166" s="386">
        <f t="shared" si="151"/>
        <v>1.2662800823428142</v>
      </c>
      <c r="AL166" s="386">
        <f t="shared" si="152"/>
        <v>2.7841552238540412</v>
      </c>
      <c r="AM166">
        <f t="shared" si="153"/>
        <v>0</v>
      </c>
      <c r="AN166" s="386">
        <f t="shared" si="154"/>
        <v>5.4241284771279803</v>
      </c>
      <c r="AO166" s="386">
        <f t="shared" si="155"/>
        <v>18.623256492982133</v>
      </c>
      <c r="AP166" s="386">
        <f t="shared" si="156"/>
        <v>0.65896879656646223</v>
      </c>
      <c r="AQ166" s="386">
        <f t="shared" si="157"/>
        <v>1.5260804769001493</v>
      </c>
      <c r="AR166" s="386">
        <f t="shared" si="158"/>
        <v>2.5167398839915585</v>
      </c>
      <c r="AS166" s="386">
        <f t="shared" si="159"/>
        <v>5.7757466367278294</v>
      </c>
      <c r="AT166" s="386">
        <f t="shared" si="160"/>
        <v>0</v>
      </c>
      <c r="AU166" s="386">
        <f t="shared" si="161"/>
        <v>0.95039999999999991</v>
      </c>
      <c r="AV166" s="386">
        <f t="shared" si="162"/>
        <v>1.9993896036991803</v>
      </c>
      <c r="AW166" s="386">
        <f t="shared" si="163"/>
        <v>0.249</v>
      </c>
      <c r="AX166" s="386">
        <f t="shared" si="164"/>
        <v>0.14400000000000002</v>
      </c>
      <c r="AY166" s="386">
        <f t="shared" si="165"/>
        <v>1.2671999999999999</v>
      </c>
      <c r="AZ166" s="386">
        <f t="shared" si="166"/>
        <v>0.10439999999999998</v>
      </c>
      <c r="BA166" s="386">
        <f t="shared" si="123"/>
        <v>1.4112</v>
      </c>
      <c r="BB166" s="386">
        <f t="shared" si="124"/>
        <v>-6.2830895068728738</v>
      </c>
      <c r="BC166">
        <f t="shared" si="167"/>
        <v>480</v>
      </c>
      <c r="BD166" s="604">
        <f t="shared" si="125"/>
        <v>1.013263384455354</v>
      </c>
      <c r="BE166" s="614">
        <f t="shared" si="168"/>
        <v>318.72642385639904</v>
      </c>
      <c r="BF166" s="614">
        <f t="shared" si="169"/>
        <v>125.83699419957793</v>
      </c>
      <c r="BG166" s="9"/>
      <c r="BH166" s="4">
        <f t="shared" si="126"/>
        <v>101.3263384455354</v>
      </c>
      <c r="BI166" s="386">
        <f t="shared" si="127"/>
        <v>17.994302107033985</v>
      </c>
      <c r="BJ166" s="386">
        <f t="shared" si="128"/>
        <v>-28.33574857504442</v>
      </c>
      <c r="BK166" s="386">
        <f t="shared" si="129"/>
        <v>0.31363199999999997</v>
      </c>
      <c r="BL166" s="386">
        <f t="shared" si="130"/>
        <v>1.9993896036991803</v>
      </c>
    </row>
    <row r="167" spans="7:64" x14ac:dyDescent="0.3">
      <c r="G167">
        <v>158</v>
      </c>
      <c r="H167" s="610">
        <f t="shared" si="131"/>
        <v>16.850000000000001</v>
      </c>
      <c r="I167" s="4" t="str">
        <f t="shared" si="132"/>
        <v>BOOST</v>
      </c>
      <c r="J167">
        <f t="shared" si="170"/>
        <v>2</v>
      </c>
      <c r="K167">
        <f t="shared" si="133"/>
        <v>10</v>
      </c>
      <c r="L167" s="4">
        <f t="shared" si="134"/>
        <v>31.651829871414439</v>
      </c>
      <c r="M167" s="4">
        <f t="shared" si="135"/>
        <v>29.080341408203765</v>
      </c>
      <c r="N167" s="386">
        <f t="shared" si="136"/>
        <v>1</v>
      </c>
      <c r="O167" s="386">
        <f t="shared" si="171"/>
        <v>0.65612508259002311</v>
      </c>
      <c r="P167" s="4">
        <f t="shared" si="137"/>
        <v>5.4588755978427557</v>
      </c>
      <c r="Q167" s="386">
        <f t="shared" si="138"/>
        <v>31.691033607447341</v>
      </c>
      <c r="R167" s="386">
        <f t="shared" si="116"/>
        <v>16.066211709990359</v>
      </c>
      <c r="S167" s="386">
        <f t="shared" si="117"/>
        <v>1.6046959421571105</v>
      </c>
      <c r="T167" s="386">
        <f t="shared" si="118"/>
        <v>17.67090765214747</v>
      </c>
      <c r="U167" s="4">
        <f t="shared" si="139"/>
        <v>13.983618672832549</v>
      </c>
      <c r="V167" s="386">
        <f t="shared" si="119"/>
        <v>0.39108318237438228</v>
      </c>
      <c r="W167" s="386">
        <f t="shared" si="120"/>
        <v>0.39108318237438228</v>
      </c>
      <c r="X167" s="386">
        <f t="shared" si="140"/>
        <v>1.5758416479435973</v>
      </c>
      <c r="Y167" s="386">
        <f t="shared" si="121"/>
        <v>4.9665537987871851E-3</v>
      </c>
      <c r="Z167" s="603">
        <f t="shared" si="122"/>
        <v>4.9665537987871851E-3</v>
      </c>
      <c r="AA167" s="386">
        <f t="shared" si="141"/>
        <v>31.691033607447341</v>
      </c>
      <c r="AB167" s="386">
        <f t="shared" si="142"/>
        <v>5.7246331833176338</v>
      </c>
      <c r="AC167" s="386">
        <f t="shared" si="143"/>
        <v>0</v>
      </c>
      <c r="AD167">
        <f t="shared" si="144"/>
        <v>0</v>
      </c>
      <c r="AE167" s="386">
        <f t="shared" si="145"/>
        <v>-39.500214143576613</v>
      </c>
      <c r="AF167" s="386">
        <f t="shared" si="146"/>
        <v>0</v>
      </c>
      <c r="AG167" s="386">
        <f t="shared" si="147"/>
        <v>0</v>
      </c>
      <c r="AH167" s="386">
        <f t="shared" si="148"/>
        <v>0</v>
      </c>
      <c r="AI167" s="386">
        <f t="shared" si="149"/>
        <v>0</v>
      </c>
      <c r="AJ167" s="386">
        <f t="shared" si="150"/>
        <v>25.670227892159737</v>
      </c>
      <c r="AK167" s="386">
        <f t="shared" si="151"/>
        <v>1.2520251400672899</v>
      </c>
      <c r="AL167" s="386">
        <f t="shared" si="152"/>
        <v>2.7717628415520199</v>
      </c>
      <c r="AM167">
        <f t="shared" si="153"/>
        <v>0</v>
      </c>
      <c r="AN167" s="386">
        <f t="shared" si="154"/>
        <v>5.3679495354079716</v>
      </c>
      <c r="AO167" s="386">
        <f t="shared" si="155"/>
        <v>18.583891171467325</v>
      </c>
      <c r="AP167" s="386">
        <f t="shared" si="156"/>
        <v>0.6561859210385883</v>
      </c>
      <c r="AQ167" s="386">
        <f t="shared" si="157"/>
        <v>1.519287833827893</v>
      </c>
      <c r="AR167" s="386">
        <f t="shared" si="158"/>
        <v>2.5041055111026167</v>
      </c>
      <c r="AS167" s="386">
        <f t="shared" si="159"/>
        <v>5.7246331833176338</v>
      </c>
      <c r="AT167" s="386">
        <f t="shared" si="160"/>
        <v>0</v>
      </c>
      <c r="AU167" s="386">
        <f t="shared" si="161"/>
        <v>0.95039999999999991</v>
      </c>
      <c r="AV167" s="386">
        <f t="shared" si="162"/>
        <v>1.9768818001062471</v>
      </c>
      <c r="AW167" s="386">
        <f t="shared" si="163"/>
        <v>0.249</v>
      </c>
      <c r="AX167" s="386">
        <f t="shared" si="164"/>
        <v>0.14400000000000002</v>
      </c>
      <c r="AY167" s="386">
        <f t="shared" si="165"/>
        <v>1.2671999999999999</v>
      </c>
      <c r="AZ167" s="386">
        <f t="shared" si="166"/>
        <v>0.10439999999999998</v>
      </c>
      <c r="BA167" s="386">
        <f t="shared" si="123"/>
        <v>1.4112</v>
      </c>
      <c r="BB167" s="386">
        <f t="shared" si="124"/>
        <v>-8.9737199086391364</v>
      </c>
      <c r="BC167">
        <f t="shared" si="167"/>
        <v>480</v>
      </c>
      <c r="BD167" s="604">
        <f t="shared" si="125"/>
        <v>1.0190514208822883</v>
      </c>
      <c r="BE167" s="614">
        <f t="shared" si="168"/>
        <v>315.91747677039859</v>
      </c>
      <c r="BF167" s="614">
        <f t="shared" si="169"/>
        <v>125.20527555513084</v>
      </c>
      <c r="BG167" s="9"/>
      <c r="BH167" s="4">
        <f t="shared" si="126"/>
        <v>101.90514208822883</v>
      </c>
      <c r="BI167" s="386">
        <f t="shared" si="127"/>
        <v>17.67090765214747</v>
      </c>
      <c r="BJ167" s="386">
        <f t="shared" si="128"/>
        <v>-30.677759097066026</v>
      </c>
      <c r="BK167" s="386">
        <f t="shared" si="129"/>
        <v>0.31363199999999997</v>
      </c>
      <c r="BL167" s="386">
        <f t="shared" si="130"/>
        <v>1.9768818001062471</v>
      </c>
    </row>
    <row r="168" spans="7:64" x14ac:dyDescent="0.3">
      <c r="G168">
        <v>159</v>
      </c>
      <c r="H168" s="610">
        <f t="shared" si="131"/>
        <v>16.925000000000001</v>
      </c>
      <c r="I168" s="4" t="str">
        <f t="shared" si="132"/>
        <v>BOOST</v>
      </c>
      <c r="J168">
        <f t="shared" si="170"/>
        <v>2</v>
      </c>
      <c r="K168">
        <f t="shared" si="133"/>
        <v>10</v>
      </c>
      <c r="L168" s="4">
        <f t="shared" si="134"/>
        <v>31.511570654849823</v>
      </c>
      <c r="M168" s="4">
        <f t="shared" si="135"/>
        <v>28.945878947403653</v>
      </c>
      <c r="N168" s="386">
        <f t="shared" si="136"/>
        <v>1</v>
      </c>
      <c r="O168" s="386">
        <f t="shared" si="171"/>
        <v>0.65452767842460124</v>
      </c>
      <c r="P168" s="4">
        <f t="shared" si="137"/>
        <v>5.4709298659818284</v>
      </c>
      <c r="Q168" s="386">
        <f t="shared" si="138"/>
        <v>31.551122662574151</v>
      </c>
      <c r="R168" s="386">
        <f t="shared" si="116"/>
        <v>15.746357934656988</v>
      </c>
      <c r="S168" s="386">
        <f t="shared" si="117"/>
        <v>1.6128718849208161</v>
      </c>
      <c r="T168" s="386">
        <f t="shared" si="118"/>
        <v>17.359229819577806</v>
      </c>
      <c r="U168" s="4">
        <f t="shared" si="139"/>
        <v>13.935005452112089</v>
      </c>
      <c r="V168" s="386">
        <f t="shared" si="119"/>
        <v>0.38836875390078729</v>
      </c>
      <c r="W168" s="386">
        <f t="shared" si="120"/>
        <v>0.38836875390078729</v>
      </c>
      <c r="X168" s="386">
        <f t="shared" si="140"/>
        <v>1.579321415421086</v>
      </c>
      <c r="Y168" s="386">
        <f t="shared" si="121"/>
        <v>4.9885122664153243E-3</v>
      </c>
      <c r="Z168" s="603">
        <f t="shared" si="122"/>
        <v>4.9885122664153243E-3</v>
      </c>
      <c r="AA168" s="386">
        <f t="shared" si="141"/>
        <v>31.551122662574151</v>
      </c>
      <c r="AB168" s="386">
        <f t="shared" si="142"/>
        <v>5.6741980452321616</v>
      </c>
      <c r="AC168" s="386">
        <f t="shared" si="143"/>
        <v>0</v>
      </c>
      <c r="AD168">
        <f t="shared" si="144"/>
        <v>0</v>
      </c>
      <c r="AE168" s="386">
        <f t="shared" si="145"/>
        <v>-42.08109238345714</v>
      </c>
      <c r="AF168" s="386">
        <f t="shared" si="146"/>
        <v>0</v>
      </c>
      <c r="AG168" s="386">
        <f t="shared" si="147"/>
        <v>0</v>
      </c>
      <c r="AH168" s="386">
        <f t="shared" si="148"/>
        <v>0</v>
      </c>
      <c r="AI168" s="386">
        <f t="shared" si="149"/>
        <v>0</v>
      </c>
      <c r="AJ168" s="386">
        <f t="shared" si="150"/>
        <v>25.5257684506118</v>
      </c>
      <c r="AK168" s="386">
        <f t="shared" si="151"/>
        <v>1.2379732244890724</v>
      </c>
      <c r="AL168" s="386">
        <f t="shared" si="152"/>
        <v>2.7594802883398244</v>
      </c>
      <c r="AM168">
        <f t="shared" si="153"/>
        <v>0</v>
      </c>
      <c r="AN168" s="386">
        <f t="shared" si="154"/>
        <v>5.3128988061043181</v>
      </c>
      <c r="AO168" s="386">
        <f t="shared" si="155"/>
        <v>18.544769782193352</v>
      </c>
      <c r="AP168" s="386">
        <f t="shared" si="156"/>
        <v>0.65342612392164823</v>
      </c>
      <c r="AQ168" s="386">
        <f t="shared" si="157"/>
        <v>1.5125553914327916</v>
      </c>
      <c r="AR168" s="386">
        <f t="shared" si="158"/>
        <v>2.4915963435880593</v>
      </c>
      <c r="AS168" s="386">
        <f t="shared" si="159"/>
        <v>5.6741980452321616</v>
      </c>
      <c r="AT168" s="386">
        <f t="shared" si="160"/>
        <v>0</v>
      </c>
      <c r="AU168" s="386">
        <f t="shared" si="161"/>
        <v>0.95039999999999991</v>
      </c>
      <c r="AV168" s="386">
        <f t="shared" si="162"/>
        <v>1.9546945649827461</v>
      </c>
      <c r="AW168" s="386">
        <f t="shared" si="163"/>
        <v>0.249</v>
      </c>
      <c r="AX168" s="386">
        <f t="shared" si="164"/>
        <v>0.14400000000000002</v>
      </c>
      <c r="AY168" s="386">
        <f t="shared" si="165"/>
        <v>1.2671999999999999</v>
      </c>
      <c r="AZ168" s="386">
        <f t="shared" si="166"/>
        <v>0.10439999999999998</v>
      </c>
      <c r="BA168" s="386">
        <f t="shared" si="123"/>
        <v>1.4112</v>
      </c>
      <c r="BB168" s="386">
        <f t="shared" si="124"/>
        <v>-11.958715583037005</v>
      </c>
      <c r="BC168">
        <f t="shared" si="167"/>
        <v>480</v>
      </c>
      <c r="BD168" s="604">
        <f t="shared" si="125"/>
        <v>1.0255505571435519</v>
      </c>
      <c r="BE168" s="614">
        <f t="shared" si="168"/>
        <v>313.16494030521591</v>
      </c>
      <c r="BF168" s="614">
        <f t="shared" si="169"/>
        <v>124.57981717940297</v>
      </c>
      <c r="BG168" s="9"/>
      <c r="BH168" s="4">
        <f t="shared" si="126"/>
        <v>102.55505571435519</v>
      </c>
      <c r="BI168" s="386">
        <f t="shared" si="127"/>
        <v>17.359229819577806</v>
      </c>
      <c r="BJ168" s="386">
        <f t="shared" si="128"/>
        <v>-33.326197233764759</v>
      </c>
      <c r="BK168" s="386">
        <f t="shared" si="129"/>
        <v>0.31363199999999997</v>
      </c>
      <c r="BL168" s="386">
        <f t="shared" si="130"/>
        <v>1.9546945649827461</v>
      </c>
    </row>
    <row r="169" spans="7:64" x14ac:dyDescent="0.3">
      <c r="G169">
        <v>160</v>
      </c>
      <c r="H169" s="610">
        <f t="shared" si="131"/>
        <v>17</v>
      </c>
      <c r="I169" s="4" t="str">
        <f t="shared" si="132"/>
        <v>BOOST</v>
      </c>
      <c r="J169">
        <f t="shared" si="170"/>
        <v>2</v>
      </c>
      <c r="K169">
        <f t="shared" si="133"/>
        <v>10</v>
      </c>
      <c r="L169" s="4">
        <f t="shared" si="134"/>
        <v>31.372549019607842</v>
      </c>
      <c r="M169" s="4">
        <f t="shared" si="135"/>
        <v>28.812679843388839</v>
      </c>
      <c r="N169" s="386">
        <f t="shared" si="136"/>
        <v>1</v>
      </c>
      <c r="O169" s="386">
        <f t="shared" si="171"/>
        <v>0.6529305828421742</v>
      </c>
      <c r="P169" s="4">
        <f t="shared" si="137"/>
        <v>5.4828581602975834</v>
      </c>
      <c r="Q169" s="386">
        <f t="shared" si="138"/>
        <v>31.41244938642733</v>
      </c>
      <c r="R169" s="386">
        <f t="shared" si="116"/>
        <v>15.437674826451069</v>
      </c>
      <c r="S169" s="386">
        <f t="shared" si="117"/>
        <v>1.620985541429582</v>
      </c>
      <c r="T169" s="386">
        <f t="shared" si="118"/>
        <v>17.058660367880652</v>
      </c>
      <c r="U169" s="4">
        <f t="shared" si="139"/>
        <v>13.886671542025598</v>
      </c>
      <c r="V169" s="386">
        <f t="shared" si="119"/>
        <v>0.38567929303220716</v>
      </c>
      <c r="W169" s="386">
        <f t="shared" si="120"/>
        <v>0.38567929303220716</v>
      </c>
      <c r="X169" s="386">
        <f t="shared" si="140"/>
        <v>1.5827648173881732</v>
      </c>
      <c r="Y169" s="386">
        <f t="shared" si="121"/>
        <v>5.0102889343236348E-3</v>
      </c>
      <c r="Z169" s="603">
        <f t="shared" si="122"/>
        <v>5.0102889343236348E-3</v>
      </c>
      <c r="AA169" s="386">
        <f t="shared" si="141"/>
        <v>31.41244938642733</v>
      </c>
      <c r="AB169" s="386">
        <f t="shared" si="142"/>
        <v>5.6244292657926946</v>
      </c>
      <c r="AC169" s="386">
        <f t="shared" si="143"/>
        <v>0</v>
      </c>
      <c r="AD169">
        <f t="shared" si="144"/>
        <v>0</v>
      </c>
      <c r="AE169" s="386">
        <f t="shared" si="145"/>
        <v>-45.036560375278462</v>
      </c>
      <c r="AF169" s="386">
        <f t="shared" si="146"/>
        <v>0</v>
      </c>
      <c r="AG169" s="386">
        <f t="shared" si="147"/>
        <v>0</v>
      </c>
      <c r="AH169" s="386">
        <f t="shared" si="148"/>
        <v>0</v>
      </c>
      <c r="AI169" s="386">
        <f t="shared" si="149"/>
        <v>0</v>
      </c>
      <c r="AJ169" s="386">
        <f t="shared" si="150"/>
        <v>25.382553334948593</v>
      </c>
      <c r="AK169" s="386">
        <f t="shared" si="151"/>
        <v>1.2241206262228688</v>
      </c>
      <c r="AL169" s="386">
        <f t="shared" si="152"/>
        <v>2.7473061105971488</v>
      </c>
      <c r="AM169">
        <f t="shared" si="153"/>
        <v>0</v>
      </c>
      <c r="AN169" s="386">
        <f t="shared" si="154"/>
        <v>5.2589428099861069</v>
      </c>
      <c r="AO169" s="386">
        <f t="shared" si="155"/>
        <v>18.505889944916156</v>
      </c>
      <c r="AP169" s="386">
        <f t="shared" si="156"/>
        <v>0.65068912904136289</v>
      </c>
      <c r="AQ169" s="386">
        <f t="shared" si="157"/>
        <v>1.5058823529411764</v>
      </c>
      <c r="AR169" s="386">
        <f t="shared" si="158"/>
        <v>2.4792105530814892</v>
      </c>
      <c r="AS169" s="386">
        <f t="shared" si="159"/>
        <v>5.6244292657926946</v>
      </c>
      <c r="AT169" s="386">
        <f t="shared" si="160"/>
        <v>0</v>
      </c>
      <c r="AU169" s="386">
        <f t="shared" si="161"/>
        <v>0.95039999999999991</v>
      </c>
      <c r="AV169" s="386">
        <f t="shared" si="162"/>
        <v>1.9328220414045298</v>
      </c>
      <c r="AW169" s="386">
        <f t="shared" si="163"/>
        <v>0.249</v>
      </c>
      <c r="AX169" s="386">
        <f t="shared" si="164"/>
        <v>0.14400000000000002</v>
      </c>
      <c r="AY169" s="386">
        <f t="shared" si="165"/>
        <v>1.2671999999999999</v>
      </c>
      <c r="AZ169" s="386">
        <f t="shared" si="166"/>
        <v>0.10439999999999998</v>
      </c>
      <c r="BA169" s="386">
        <f t="shared" si="123"/>
        <v>1.4112</v>
      </c>
      <c r="BB169" s="386">
        <f t="shared" si="124"/>
        <v>-15.305635020959155</v>
      </c>
      <c r="BC169">
        <f t="shared" si="167"/>
        <v>480</v>
      </c>
      <c r="BD169" s="604">
        <f t="shared" si="125"/>
        <v>1.032936992945136</v>
      </c>
      <c r="BE169" s="614">
        <f t="shared" si="168"/>
        <v>310.46714049930534</v>
      </c>
      <c r="BF169" s="614">
        <f t="shared" si="169"/>
        <v>123.96052765407445</v>
      </c>
      <c r="BG169" s="9"/>
      <c r="BH169" s="4">
        <f t="shared" si="126"/>
        <v>103.2936992945136</v>
      </c>
      <c r="BI169" s="386">
        <f t="shared" si="127"/>
        <v>17.058660367880652</v>
      </c>
      <c r="BJ169" s="386">
        <f t="shared" si="128"/>
        <v>-36.348007012210864</v>
      </c>
      <c r="BK169" s="386">
        <f t="shared" si="129"/>
        <v>0.31363199999999997</v>
      </c>
      <c r="BL169" s="386">
        <f t="shared" si="130"/>
        <v>1.9328220414045298</v>
      </c>
    </row>
    <row r="170" spans="7:64" x14ac:dyDescent="0.3">
      <c r="G170">
        <v>161</v>
      </c>
      <c r="H170" s="610">
        <f t="shared" si="131"/>
        <v>17.075000000000003</v>
      </c>
      <c r="I170" s="4" t="str">
        <f t="shared" si="132"/>
        <v>BOOST</v>
      </c>
      <c r="J170">
        <f t="shared" si="170"/>
        <v>2</v>
      </c>
      <c r="K170">
        <f t="shared" si="133"/>
        <v>10</v>
      </c>
      <c r="L170" s="4">
        <f t="shared" si="134"/>
        <v>31.234748657881887</v>
      </c>
      <c r="M170" s="4">
        <f t="shared" si="135"/>
        <v>28.680726046619323</v>
      </c>
      <c r="N170" s="386">
        <f t="shared" si="136"/>
        <v>1</v>
      </c>
      <c r="O170" s="386">
        <f t="shared" ref="O170:O201" si="172">CHOOSE(J170,0,(Vout+(Rdson3+Rdcr)*L170-H170)/(Vout+(Rdson3-Rdson4-Rs)*L170),IF(H170&gt;Vout,D_min_boost_exitBB_to_buck, (Vout-H170*D_max_buck_BB)/Vout))</f>
        <v>0.65133379176854111</v>
      </c>
      <c r="P170" s="4">
        <f t="shared" si="137"/>
        <v>5.4946605817355376</v>
      </c>
      <c r="Q170" s="386">
        <f t="shared" si="138"/>
        <v>31.274997441461569</v>
      </c>
      <c r="R170" s="386">
        <f t="shared" si="116"/>
        <v>15.139595791674232</v>
      </c>
      <c r="S170" s="386">
        <f t="shared" si="117"/>
        <v>1.6290362658319719</v>
      </c>
      <c r="T170" s="386">
        <f t="shared" si="118"/>
        <v>16.768632057506203</v>
      </c>
      <c r="U170" s="4">
        <f t="shared" si="139"/>
        <v>13.838613419559406</v>
      </c>
      <c r="V170" s="386">
        <f t="shared" si="119"/>
        <v>0.38301444275201935</v>
      </c>
      <c r="W170" s="386">
        <f t="shared" si="120"/>
        <v>0.38301444275201935</v>
      </c>
      <c r="X170" s="386">
        <f t="shared" si="140"/>
        <v>1.5861718829853193</v>
      </c>
      <c r="Y170" s="386">
        <f t="shared" si="121"/>
        <v>5.0318824847463868E-3</v>
      </c>
      <c r="Z170" s="603">
        <f t="shared" si="122"/>
        <v>5.0318824847463868E-3</v>
      </c>
      <c r="AA170" s="386">
        <f t="shared" si="141"/>
        <v>31.274997441461569</v>
      </c>
      <c r="AB170" s="386">
        <f t="shared" si="142"/>
        <v>5.5753151502915381</v>
      </c>
      <c r="AC170" s="386">
        <f t="shared" si="143"/>
        <v>0</v>
      </c>
      <c r="AD170">
        <f t="shared" si="144"/>
        <v>0</v>
      </c>
      <c r="AE170" s="386">
        <f t="shared" si="145"/>
        <v>-48.454444033555163</v>
      </c>
      <c r="AF170" s="386">
        <f t="shared" si="146"/>
        <v>0</v>
      </c>
      <c r="AG170" s="386">
        <f t="shared" si="147"/>
        <v>0</v>
      </c>
      <c r="AH170" s="386">
        <f t="shared" si="148"/>
        <v>0</v>
      </c>
      <c r="AI170" s="386">
        <f t="shared" si="149"/>
        <v>0</v>
      </c>
      <c r="AJ170" s="386">
        <f t="shared" si="150"/>
        <v>25.240565919170606</v>
      </c>
      <c r="AK170" s="386">
        <f t="shared" si="151"/>
        <v>1.2104637190479937</v>
      </c>
      <c r="AL170" s="386">
        <f t="shared" si="152"/>
        <v>2.7352388802431351</v>
      </c>
      <c r="AM170">
        <f t="shared" si="153"/>
        <v>0</v>
      </c>
      <c r="AN170" s="386">
        <f t="shared" si="154"/>
        <v>5.2060493774978323</v>
      </c>
      <c r="AO170" s="386">
        <f t="shared" si="155"/>
        <v>18.46724930907229</v>
      </c>
      <c r="AP170" s="386">
        <f t="shared" si="156"/>
        <v>0.64797466438251883</v>
      </c>
      <c r="AQ170" s="386">
        <f t="shared" si="157"/>
        <v>1.4992679355783307</v>
      </c>
      <c r="AR170" s="386">
        <f t="shared" si="158"/>
        <v>2.4669463460926644</v>
      </c>
      <c r="AS170" s="386">
        <f t="shared" si="159"/>
        <v>5.5753151502915381</v>
      </c>
      <c r="AT170" s="386">
        <f t="shared" si="160"/>
        <v>0</v>
      </c>
      <c r="AU170" s="386">
        <f t="shared" si="161"/>
        <v>0.95039999999999991</v>
      </c>
      <c r="AV170" s="386">
        <f t="shared" si="162"/>
        <v>1.9112585037599901</v>
      </c>
      <c r="AW170" s="386">
        <f t="shared" si="163"/>
        <v>0.249</v>
      </c>
      <c r="AX170" s="386">
        <f t="shared" si="164"/>
        <v>0.14400000000000002</v>
      </c>
      <c r="AY170" s="386">
        <f t="shared" si="165"/>
        <v>1.2671999999999999</v>
      </c>
      <c r="AZ170" s="386">
        <f t="shared" si="166"/>
        <v>0.10439999999999998</v>
      </c>
      <c r="BA170" s="386">
        <f t="shared" si="123"/>
        <v>1.4112</v>
      </c>
      <c r="BB170" s="386">
        <f t="shared" si="124"/>
        <v>-19.102911423461709</v>
      </c>
      <c r="BC170">
        <f t="shared" si="167"/>
        <v>480</v>
      </c>
      <c r="BD170" s="604">
        <f t="shared" si="125"/>
        <v>1.0414472382163669</v>
      </c>
      <c r="BE170" s="614">
        <f t="shared" si="168"/>
        <v>307.82246887489163</v>
      </c>
      <c r="BF170" s="614">
        <f t="shared" si="169"/>
        <v>123.34731730463322</v>
      </c>
      <c r="BG170" s="9"/>
      <c r="BH170" s="4">
        <f t="shared" si="126"/>
        <v>104.14472382163669</v>
      </c>
      <c r="BI170" s="386">
        <f t="shared" si="127"/>
        <v>16.768632057506203</v>
      </c>
      <c r="BJ170" s="386">
        <f t="shared" si="128"/>
        <v>-39.831048309964665</v>
      </c>
      <c r="BK170" s="386">
        <f t="shared" si="129"/>
        <v>0.31363199999999997</v>
      </c>
      <c r="BL170" s="386">
        <f t="shared" si="130"/>
        <v>1.9112585037599901</v>
      </c>
    </row>
    <row r="171" spans="7:64" x14ac:dyDescent="0.3">
      <c r="G171">
        <v>162</v>
      </c>
      <c r="H171" s="610">
        <f t="shared" si="131"/>
        <v>17.149999999999999</v>
      </c>
      <c r="I171" s="4" t="str">
        <f t="shared" si="132"/>
        <v>BOOST</v>
      </c>
      <c r="J171">
        <f t="shared" si="170"/>
        <v>2</v>
      </c>
      <c r="K171">
        <f t="shared" si="133"/>
        <v>10</v>
      </c>
      <c r="L171" s="4">
        <f t="shared" si="134"/>
        <v>31.098153547133141</v>
      </c>
      <c r="M171" s="4">
        <f t="shared" si="135"/>
        <v>28.549999855211375</v>
      </c>
      <c r="N171" s="386">
        <f t="shared" si="136"/>
        <v>1</v>
      </c>
      <c r="O171" s="386">
        <f t="shared" si="172"/>
        <v>0.64973730120090878</v>
      </c>
      <c r="P171" s="4">
        <f t="shared" si="137"/>
        <v>5.5063372294620416</v>
      </c>
      <c r="Q171" s="386">
        <f t="shared" si="138"/>
        <v>31.138750775330024</v>
      </c>
      <c r="R171" s="386">
        <f t="shared" si="116"/>
        <v>14.85159183304752</v>
      </c>
      <c r="S171" s="386">
        <f t="shared" si="117"/>
        <v>1.6370234185566397</v>
      </c>
      <c r="T171" s="386">
        <f t="shared" si="118"/>
        <v>16.488615251604159</v>
      </c>
      <c r="U171" s="4">
        <f t="shared" si="139"/>
        <v>13.79082762156073</v>
      </c>
      <c r="V171" s="386">
        <f t="shared" si="119"/>
        <v>0.38037385297520482</v>
      </c>
      <c r="W171" s="386">
        <f t="shared" si="120"/>
        <v>0.38037385297520482</v>
      </c>
      <c r="X171" s="386">
        <f t="shared" si="140"/>
        <v>1.589542640839384</v>
      </c>
      <c r="Y171" s="386">
        <f t="shared" si="121"/>
        <v>5.0532916140932863E-3</v>
      </c>
      <c r="Z171" s="603">
        <f t="shared" si="122"/>
        <v>5.0532916140932863E-3</v>
      </c>
      <c r="AA171" s="386">
        <f t="shared" si="141"/>
        <v>31.138750775330024</v>
      </c>
      <c r="AB171" s="386">
        <f t="shared" si="142"/>
        <v>5.526844259134263</v>
      </c>
      <c r="AC171" s="386">
        <f t="shared" si="143"/>
        <v>0</v>
      </c>
      <c r="AD171">
        <f t="shared" si="144"/>
        <v>0</v>
      </c>
      <c r="AE171" s="386">
        <f t="shared" si="145"/>
        <v>-52.452353454664724</v>
      </c>
      <c r="AF171" s="386">
        <f t="shared" si="146"/>
        <v>0</v>
      </c>
      <c r="AG171" s="386">
        <f t="shared" si="147"/>
        <v>0</v>
      </c>
      <c r="AH171" s="386">
        <f t="shared" si="148"/>
        <v>0</v>
      </c>
      <c r="AI171" s="386">
        <f t="shared" si="149"/>
        <v>0</v>
      </c>
      <c r="AJ171" s="386">
        <f t="shared" si="150"/>
        <v>25.099789868022459</v>
      </c>
      <c r="AK171" s="386">
        <f t="shared" si="151"/>
        <v>1.1969989576958775</v>
      </c>
      <c r="AL171" s="386">
        <f t="shared" si="152"/>
        <v>2.7232771941779323</v>
      </c>
      <c r="AM171">
        <f t="shared" si="153"/>
        <v>0</v>
      </c>
      <c r="AN171" s="386">
        <f t="shared" si="154"/>
        <v>5.1541875853636814</v>
      </c>
      <c r="AO171" s="386">
        <f t="shared" si="155"/>
        <v>18.428845553350147</v>
      </c>
      <c r="AP171" s="386">
        <f t="shared" si="156"/>
        <v>0.64528246201554362</v>
      </c>
      <c r="AQ171" s="386">
        <f t="shared" si="157"/>
        <v>1.4927113702623909</v>
      </c>
      <c r="AR171" s="386">
        <f t="shared" si="158"/>
        <v>2.4548019631917235</v>
      </c>
      <c r="AS171" s="386">
        <f t="shared" si="159"/>
        <v>5.526844259134263</v>
      </c>
      <c r="AT171" s="386">
        <f t="shared" si="160"/>
        <v>0</v>
      </c>
      <c r="AU171" s="386">
        <f t="shared" si="161"/>
        <v>0.95039999999999991</v>
      </c>
      <c r="AV171" s="386">
        <f t="shared" si="162"/>
        <v>1.8899983542566487</v>
      </c>
      <c r="AW171" s="386">
        <f t="shared" si="163"/>
        <v>0.249</v>
      </c>
      <c r="AX171" s="386">
        <f t="shared" si="164"/>
        <v>0.14400000000000002</v>
      </c>
      <c r="AY171" s="386">
        <f t="shared" si="165"/>
        <v>1.2671999999999999</v>
      </c>
      <c r="AZ171" s="386">
        <f t="shared" si="166"/>
        <v>0.10439999999999998</v>
      </c>
      <c r="BA171" s="386">
        <f t="shared" si="123"/>
        <v>1.4112</v>
      </c>
      <c r="BB171" s="386">
        <f t="shared" si="124"/>
        <v>-23.468723155659223</v>
      </c>
      <c r="BC171">
        <f t="shared" si="167"/>
        <v>480</v>
      </c>
      <c r="BD171" s="604">
        <f t="shared" si="125"/>
        <v>1.0514066052995996</v>
      </c>
      <c r="BE171" s="614">
        <f t="shared" si="168"/>
        <v>305.22937926818406</v>
      </c>
      <c r="BF171" s="614">
        <f t="shared" si="169"/>
        <v>122.74009815958618</v>
      </c>
      <c r="BG171" s="9"/>
      <c r="BH171" s="4">
        <f t="shared" si="126"/>
        <v>105.14066052995996</v>
      </c>
      <c r="BI171" s="386">
        <f t="shared" si="127"/>
        <v>16.488615251604159</v>
      </c>
      <c r="BJ171" s="386">
        <f t="shared" si="128"/>
        <v>-43.892963906109316</v>
      </c>
      <c r="BK171" s="386">
        <f t="shared" si="129"/>
        <v>0.31363199999999997</v>
      </c>
      <c r="BL171" s="386">
        <f t="shared" si="130"/>
        <v>1.8899983542566487</v>
      </c>
    </row>
    <row r="172" spans="7:64" x14ac:dyDescent="0.3">
      <c r="G172">
        <v>163</v>
      </c>
      <c r="H172" s="610">
        <f t="shared" si="131"/>
        <v>17.225000000000001</v>
      </c>
      <c r="I172" s="4" t="str">
        <f t="shared" si="132"/>
        <v>BOOST</v>
      </c>
      <c r="J172">
        <f t="shared" si="170"/>
        <v>2</v>
      </c>
      <c r="K172">
        <f t="shared" si="133"/>
        <v>10</v>
      </c>
      <c r="L172" s="4">
        <f t="shared" si="134"/>
        <v>30.962747943880018</v>
      </c>
      <c r="M172" s="4">
        <f t="shared" si="135"/>
        <v>28.420483906496305</v>
      </c>
      <c r="N172" s="386">
        <f t="shared" si="136"/>
        <v>1</v>
      </c>
      <c r="O172" s="386">
        <f t="shared" si="172"/>
        <v>0.64814110720633378</v>
      </c>
      <c r="P172" s="4">
        <f t="shared" si="137"/>
        <v>5.517888200903327</v>
      </c>
      <c r="Q172" s="386">
        <f t="shared" si="138"/>
        <v>31.00369361467628</v>
      </c>
      <c r="R172" s="386">
        <f t="shared" si="116"/>
        <v>14.573168483186379</v>
      </c>
      <c r="S172" s="386">
        <f t="shared" si="117"/>
        <v>1.6449463663307364</v>
      </c>
      <c r="T172" s="386">
        <f t="shared" si="118"/>
        <v>16.218114849517114</v>
      </c>
      <c r="U172" s="4">
        <f t="shared" si="139"/>
        <v>13.743310743406939</v>
      </c>
      <c r="V172" s="386">
        <f t="shared" si="119"/>
        <v>0.37775718037968914</v>
      </c>
      <c r="W172" s="386">
        <f t="shared" si="120"/>
        <v>0.37775718037968914</v>
      </c>
      <c r="X172" s="386">
        <f t="shared" si="140"/>
        <v>1.5928771190748978</v>
      </c>
      <c r="Y172" s="386">
        <f t="shared" si="121"/>
        <v>5.074515032944692E-3</v>
      </c>
      <c r="Z172" s="603">
        <f t="shared" si="122"/>
        <v>5.074515032944692E-3</v>
      </c>
      <c r="AA172" s="386">
        <f t="shared" si="141"/>
        <v>31.00369361467628</v>
      </c>
      <c r="AB172" s="386">
        <f t="shared" si="142"/>
        <v>5.4790054011904967</v>
      </c>
      <c r="AC172" s="386">
        <f t="shared" si="143"/>
        <v>0</v>
      </c>
      <c r="AD172">
        <f t="shared" si="144"/>
        <v>0</v>
      </c>
      <c r="AE172" s="386">
        <f t="shared" si="145"/>
        <v>-57.191478296207578</v>
      </c>
      <c r="AF172" s="386">
        <f t="shared" si="146"/>
        <v>0</v>
      </c>
      <c r="AG172" s="386">
        <f t="shared" si="147"/>
        <v>0</v>
      </c>
      <c r="AH172" s="386">
        <f t="shared" si="148"/>
        <v>0</v>
      </c>
      <c r="AI172" s="386">
        <f t="shared" si="149"/>
        <v>0</v>
      </c>
      <c r="AJ172" s="386">
        <f t="shared" si="150"/>
        <v>24.960209130636379</v>
      </c>
      <c r="AK172" s="386">
        <f t="shared" si="151"/>
        <v>1.183722875705697</v>
      </c>
      <c r="AL172" s="386">
        <f t="shared" si="152"/>
        <v>2.711419673738841</v>
      </c>
      <c r="AM172">
        <f t="shared" si="153"/>
        <v>0</v>
      </c>
      <c r="AN172" s="386">
        <f t="shared" si="154"/>
        <v>5.1033276968386021</v>
      </c>
      <c r="AO172" s="386">
        <f t="shared" si="155"/>
        <v>18.390676385266936</v>
      </c>
      <c r="AP172" s="386">
        <f t="shared" si="156"/>
        <v>0.64261225802446842</v>
      </c>
      <c r="AQ172" s="386">
        <f t="shared" si="157"/>
        <v>1.4862119013062409</v>
      </c>
      <c r="AR172" s="386">
        <f t="shared" si="158"/>
        <v>2.4427756782158125</v>
      </c>
      <c r="AS172" s="386">
        <f t="shared" si="159"/>
        <v>5.4790054011904967</v>
      </c>
      <c r="AT172" s="386">
        <f t="shared" si="160"/>
        <v>0</v>
      </c>
      <c r="AU172" s="386">
        <f t="shared" si="161"/>
        <v>0.95039999999999991</v>
      </c>
      <c r="AV172" s="386">
        <f t="shared" si="162"/>
        <v>1.8690361195353111</v>
      </c>
      <c r="AW172" s="386">
        <f t="shared" si="163"/>
        <v>0.249</v>
      </c>
      <c r="AX172" s="386">
        <f t="shared" si="164"/>
        <v>0.14400000000000002</v>
      </c>
      <c r="AY172" s="386">
        <f t="shared" si="165"/>
        <v>1.2671999999999999</v>
      </c>
      <c r="AZ172" s="386">
        <f t="shared" si="166"/>
        <v>0.10439999999999998</v>
      </c>
      <c r="BA172" s="386">
        <f t="shared" si="123"/>
        <v>1.4112</v>
      </c>
      <c r="BB172" s="386">
        <f t="shared" si="124"/>
        <v>-28.564792256688101</v>
      </c>
      <c r="BC172">
        <f t="shared" si="167"/>
        <v>480</v>
      </c>
      <c r="BD172" s="604">
        <f t="shared" si="125"/>
        <v>1.0632755083492074</v>
      </c>
      <c r="BE172" s="614">
        <f t="shared" si="168"/>
        <v>302.68638484193013</v>
      </c>
      <c r="BF172" s="614">
        <f t="shared" si="169"/>
        <v>122.13878391079062</v>
      </c>
      <c r="BG172" s="9"/>
      <c r="BH172" s="4">
        <f t="shared" si="126"/>
        <v>106.32755083492074</v>
      </c>
      <c r="BI172" s="386">
        <f t="shared" si="127"/>
        <v>16.218114849517114</v>
      </c>
      <c r="BJ172" s="386">
        <f t="shared" si="128"/>
        <v>-48.694974921153161</v>
      </c>
      <c r="BK172" s="386">
        <f t="shared" si="129"/>
        <v>0.31363199999999997</v>
      </c>
      <c r="BL172" s="386">
        <f t="shared" si="130"/>
        <v>1.8690361195353111</v>
      </c>
    </row>
    <row r="173" spans="7:64" x14ac:dyDescent="0.3">
      <c r="G173">
        <v>164</v>
      </c>
      <c r="H173" s="610">
        <f t="shared" si="131"/>
        <v>17.299999999999997</v>
      </c>
      <c r="I173" s="4" t="str">
        <f t="shared" si="132"/>
        <v>BOOST</v>
      </c>
      <c r="J173">
        <f t="shared" si="170"/>
        <v>2</v>
      </c>
      <c r="K173">
        <f t="shared" si="133"/>
        <v>10</v>
      </c>
      <c r="L173" s="4">
        <f t="shared" si="134"/>
        <v>30.828516377649329</v>
      </c>
      <c r="M173" s="4">
        <f t="shared" si="135"/>
        <v>28.292161168826734</v>
      </c>
      <c r="N173" s="386">
        <f t="shared" si="136"/>
        <v>1</v>
      </c>
      <c r="O173" s="386">
        <f t="shared" si="172"/>
        <v>0.64654520592020592</v>
      </c>
      <c r="P173" s="4">
        <f t="shared" si="137"/>
        <v>5.5293135917834855</v>
      </c>
      <c r="Q173" s="386">
        <f t="shared" si="138"/>
        <v>30.869810459087962</v>
      </c>
      <c r="R173" s="386">
        <f t="shared" si="116"/>
        <v>14.303863033386769</v>
      </c>
      <c r="S173" s="386">
        <f t="shared" si="117"/>
        <v>1.6528044821980827</v>
      </c>
      <c r="T173" s="386">
        <f t="shared" si="118"/>
        <v>15.956667515584851</v>
      </c>
      <c r="U173" s="4">
        <f t="shared" si="139"/>
        <v>13.696059437711142</v>
      </c>
      <c r="V173" s="386">
        <f t="shared" si="119"/>
        <v>0.37516408824263292</v>
      </c>
      <c r="W173" s="386">
        <f t="shared" si="120"/>
        <v>0.37516408824263292</v>
      </c>
      <c r="X173" s="386">
        <f t="shared" si="140"/>
        <v>1.596175345325026</v>
      </c>
      <c r="Y173" s="386">
        <f t="shared" si="121"/>
        <v>5.0955514660469322E-3</v>
      </c>
      <c r="Z173" s="603">
        <f t="shared" si="122"/>
        <v>5.0955514660469322E-3</v>
      </c>
      <c r="AA173" s="386">
        <f t="shared" si="141"/>
        <v>30.869810459087962</v>
      </c>
      <c r="AB173" s="386">
        <f t="shared" si="142"/>
        <v>5.4317876273460941</v>
      </c>
      <c r="AC173" s="386">
        <f t="shared" si="143"/>
        <v>0</v>
      </c>
      <c r="AD173">
        <f t="shared" si="144"/>
        <v>0</v>
      </c>
      <c r="AE173" s="386">
        <f t="shared" si="145"/>
        <v>-62.898833631843637</v>
      </c>
      <c r="AF173" s="386">
        <f t="shared" si="146"/>
        <v>0</v>
      </c>
      <c r="AG173" s="386">
        <f t="shared" si="147"/>
        <v>0</v>
      </c>
      <c r="AH173" s="386">
        <f t="shared" si="148"/>
        <v>0</v>
      </c>
      <c r="AI173" s="386">
        <f t="shared" si="149"/>
        <v>0</v>
      </c>
      <c r="AJ173" s="386">
        <f t="shared" si="150"/>
        <v>24.821807934341773</v>
      </c>
      <c r="AK173" s="386">
        <f t="shared" si="151"/>
        <v>1.1706320833457693</v>
      </c>
      <c r="AL173" s="386">
        <f t="shared" si="152"/>
        <v>2.6996649641706094</v>
      </c>
      <c r="AM173">
        <f t="shared" si="153"/>
        <v>0</v>
      </c>
      <c r="AN173" s="386">
        <f t="shared" si="154"/>
        <v>5.0534411053638175</v>
      </c>
      <c r="AO173" s="386">
        <f t="shared" si="155"/>
        <v>18.352739540751521</v>
      </c>
      <c r="AP173" s="386">
        <f t="shared" si="156"/>
        <v>0.63996379243626234</v>
      </c>
      <c r="AQ173" s="386">
        <f t="shared" si="157"/>
        <v>1.4797687861271678</v>
      </c>
      <c r="AR173" s="386">
        <f t="shared" si="158"/>
        <v>2.4308657974974426</v>
      </c>
      <c r="AS173" s="386">
        <f t="shared" si="159"/>
        <v>5.4317876273460941</v>
      </c>
      <c r="AT173" s="386">
        <f t="shared" si="160"/>
        <v>0</v>
      </c>
      <c r="AU173" s="386">
        <f t="shared" si="161"/>
        <v>0.95039999999999991</v>
      </c>
      <c r="AV173" s="386">
        <f t="shared" si="162"/>
        <v>1.8483664473880568</v>
      </c>
      <c r="AW173" s="386">
        <f t="shared" si="163"/>
        <v>0.249</v>
      </c>
      <c r="AX173" s="386">
        <f t="shared" si="164"/>
        <v>0.14400000000000002</v>
      </c>
      <c r="AY173" s="386">
        <f t="shared" si="165"/>
        <v>1.2671999999999999</v>
      </c>
      <c r="AZ173" s="386">
        <f t="shared" si="166"/>
        <v>0.10439999999999998</v>
      </c>
      <c r="BA173" s="386">
        <f t="shared" si="123"/>
        <v>1.4112</v>
      </c>
      <c r="BB173" s="386">
        <f t="shared" si="124"/>
        <v>-34.618633126300786</v>
      </c>
      <c r="BC173">
        <f t="shared" si="167"/>
        <v>480</v>
      </c>
      <c r="BD173" s="604">
        <f t="shared" si="125"/>
        <v>1.0777280679012284</v>
      </c>
      <c r="BE173" s="614">
        <f t="shared" si="168"/>
        <v>300.19205526819087</v>
      </c>
      <c r="BF173" s="614">
        <f t="shared" si="169"/>
        <v>121.54328987487213</v>
      </c>
      <c r="BG173" s="9"/>
      <c r="BH173" s="4">
        <f t="shared" si="126"/>
        <v>107.77280679012284</v>
      </c>
      <c r="BI173" s="386">
        <f t="shared" si="127"/>
        <v>15.956667515584851</v>
      </c>
      <c r="BJ173" s="386">
        <f t="shared" si="128"/>
        <v>-54.464126728982379</v>
      </c>
      <c r="BK173" s="386">
        <f t="shared" si="129"/>
        <v>0.31363199999999997</v>
      </c>
      <c r="BL173" s="386">
        <f t="shared" si="130"/>
        <v>1.8483664473880568</v>
      </c>
    </row>
    <row r="174" spans="7:64" x14ac:dyDescent="0.3">
      <c r="G174">
        <v>165</v>
      </c>
      <c r="H174" s="610">
        <f t="shared" si="131"/>
        <v>17.375</v>
      </c>
      <c r="I174" s="4" t="str">
        <f t="shared" si="132"/>
        <v>BOOST</v>
      </c>
      <c r="J174">
        <f t="shared" si="170"/>
        <v>2</v>
      </c>
      <c r="K174">
        <f t="shared" si="133"/>
        <v>10</v>
      </c>
      <c r="L174" s="4">
        <f t="shared" si="134"/>
        <v>30.69544364508393</v>
      </c>
      <c r="M174" s="4">
        <f t="shared" si="135"/>
        <v>28.165014933621688</v>
      </c>
      <c r="N174" s="386">
        <f t="shared" si="136"/>
        <v>1</v>
      </c>
      <c r="O174" s="386">
        <f t="shared" si="172"/>
        <v>0.64494959354477011</v>
      </c>
      <c r="P174" s="4">
        <f t="shared" si="137"/>
        <v>5.5406134961614946</v>
      </c>
      <c r="Q174" s="386">
        <f t="shared" si="138"/>
        <v>30.737086075206893</v>
      </c>
      <c r="R174" s="386">
        <f t="shared" ref="R174:R209" si="173">(Q174^2*Rdcr*(1+Ltc*Ta-Ltc*25))/(1-Q174^2*Rdcr*Ltc*ThetaCa)</f>
        <v>14.043242025067588</v>
      </c>
      <c r="S174" s="386">
        <f t="shared" ref="S174:S209" si="174">7.759*10^-3*Fsw^0.9458*(0.00787*P174)^2.304</f>
        <v>1.6605971455371533</v>
      </c>
      <c r="T174" s="386">
        <f t="shared" ref="T174:T209" si="175">R174+S174</f>
        <v>15.703839170604741</v>
      </c>
      <c r="U174" s="4">
        <f t="shared" si="139"/>
        <v>13.649070413062725</v>
      </c>
      <c r="V174" s="386">
        <f t="shared" ref="V174:V209" si="176">RCoutEsr*U174^2</f>
        <v>0.37259424628148857</v>
      </c>
      <c r="W174" s="386">
        <f t="shared" ref="W174:W209" si="177">V174</f>
        <v>0.37259424628148857</v>
      </c>
      <c r="X174" s="386">
        <f t="shared" si="140"/>
        <v>1.5994373467422562</v>
      </c>
      <c r="Y174" s="386">
        <f t="shared" ref="Y174:Y209" si="178">RCinEsr*X174^2</f>
        <v>5.1163996523078169E-3</v>
      </c>
      <c r="Z174" s="603">
        <f t="shared" ref="Z174:Z209" si="179">Y174</f>
        <v>5.1163996523078169E-3</v>
      </c>
      <c r="AA174" s="386">
        <f t="shared" si="141"/>
        <v>30.737086075206893</v>
      </c>
      <c r="AB174" s="386">
        <f t="shared" si="142"/>
        <v>5.3851802242496616</v>
      </c>
      <c r="AC174" s="386">
        <f t="shared" si="143"/>
        <v>0</v>
      </c>
      <c r="AD174">
        <f t="shared" si="144"/>
        <v>0</v>
      </c>
      <c r="AE174" s="386">
        <f t="shared" si="145"/>
        <v>-69.904682084082779</v>
      </c>
      <c r="AF174" s="386">
        <f t="shared" si="146"/>
        <v>0</v>
      </c>
      <c r="AG174" s="386">
        <f t="shared" si="147"/>
        <v>0</v>
      </c>
      <c r="AH174" s="386">
        <f t="shared" si="148"/>
        <v>0</v>
      </c>
      <c r="AI174" s="386">
        <f t="shared" si="149"/>
        <v>0</v>
      </c>
      <c r="AJ174" s="386">
        <f t="shared" si="150"/>
        <v>24.6845707786355</v>
      </c>
      <c r="AK174" s="386">
        <f t="shared" si="151"/>
        <v>1.1577232655983847</v>
      </c>
      <c r="AL174" s="386">
        <f t="shared" si="152"/>
        <v>2.6880117341094412</v>
      </c>
      <c r="AM174">
        <f t="shared" si="153"/>
        <v>0</v>
      </c>
      <c r="AN174" s="386">
        <f t="shared" si="154"/>
        <v>5.0045002814024917</v>
      </c>
      <c r="AO174" s="386">
        <f t="shared" si="155"/>
        <v>18.315032783732928</v>
      </c>
      <c r="AP174" s="386">
        <f t="shared" si="156"/>
        <v>0.6373368091515027</v>
      </c>
      <c r="AQ174" s="386">
        <f t="shared" si="157"/>
        <v>1.4733812949640286</v>
      </c>
      <c r="AR174" s="386">
        <f t="shared" si="158"/>
        <v>2.4190706591138618</v>
      </c>
      <c r="AS174" s="386">
        <f t="shared" si="159"/>
        <v>5.3851802242496616</v>
      </c>
      <c r="AT174" s="386">
        <f t="shared" si="160"/>
        <v>0</v>
      </c>
      <c r="AU174" s="386">
        <f t="shared" si="161"/>
        <v>0.95039999999999991</v>
      </c>
      <c r="AV174" s="386">
        <f t="shared" si="162"/>
        <v>1.8279841035763968</v>
      </c>
      <c r="AW174" s="386">
        <f t="shared" si="163"/>
        <v>0.249</v>
      </c>
      <c r="AX174" s="386">
        <f t="shared" si="164"/>
        <v>0.14400000000000002</v>
      </c>
      <c r="AY174" s="386">
        <f t="shared" si="165"/>
        <v>1.2671999999999999</v>
      </c>
      <c r="AZ174" s="386">
        <f t="shared" si="166"/>
        <v>0.10439999999999998</v>
      </c>
      <c r="BA174" s="386">
        <f t="shared" ref="BA174:BA209" si="180">SUM(AX174:AY174)</f>
        <v>1.4112</v>
      </c>
      <c r="BB174" s="386">
        <f t="shared" ref="BB174:BB209" si="181">SUM(T174,W174,Z174,AE174,AI174,AN174,AR174, AT174,AU174,BA174,AV174,AW174)</f>
        <v>-41.960977223451479</v>
      </c>
      <c r="BC174">
        <f t="shared" si="167"/>
        <v>480</v>
      </c>
      <c r="BD174" s="604">
        <f t="shared" ref="BD174:BD209" si="182">BC174/(BC174+BB174)</f>
        <v>1.0957927833860057</v>
      </c>
      <c r="BE174" s="614">
        <f t="shared" si="168"/>
        <v>297.74501407012457</v>
      </c>
      <c r="BF174" s="614">
        <f t="shared" si="169"/>
        <v>120.95353295569309</v>
      </c>
      <c r="BG174" s="9"/>
      <c r="BH174" s="4">
        <f t="shared" ref="BH174:BH209" si="183">BD174*100</f>
        <v>109.57927833860057</v>
      </c>
      <c r="BI174" s="386">
        <f t="shared" ref="BI174:BI209" si="184">T174</f>
        <v>15.703839170604741</v>
      </c>
      <c r="BJ174" s="386">
        <f t="shared" ref="BJ174:BJ209" si="185">AE174+AI174+AN174+AR174+AU174</f>
        <v>-61.530711143566428</v>
      </c>
      <c r="BK174" s="386">
        <f t="shared" ref="BK174:BK209" si="186">AI174+AU174*0.33</f>
        <v>0.31363199999999997</v>
      </c>
      <c r="BL174" s="386">
        <f t="shared" ref="BL174:BL209" si="187">AV174</f>
        <v>1.8279841035763968</v>
      </c>
    </row>
    <row r="175" spans="7:64" x14ac:dyDescent="0.3">
      <c r="G175">
        <v>166</v>
      </c>
      <c r="H175" s="610">
        <f t="shared" si="131"/>
        <v>17.45</v>
      </c>
      <c r="I175" s="4" t="str">
        <f t="shared" si="132"/>
        <v>BOOST</v>
      </c>
      <c r="J175">
        <f t="shared" si="170"/>
        <v>2</v>
      </c>
      <c r="K175">
        <f t="shared" si="133"/>
        <v>10</v>
      </c>
      <c r="L175" s="4">
        <f t="shared" si="134"/>
        <v>30.563514804202484</v>
      </c>
      <c r="M175" s="4">
        <f t="shared" si="135"/>
        <v>28.039028807642538</v>
      </c>
      <c r="N175" s="386">
        <f t="shared" si="136"/>
        <v>1</v>
      </c>
      <c r="O175" s="386">
        <f t="shared" si="172"/>
        <v>0.64335426634768744</v>
      </c>
      <c r="P175" s="4">
        <f t="shared" si="137"/>
        <v>5.5517880064672536</v>
      </c>
      <c r="Q175" s="386">
        <f t="shared" si="138"/>
        <v>30.60550549099133</v>
      </c>
      <c r="R175" s="386">
        <f t="shared" si="173"/>
        <v>13.790898975278067</v>
      </c>
      <c r="S175" s="386">
        <f t="shared" si="174"/>
        <v>1.668323742078804</v>
      </c>
      <c r="T175" s="386">
        <f t="shared" si="175"/>
        <v>15.459222717356871</v>
      </c>
      <c r="U175" s="4">
        <f t="shared" si="139"/>
        <v>13.602340432801917</v>
      </c>
      <c r="V175" s="386">
        <f t="shared" si="176"/>
        <v>0.3700473304996757</v>
      </c>
      <c r="W175" s="386">
        <f t="shared" si="177"/>
        <v>0.3700473304996757</v>
      </c>
      <c r="X175" s="386">
        <f t="shared" si="140"/>
        <v>1.6026631500088024</v>
      </c>
      <c r="Y175" s="386">
        <f t="shared" si="178"/>
        <v>5.1370583447922745E-3</v>
      </c>
      <c r="Z175" s="603">
        <f t="shared" si="179"/>
        <v>5.1370583447922745E-3</v>
      </c>
      <c r="AA175" s="386">
        <f t="shared" si="141"/>
        <v>30.60550549099133</v>
      </c>
      <c r="AB175" s="386">
        <f t="shared" si="142"/>
        <v>5.3391727082468723</v>
      </c>
      <c r="AC175" s="386">
        <f t="shared" si="143"/>
        <v>0</v>
      </c>
      <c r="AD175">
        <f t="shared" si="144"/>
        <v>0</v>
      </c>
      <c r="AE175" s="386">
        <f t="shared" si="145"/>
        <v>-78.708760734968592</v>
      </c>
      <c r="AF175" s="386">
        <f t="shared" si="146"/>
        <v>0</v>
      </c>
      <c r="AG175" s="386">
        <f t="shared" si="147"/>
        <v>0</v>
      </c>
      <c r="AH175" s="386">
        <f t="shared" si="148"/>
        <v>0</v>
      </c>
      <c r="AI175" s="386">
        <f t="shared" si="149"/>
        <v>0</v>
      </c>
      <c r="AJ175" s="386">
        <f t="shared" si="150"/>
        <v>24.548482429308407</v>
      </c>
      <c r="AK175" s="386">
        <f t="shared" si="151"/>
        <v>1.1449931802059208</v>
      </c>
      <c r="AL175" s="386">
        <f t="shared" si="152"/>
        <v>2.6764586750803172</v>
      </c>
      <c r="AM175">
        <f t="shared" si="153"/>
        <v>0</v>
      </c>
      <c r="AN175" s="386">
        <f t="shared" si="154"/>
        <v>4.9564787222482352</v>
      </c>
      <c r="AO175" s="386">
        <f t="shared" si="155"/>
        <v>18.277553905734674</v>
      </c>
      <c r="AP175" s="386">
        <f t="shared" si="156"/>
        <v>0.63473105587636991</v>
      </c>
      <c r="AQ175" s="386">
        <f t="shared" si="157"/>
        <v>1.4670487106017192</v>
      </c>
      <c r="AR175" s="386">
        <f t="shared" si="158"/>
        <v>2.407388632156823</v>
      </c>
      <c r="AS175" s="386">
        <f t="shared" si="159"/>
        <v>5.3391727082468723</v>
      </c>
      <c r="AT175" s="386">
        <f t="shared" si="160"/>
        <v>0</v>
      </c>
      <c r="AU175" s="386">
        <f t="shared" si="161"/>
        <v>0.95039999999999991</v>
      </c>
      <c r="AV175" s="386">
        <f t="shared" si="162"/>
        <v>1.807883968746191</v>
      </c>
      <c r="AW175" s="386">
        <f t="shared" si="163"/>
        <v>0.249</v>
      </c>
      <c r="AX175" s="386">
        <f t="shared" si="164"/>
        <v>0.14400000000000002</v>
      </c>
      <c r="AY175" s="386">
        <f t="shared" si="165"/>
        <v>1.2671999999999999</v>
      </c>
      <c r="AZ175" s="386">
        <f t="shared" si="166"/>
        <v>0.10439999999999998</v>
      </c>
      <c r="BA175" s="386">
        <f t="shared" si="180"/>
        <v>1.4112</v>
      </c>
      <c r="BB175" s="386">
        <f t="shared" si="181"/>
        <v>-51.092002305615999</v>
      </c>
      <c r="BC175">
        <f t="shared" si="167"/>
        <v>480</v>
      </c>
      <c r="BD175" s="604">
        <f t="shared" si="182"/>
        <v>1.1191211228987652</v>
      </c>
      <c r="BE175" s="614">
        <f t="shared" si="168"/>
        <v>295.34393611241177</v>
      </c>
      <c r="BF175" s="614">
        <f t="shared" si="169"/>
        <v>120.36943160784115</v>
      </c>
      <c r="BG175" s="9"/>
      <c r="BH175" s="4">
        <f t="shared" si="183"/>
        <v>111.91211228987652</v>
      </c>
      <c r="BI175" s="386">
        <f t="shared" si="184"/>
        <v>15.459222717356871</v>
      </c>
      <c r="BJ175" s="386">
        <f t="shared" si="185"/>
        <v>-70.394493380563532</v>
      </c>
      <c r="BK175" s="386">
        <f t="shared" si="186"/>
        <v>0.31363199999999997</v>
      </c>
      <c r="BL175" s="386">
        <f t="shared" si="187"/>
        <v>1.807883968746191</v>
      </c>
    </row>
    <row r="176" spans="7:64" x14ac:dyDescent="0.3">
      <c r="G176">
        <v>167</v>
      </c>
      <c r="H176" s="610">
        <f t="shared" si="131"/>
        <v>17.524999999999999</v>
      </c>
      <c r="I176" s="4" t="str">
        <f t="shared" si="132"/>
        <v>BOOST</v>
      </c>
      <c r="J176">
        <f t="shared" si="170"/>
        <v>2</v>
      </c>
      <c r="K176">
        <f t="shared" si="133"/>
        <v>10</v>
      </c>
      <c r="L176" s="4">
        <f t="shared" si="134"/>
        <v>30.432715168806467</v>
      </c>
      <c r="M176" s="4">
        <f t="shared" si="135"/>
        <v>27.914186705491783</v>
      </c>
      <c r="N176" s="386">
        <f t="shared" si="136"/>
        <v>1</v>
      </c>
      <c r="O176" s="386">
        <f t="shared" si="172"/>
        <v>0.64175922066063207</v>
      </c>
      <c r="P176" s="4">
        <f t="shared" si="137"/>
        <v>5.5628372135366995</v>
      </c>
      <c r="Q176" s="386">
        <f t="shared" si="138"/>
        <v>30.47505399012547</v>
      </c>
      <c r="R176" s="386">
        <f t="shared" si="173"/>
        <v>13.546452311180238</v>
      </c>
      <c r="S176" s="386">
        <f t="shared" si="174"/>
        <v>1.6759836639238206</v>
      </c>
      <c r="T176" s="386">
        <f t="shared" si="175"/>
        <v>15.222435975104059</v>
      </c>
      <c r="U176" s="4">
        <f t="shared" si="139"/>
        <v>13.555866313827101</v>
      </c>
      <c r="V176" s="386">
        <f t="shared" si="176"/>
        <v>0.36752302303670475</v>
      </c>
      <c r="W176" s="386">
        <f t="shared" si="177"/>
        <v>0.36752302303670475</v>
      </c>
      <c r="X176" s="386">
        <f t="shared" si="140"/>
        <v>1.6058527813467407</v>
      </c>
      <c r="Y176" s="386">
        <f t="shared" si="178"/>
        <v>5.1575263107181257E-3</v>
      </c>
      <c r="Z176" s="603">
        <f t="shared" si="179"/>
        <v>5.1575263107181257E-3</v>
      </c>
      <c r="AA176" s="386">
        <f t="shared" si="141"/>
        <v>30.47505399012547</v>
      </c>
      <c r="AB176" s="386">
        <f t="shared" si="142"/>
        <v>5.2937548194960558</v>
      </c>
      <c r="AC176" s="386">
        <f t="shared" si="143"/>
        <v>0</v>
      </c>
      <c r="AD176">
        <f t="shared" si="144"/>
        <v>0</v>
      </c>
      <c r="AE176" s="386">
        <f t="shared" si="145"/>
        <v>-90.104986678646327</v>
      </c>
      <c r="AF176" s="386">
        <f t="shared" si="146"/>
        <v>0</v>
      </c>
      <c r="AG176" s="386">
        <f t="shared" si="147"/>
        <v>0</v>
      </c>
      <c r="AH176" s="386">
        <f t="shared" si="148"/>
        <v>0</v>
      </c>
      <c r="AI176" s="386">
        <f t="shared" si="149"/>
        <v>0</v>
      </c>
      <c r="AJ176" s="386">
        <f t="shared" si="150"/>
        <v>24.413527912723051</v>
      </c>
      <c r="AK176" s="386">
        <f t="shared" si="151"/>
        <v>1.1324386557760842</v>
      </c>
      <c r="AL176" s="386">
        <f t="shared" si="152"/>
        <v>2.6650045010072203</v>
      </c>
      <c r="AM176">
        <f t="shared" si="153"/>
        <v>0</v>
      </c>
      <c r="AN176" s="386">
        <f t="shared" si="154"/>
        <v>4.9093509046141817</v>
      </c>
      <c r="AO176" s="386">
        <f t="shared" si="155"/>
        <v>18.24030072547475</v>
      </c>
      <c r="AP176" s="386">
        <f t="shared" si="156"/>
        <v>0.63214628405593398</v>
      </c>
      <c r="AQ176" s="386">
        <f t="shared" si="157"/>
        <v>1.4607703281027105</v>
      </c>
      <c r="AR176" s="386">
        <f t="shared" si="158"/>
        <v>2.3958181160220957</v>
      </c>
      <c r="AS176" s="386">
        <f t="shared" si="159"/>
        <v>5.2937548194960558</v>
      </c>
      <c r="AT176" s="386">
        <f t="shared" si="160"/>
        <v>0</v>
      </c>
      <c r="AU176" s="386">
        <f t="shared" si="161"/>
        <v>0.95039999999999991</v>
      </c>
      <c r="AV176" s="386">
        <f t="shared" si="162"/>
        <v>1.7880610354359225</v>
      </c>
      <c r="AW176" s="386">
        <f t="shared" si="163"/>
        <v>0.249</v>
      </c>
      <c r="AX176" s="386">
        <f t="shared" si="164"/>
        <v>0.14400000000000002</v>
      </c>
      <c r="AY176" s="386">
        <f t="shared" si="165"/>
        <v>1.2671999999999999</v>
      </c>
      <c r="AZ176" s="386">
        <f t="shared" si="166"/>
        <v>0.10439999999999998</v>
      </c>
      <c r="BA176" s="386">
        <f t="shared" si="180"/>
        <v>1.4112</v>
      </c>
      <c r="BB176" s="386">
        <f t="shared" si="181"/>
        <v>-62.806040098122637</v>
      </c>
      <c r="BC176">
        <f t="shared" si="167"/>
        <v>480</v>
      </c>
      <c r="BD176" s="604">
        <f t="shared" si="182"/>
        <v>1.1505439822592216</v>
      </c>
      <c r="BE176" s="614">
        <f t="shared" si="168"/>
        <v>292.98754523070909</v>
      </c>
      <c r="BF176" s="614">
        <f t="shared" si="169"/>
        <v>119.79090580110478</v>
      </c>
      <c r="BG176" s="9"/>
      <c r="BH176" s="4">
        <f t="shared" si="183"/>
        <v>115.05439822592216</v>
      </c>
      <c r="BI176" s="386">
        <f t="shared" si="184"/>
        <v>15.222435975104059</v>
      </c>
      <c r="BJ176" s="386">
        <f t="shared" si="185"/>
        <v>-81.84941765801004</v>
      </c>
      <c r="BK176" s="386">
        <f t="shared" si="186"/>
        <v>0.31363199999999997</v>
      </c>
      <c r="BL176" s="386">
        <f t="shared" si="187"/>
        <v>1.7880610354359225</v>
      </c>
    </row>
    <row r="177" spans="7:64" x14ac:dyDescent="0.3">
      <c r="G177">
        <v>168</v>
      </c>
      <c r="H177" s="610">
        <f t="shared" si="131"/>
        <v>17.600000000000001</v>
      </c>
      <c r="I177" s="4" t="str">
        <f t="shared" si="132"/>
        <v>BOOST</v>
      </c>
      <c r="J177">
        <f t="shared" si="170"/>
        <v>2</v>
      </c>
      <c r="K177">
        <f t="shared" si="133"/>
        <v>10</v>
      </c>
      <c r="L177" s="4">
        <f t="shared" si="134"/>
        <v>30.303030303030301</v>
      </c>
      <c r="M177" s="4">
        <f t="shared" si="135"/>
        <v>27.790472842327304</v>
      </c>
      <c r="N177" s="386">
        <f t="shared" si="136"/>
        <v>1</v>
      </c>
      <c r="O177" s="386">
        <f t="shared" si="172"/>
        <v>0.64016445287792545</v>
      </c>
      <c r="P177" s="4">
        <f t="shared" si="137"/>
        <v>5.5737612066460347</v>
      </c>
      <c r="Q177" s="386">
        <f t="shared" si="138"/>
        <v>30.345717106572035</v>
      </c>
      <c r="R177" s="386">
        <f t="shared" si="173"/>
        <v>13.309543491444748</v>
      </c>
      <c r="S177" s="386">
        <f t="shared" si="174"/>
        <v>1.683576309560235</v>
      </c>
      <c r="T177" s="386">
        <f t="shared" si="175"/>
        <v>14.993119801004983</v>
      </c>
      <c r="U177" s="4">
        <f t="shared" si="139"/>
        <v>13.50964492543401</v>
      </c>
      <c r="V177" s="386">
        <f t="shared" si="176"/>
        <v>0.36502101202260978</v>
      </c>
      <c r="W177" s="386">
        <f t="shared" si="177"/>
        <v>0.36502101202260978</v>
      </c>
      <c r="X177" s="386">
        <f t="shared" si="140"/>
        <v>1.6090062665278908</v>
      </c>
      <c r="Y177" s="386">
        <f t="shared" si="178"/>
        <v>5.1778023314520442E-3</v>
      </c>
      <c r="Z177" s="603">
        <f t="shared" si="179"/>
        <v>5.1778023314520442E-3</v>
      </c>
      <c r="AA177" s="386">
        <f t="shared" si="141"/>
        <v>30.345717106572035</v>
      </c>
      <c r="AB177" s="386">
        <f t="shared" si="142"/>
        <v>5.2489165162589622</v>
      </c>
      <c r="AC177" s="386">
        <f t="shared" si="143"/>
        <v>0</v>
      </c>
      <c r="AD177">
        <f t="shared" si="144"/>
        <v>0</v>
      </c>
      <c r="AE177" s="386">
        <f t="shared" si="145"/>
        <v>-105.43527997150274</v>
      </c>
      <c r="AF177" s="386">
        <f t="shared" si="146"/>
        <v>0</v>
      </c>
      <c r="AG177" s="386">
        <f t="shared" si="147"/>
        <v>0</v>
      </c>
      <c r="AH177" s="386">
        <f t="shared" si="148"/>
        <v>0</v>
      </c>
      <c r="AI177" s="386">
        <f t="shared" si="149"/>
        <v>0</v>
      </c>
      <c r="AJ177" s="386">
        <f t="shared" si="150"/>
        <v>24.279692510238338</v>
      </c>
      <c r="AK177" s="386">
        <f t="shared" si="151"/>
        <v>1.1200565899442747</v>
      </c>
      <c r="AL177" s="386">
        <f t="shared" si="152"/>
        <v>2.653647947735883</v>
      </c>
      <c r="AM177">
        <f t="shared" si="153"/>
        <v>0</v>
      </c>
      <c r="AN177" s="386">
        <f t="shared" si="154"/>
        <v>4.8630922398246508</v>
      </c>
      <c r="AO177" s="386">
        <f t="shared" si="155"/>
        <v>18.203271088471293</v>
      </c>
      <c r="AP177" s="386">
        <f t="shared" si="156"/>
        <v>0.62958224880871227</v>
      </c>
      <c r="AQ177" s="386">
        <f t="shared" si="157"/>
        <v>1.4545454545454546</v>
      </c>
      <c r="AR177" s="386">
        <f t="shared" si="158"/>
        <v>2.3843575397181147</v>
      </c>
      <c r="AS177" s="386">
        <f t="shared" si="159"/>
        <v>5.2489165162589622</v>
      </c>
      <c r="AT177" s="386">
        <f t="shared" si="160"/>
        <v>0</v>
      </c>
      <c r="AU177" s="386">
        <f t="shared" si="161"/>
        <v>0.95039999999999991</v>
      </c>
      <c r="AV177" s="386">
        <f t="shared" si="162"/>
        <v>1.7685104051751708</v>
      </c>
      <c r="AW177" s="386">
        <f t="shared" si="163"/>
        <v>0.249</v>
      </c>
      <c r="AX177" s="386">
        <f t="shared" si="164"/>
        <v>0.14400000000000002</v>
      </c>
      <c r="AY177" s="386">
        <f t="shared" si="165"/>
        <v>1.2671999999999999</v>
      </c>
      <c r="AZ177" s="386">
        <f t="shared" si="166"/>
        <v>0.10439999999999998</v>
      </c>
      <c r="BA177" s="386">
        <f t="shared" si="180"/>
        <v>1.4112</v>
      </c>
      <c r="BB177" s="386">
        <f t="shared" si="181"/>
        <v>-78.445401171425772</v>
      </c>
      <c r="BC177">
        <f t="shared" si="167"/>
        <v>480</v>
      </c>
      <c r="BD177" s="604">
        <f t="shared" si="182"/>
        <v>1.1953542591723985</v>
      </c>
      <c r="BE177" s="614">
        <f t="shared" si="168"/>
        <v>290.67461199123255</v>
      </c>
      <c r="BF177" s="614">
        <f t="shared" si="169"/>
        <v>119.21787698590573</v>
      </c>
      <c r="BG177" s="9"/>
      <c r="BH177" s="4">
        <f t="shared" si="183"/>
        <v>119.53542591723985</v>
      </c>
      <c r="BI177" s="386">
        <f t="shared" si="184"/>
        <v>14.993119801004983</v>
      </c>
      <c r="BJ177" s="386">
        <f t="shared" si="185"/>
        <v>-97.237430191959973</v>
      </c>
      <c r="BK177" s="386">
        <f t="shared" si="186"/>
        <v>0.31363199999999997</v>
      </c>
      <c r="BL177" s="386">
        <f t="shared" si="187"/>
        <v>1.7685104051751708</v>
      </c>
    </row>
    <row r="178" spans="7:64" x14ac:dyDescent="0.3">
      <c r="G178">
        <v>169</v>
      </c>
      <c r="H178" s="610">
        <f t="shared" si="131"/>
        <v>17.674999999999997</v>
      </c>
      <c r="I178" s="4" t="str">
        <f t="shared" si="132"/>
        <v>BOOST</v>
      </c>
      <c r="J178">
        <f t="shared" si="170"/>
        <v>2</v>
      </c>
      <c r="K178">
        <f t="shared" si="133"/>
        <v>10</v>
      </c>
      <c r="L178" s="4">
        <f t="shared" si="134"/>
        <v>30.174446016030181</v>
      </c>
      <c r="M178" s="4">
        <f t="shared" si="135"/>
        <v>27.667871726784675</v>
      </c>
      <c r="N178" s="386">
        <f t="shared" si="136"/>
        <v>1</v>
      </c>
      <c r="O178" s="386">
        <f t="shared" si="172"/>
        <v>0.63856995945520401</v>
      </c>
      <c r="P178" s="4">
        <f t="shared" si="137"/>
        <v>5.5845600735450294</v>
      </c>
      <c r="Q178" s="386">
        <f t="shared" si="138"/>
        <v>30.217480619263618</v>
      </c>
      <c r="R178" s="386">
        <f t="shared" si="173"/>
        <v>13.0798352951201</v>
      </c>
      <c r="S178" s="386">
        <f t="shared" si="174"/>
        <v>1.6911010838804048</v>
      </c>
      <c r="T178" s="386">
        <f t="shared" si="175"/>
        <v>14.770936379000505</v>
      </c>
      <c r="U178" s="4">
        <f t="shared" si="139"/>
        <v>13.463673188185599</v>
      </c>
      <c r="V178" s="386">
        <f t="shared" si="176"/>
        <v>0.36254099143653556</v>
      </c>
      <c r="W178" s="386">
        <f t="shared" si="177"/>
        <v>0.36254099143653556</v>
      </c>
      <c r="X178" s="386">
        <f t="shared" si="140"/>
        <v>1.6121236308834295</v>
      </c>
      <c r="Y178" s="386">
        <f t="shared" si="178"/>
        <v>5.1978852025055446E-3</v>
      </c>
      <c r="Z178" s="603">
        <f t="shared" si="179"/>
        <v>5.1978852025055446E-3</v>
      </c>
      <c r="AA178" s="386">
        <f t="shared" si="141"/>
        <v>30.217480619263618</v>
      </c>
      <c r="AB178" s="386">
        <f t="shared" si="142"/>
        <v>5.2046479693607628</v>
      </c>
      <c r="AC178" s="386">
        <f t="shared" si="143"/>
        <v>0</v>
      </c>
      <c r="AD178">
        <f t="shared" si="144"/>
        <v>0</v>
      </c>
      <c r="AE178" s="386">
        <f t="shared" si="145"/>
        <v>-127.16099714104105</v>
      </c>
      <c r="AF178" s="386">
        <f t="shared" si="146"/>
        <v>0</v>
      </c>
      <c r="AG178" s="386">
        <f t="shared" si="147"/>
        <v>0</v>
      </c>
      <c r="AH178" s="386">
        <f t="shared" si="148"/>
        <v>0</v>
      </c>
      <c r="AI178" s="386">
        <f t="shared" si="149"/>
        <v>0</v>
      </c>
      <c r="AJ178" s="386">
        <f t="shared" si="150"/>
        <v>24.146961752776573</v>
      </c>
      <c r="AK178" s="386">
        <f t="shared" si="151"/>
        <v>1.1078439475911039</v>
      </c>
      <c r="AL178" s="386">
        <f t="shared" si="152"/>
        <v>2.6423877725686875</v>
      </c>
      <c r="AM178">
        <f t="shared" si="153"/>
        <v>0</v>
      </c>
      <c r="AN178" s="386">
        <f t="shared" si="154"/>
        <v>4.8176790314441966</v>
      </c>
      <c r="AO178" s="386">
        <f t="shared" si="155"/>
        <v>18.166462866653973</v>
      </c>
      <c r="AP178" s="386">
        <f t="shared" si="156"/>
        <v>0.62703870886248358</v>
      </c>
      <c r="AQ178" s="386">
        <f t="shared" si="157"/>
        <v>1.4483734087694486</v>
      </c>
      <c r="AR178" s="386">
        <f t="shared" si="158"/>
        <v>2.3730053611931994</v>
      </c>
      <c r="AS178" s="386">
        <f t="shared" si="159"/>
        <v>5.2046479693607628</v>
      </c>
      <c r="AT178" s="386">
        <f t="shared" si="160"/>
        <v>0</v>
      </c>
      <c r="AU178" s="386">
        <f t="shared" si="161"/>
        <v>0.95039999999999991</v>
      </c>
      <c r="AV178" s="386">
        <f t="shared" si="162"/>
        <v>1.7492272856701641</v>
      </c>
      <c r="AW178" s="386">
        <f t="shared" si="163"/>
        <v>0.249</v>
      </c>
      <c r="AX178" s="386">
        <f t="shared" si="164"/>
        <v>0.14400000000000002</v>
      </c>
      <c r="AY178" s="386">
        <f t="shared" si="165"/>
        <v>1.2671999999999999</v>
      </c>
      <c r="AZ178" s="386">
        <f t="shared" si="166"/>
        <v>0.10439999999999998</v>
      </c>
      <c r="BA178" s="386">
        <f t="shared" si="180"/>
        <v>1.4112</v>
      </c>
      <c r="BB178" s="386">
        <f t="shared" si="181"/>
        <v>-100.47181020709397</v>
      </c>
      <c r="BC178">
        <f t="shared" si="167"/>
        <v>480</v>
      </c>
      <c r="BD178" s="604">
        <f t="shared" si="182"/>
        <v>1.2647281886015307</v>
      </c>
      <c r="BE178" s="614">
        <f t="shared" si="168"/>
        <v>288.40395157220985</v>
      </c>
      <c r="BF178" s="614">
        <f t="shared" si="169"/>
        <v>118.65026805965996</v>
      </c>
      <c r="BG178" s="9"/>
      <c r="BH178" s="4">
        <f t="shared" si="183"/>
        <v>126.47281886015307</v>
      </c>
      <c r="BI178" s="386">
        <f t="shared" si="184"/>
        <v>14.770936379000505</v>
      </c>
      <c r="BJ178" s="386">
        <f t="shared" si="185"/>
        <v>-119.01991274840366</v>
      </c>
      <c r="BK178" s="386">
        <f t="shared" si="186"/>
        <v>0.31363199999999997</v>
      </c>
      <c r="BL178" s="386">
        <f t="shared" si="187"/>
        <v>1.7492272856701641</v>
      </c>
    </row>
    <row r="179" spans="7:64" x14ac:dyDescent="0.3">
      <c r="G179">
        <v>170</v>
      </c>
      <c r="H179" s="610">
        <f t="shared" si="131"/>
        <v>17.75</v>
      </c>
      <c r="I179" s="4" t="str">
        <f t="shared" si="132"/>
        <v>BOOST</v>
      </c>
      <c r="J179">
        <f t="shared" si="170"/>
        <v>2</v>
      </c>
      <c r="K179">
        <f t="shared" si="133"/>
        <v>10</v>
      </c>
      <c r="L179" s="4">
        <f t="shared" si="134"/>
        <v>30.046948356807512</v>
      </c>
      <c r="M179" s="4">
        <f t="shared" si="135"/>
        <v>27.546368154100726</v>
      </c>
      <c r="N179" s="386">
        <f t="shared" si="136"/>
        <v>1</v>
      </c>
      <c r="O179" s="386">
        <f t="shared" si="172"/>
        <v>0.6369757369081217</v>
      </c>
      <c r="P179" s="4">
        <f t="shared" si="137"/>
        <v>5.5952339004895402</v>
      </c>
      <c r="Q179" s="386">
        <f t="shared" si="138"/>
        <v>30.09033054692858</v>
      </c>
      <c r="R179" s="386">
        <f t="shared" si="173"/>
        <v>12.857010260812013</v>
      </c>
      <c r="S179" s="386">
        <f t="shared" si="174"/>
        <v>1.698557398197917</v>
      </c>
      <c r="T179" s="386">
        <f t="shared" si="175"/>
        <v>14.555567659009929</v>
      </c>
      <c r="U179" s="4">
        <f t="shared" si="139"/>
        <v>13.417948072811804</v>
      </c>
      <c r="V179" s="386">
        <f t="shared" si="176"/>
        <v>0.36008266096934805</v>
      </c>
      <c r="W179" s="386">
        <f t="shared" si="177"/>
        <v>0.36008266096934805</v>
      </c>
      <c r="X179" s="386">
        <f t="shared" si="140"/>
        <v>1.6152048993132779</v>
      </c>
      <c r="Y179" s="386">
        <f t="shared" si="178"/>
        <v>5.2177737335312325E-3</v>
      </c>
      <c r="Z179" s="603">
        <f t="shared" si="179"/>
        <v>5.2177737335312325E-3</v>
      </c>
      <c r="AA179" s="386">
        <f t="shared" si="141"/>
        <v>30.09033054692858</v>
      </c>
      <c r="AB179" s="386">
        <f t="shared" si="142"/>
        <v>5.1609395568135126</v>
      </c>
      <c r="AC179" s="386">
        <f t="shared" si="143"/>
        <v>0</v>
      </c>
      <c r="AD179">
        <f t="shared" si="144"/>
        <v>0</v>
      </c>
      <c r="AE179" s="386">
        <f t="shared" si="145"/>
        <v>-160.33782057675529</v>
      </c>
      <c r="AF179" s="386">
        <f t="shared" si="146"/>
        <v>0</v>
      </c>
      <c r="AG179" s="386">
        <f t="shared" si="147"/>
        <v>0</v>
      </c>
      <c r="AH179" s="386">
        <f t="shared" si="148"/>
        <v>0</v>
      </c>
      <c r="AI179" s="386">
        <f t="shared" si="149"/>
        <v>0</v>
      </c>
      <c r="AJ179" s="386">
        <f t="shared" si="150"/>
        <v>24.015321415528696</v>
      </c>
      <c r="AK179" s="386">
        <f t="shared" si="151"/>
        <v>1.0957977591131873</v>
      </c>
      <c r="AL179" s="386">
        <f t="shared" si="152"/>
        <v>2.631222753811354</v>
      </c>
      <c r="AM179">
        <f t="shared" si="153"/>
        <v>0</v>
      </c>
      <c r="AN179" s="386">
        <f t="shared" si="154"/>
        <v>4.773088435190763</v>
      </c>
      <c r="AO179" s="386">
        <f t="shared" si="155"/>
        <v>18.129873957980845</v>
      </c>
      <c r="AP179" s="386">
        <f t="shared" si="156"/>
        <v>0.62451542649131686</v>
      </c>
      <c r="AQ179" s="386">
        <f t="shared" si="157"/>
        <v>1.4422535211267606</v>
      </c>
      <c r="AR179" s="386">
        <f t="shared" si="158"/>
        <v>2.3617600666807332</v>
      </c>
      <c r="AS179" s="386">
        <f t="shared" si="159"/>
        <v>5.1609395568135126</v>
      </c>
      <c r="AT179" s="386">
        <f t="shared" si="160"/>
        <v>0</v>
      </c>
      <c r="AU179" s="386">
        <f t="shared" si="161"/>
        <v>0.95039999999999991</v>
      </c>
      <c r="AV179" s="386">
        <f t="shared" si="162"/>
        <v>1.7302069880734536</v>
      </c>
      <c r="AW179" s="386">
        <f t="shared" si="163"/>
        <v>0.249</v>
      </c>
      <c r="AX179" s="386">
        <f t="shared" si="164"/>
        <v>0.14400000000000002</v>
      </c>
      <c r="AY179" s="386">
        <f t="shared" si="165"/>
        <v>1.2671999999999999</v>
      </c>
      <c r="AZ179" s="386">
        <f t="shared" si="166"/>
        <v>0.10439999999999998</v>
      </c>
      <c r="BA179" s="386">
        <f t="shared" si="180"/>
        <v>1.4112</v>
      </c>
      <c r="BB179" s="386">
        <f t="shared" si="181"/>
        <v>-133.9412969930975</v>
      </c>
      <c r="BC179">
        <f t="shared" si="167"/>
        <v>480</v>
      </c>
      <c r="BD179" s="604">
        <f t="shared" si="182"/>
        <v>1.3870479078528646</v>
      </c>
      <c r="BE179" s="614">
        <f t="shared" si="168"/>
        <v>286.17442175953818</v>
      </c>
      <c r="BF179" s="614">
        <f t="shared" si="169"/>
        <v>118.08800333403666</v>
      </c>
      <c r="BG179" s="9"/>
      <c r="BH179" s="4">
        <f t="shared" si="183"/>
        <v>138.70479078528646</v>
      </c>
      <c r="BI179" s="386">
        <f t="shared" si="184"/>
        <v>14.555567659009929</v>
      </c>
      <c r="BJ179" s="386">
        <f t="shared" si="185"/>
        <v>-152.25257207488377</v>
      </c>
      <c r="BK179" s="386">
        <f t="shared" si="186"/>
        <v>0.31363199999999997</v>
      </c>
      <c r="BL179" s="386">
        <f t="shared" si="187"/>
        <v>1.7302069880734536</v>
      </c>
    </row>
    <row r="180" spans="7:64" x14ac:dyDescent="0.3">
      <c r="G180">
        <v>171</v>
      </c>
      <c r="H180" s="610">
        <f t="shared" si="131"/>
        <v>17.824999999999999</v>
      </c>
      <c r="I180" s="4" t="str">
        <f t="shared" si="132"/>
        <v>BOOST</v>
      </c>
      <c r="J180">
        <f t="shared" si="170"/>
        <v>2</v>
      </c>
      <c r="K180">
        <f t="shared" si="133"/>
        <v>10</v>
      </c>
      <c r="L180" s="4">
        <f t="shared" si="134"/>
        <v>29.920523609163158</v>
      </c>
      <c r="M180" s="4">
        <f t="shared" si="135"/>
        <v>27.425947199431569</v>
      </c>
      <c r="N180" s="386">
        <f t="shared" si="136"/>
        <v>1</v>
      </c>
      <c r="O180" s="386">
        <f t="shared" si="172"/>
        <v>0.63538178181108507</v>
      </c>
      <c r="P180" s="4">
        <f t="shared" si="137"/>
        <v>5.6057827722731384</v>
      </c>
      <c r="Q180" s="386">
        <f t="shared" si="138"/>
        <v>29.964253143047792</v>
      </c>
      <c r="R180" s="386">
        <f t="shared" si="173"/>
        <v>12.6407692609917</v>
      </c>
      <c r="S180" s="386">
        <f t="shared" si="174"/>
        <v>1.705944670264244</v>
      </c>
      <c r="T180" s="386">
        <f t="shared" si="175"/>
        <v>14.346713931255945</v>
      </c>
      <c r="U180" s="4">
        <f t="shared" si="139"/>
        <v>13.372466599138134</v>
      </c>
      <c r="V180" s="386">
        <f t="shared" si="176"/>
        <v>0.35764572589013</v>
      </c>
      <c r="W180" s="386">
        <f t="shared" si="177"/>
        <v>0.35764572589013</v>
      </c>
      <c r="X180" s="386">
        <f t="shared" si="140"/>
        <v>1.6182500962952315</v>
      </c>
      <c r="Y180" s="386">
        <f t="shared" si="178"/>
        <v>5.2374667483190522E-3</v>
      </c>
      <c r="Z180" s="603">
        <f t="shared" si="179"/>
        <v>5.2374667483190522E-3</v>
      </c>
      <c r="AA180" s="386">
        <f t="shared" si="141"/>
        <v>29.964253143047792</v>
      </c>
      <c r="AB180" s="386">
        <f t="shared" si="142"/>
        <v>5.1177818585977022</v>
      </c>
      <c r="AC180" s="386">
        <f t="shared" si="143"/>
        <v>0</v>
      </c>
      <c r="AD180">
        <f t="shared" si="144"/>
        <v>0</v>
      </c>
      <c r="AE180" s="386">
        <f t="shared" si="145"/>
        <v>-217.25679656992213</v>
      </c>
      <c r="AF180" s="386">
        <f t="shared" si="146"/>
        <v>0</v>
      </c>
      <c r="AG180" s="386">
        <f t="shared" si="147"/>
        <v>0</v>
      </c>
      <c r="AH180" s="386">
        <f t="shared" si="148"/>
        <v>0</v>
      </c>
      <c r="AI180" s="386">
        <f t="shared" si="149"/>
        <v>0</v>
      </c>
      <c r="AJ180" s="386">
        <f t="shared" si="150"/>
        <v>23.88475751279374</v>
      </c>
      <c r="AK180" s="386">
        <f t="shared" si="151"/>
        <v>1.0839151187454183</v>
      </c>
      <c r="AL180" s="386">
        <f t="shared" si="152"/>
        <v>2.620151690331082</v>
      </c>
      <c r="AM180">
        <f t="shared" si="153"/>
        <v>0</v>
      </c>
      <c r="AN180" s="386">
        <f t="shared" si="154"/>
        <v>4.7292984209906113</v>
      </c>
      <c r="AO180" s="386">
        <f t="shared" si="155"/>
        <v>18.093502286060943</v>
      </c>
      <c r="AP180" s="386">
        <f t="shared" si="156"/>
        <v>0.62201216745381582</v>
      </c>
      <c r="AQ180" s="386">
        <f t="shared" si="157"/>
        <v>1.4361851332398317</v>
      </c>
      <c r="AR180" s="386">
        <f t="shared" si="158"/>
        <v>2.3506201700618083</v>
      </c>
      <c r="AS180" s="386">
        <f t="shared" si="159"/>
        <v>5.1177818585977022</v>
      </c>
      <c r="AT180" s="386">
        <f t="shared" si="160"/>
        <v>0</v>
      </c>
      <c r="AU180" s="386">
        <f t="shared" si="161"/>
        <v>0.95039999999999991</v>
      </c>
      <c r="AV180" s="386">
        <f t="shared" si="162"/>
        <v>1.7114449243348713</v>
      </c>
      <c r="AW180" s="386">
        <f t="shared" si="163"/>
        <v>0.249</v>
      </c>
      <c r="AX180" s="386">
        <f t="shared" si="164"/>
        <v>0.14400000000000002</v>
      </c>
      <c r="AY180" s="386">
        <f t="shared" si="165"/>
        <v>1.2671999999999999</v>
      </c>
      <c r="AZ180" s="386">
        <f t="shared" si="166"/>
        <v>0.10439999999999998</v>
      </c>
      <c r="BA180" s="386">
        <f t="shared" si="180"/>
        <v>1.4112</v>
      </c>
      <c r="BB180" s="386">
        <f t="shared" si="181"/>
        <v>-191.14523593064047</v>
      </c>
      <c r="BC180">
        <f t="shared" si="167"/>
        <v>480</v>
      </c>
      <c r="BD180" s="604">
        <f t="shared" si="182"/>
        <v>1.6617347529180542</v>
      </c>
      <c r="BE180" s="614">
        <f t="shared" si="168"/>
        <v>283.98492104953056</v>
      </c>
      <c r="BF180" s="614">
        <f t="shared" si="169"/>
        <v>117.53100850309042</v>
      </c>
      <c r="BG180" s="9"/>
      <c r="BH180" s="4">
        <f t="shared" si="183"/>
        <v>166.1734752918054</v>
      </c>
      <c r="BI180" s="386">
        <f t="shared" si="184"/>
        <v>14.346713931255945</v>
      </c>
      <c r="BJ180" s="386">
        <f t="shared" si="185"/>
        <v>-209.22647797886972</v>
      </c>
      <c r="BK180" s="386">
        <f t="shared" si="186"/>
        <v>0.31363199999999997</v>
      </c>
      <c r="BL180" s="386">
        <f t="shared" si="187"/>
        <v>1.7114449243348713</v>
      </c>
    </row>
    <row r="181" spans="7:64" x14ac:dyDescent="0.3">
      <c r="G181">
        <v>172</v>
      </c>
      <c r="H181" s="610">
        <f t="shared" si="131"/>
        <v>17.899999999999999</v>
      </c>
      <c r="I181" s="4" t="str">
        <f t="shared" si="132"/>
        <v>BOOST</v>
      </c>
      <c r="J181">
        <f t="shared" si="170"/>
        <v>2</v>
      </c>
      <c r="K181">
        <f t="shared" si="133"/>
        <v>10</v>
      </c>
      <c r="L181" s="4">
        <f t="shared" si="134"/>
        <v>29.795158286778399</v>
      </c>
      <c r="M181" s="4">
        <f t="shared" si="135"/>
        <v>27.306594211358654</v>
      </c>
      <c r="N181" s="386">
        <f t="shared" si="136"/>
        <v>1</v>
      </c>
      <c r="O181" s="386">
        <f t="shared" si="172"/>
        <v>0.63378809079602005</v>
      </c>
      <c r="P181" s="4">
        <f t="shared" si="137"/>
        <v>5.616206772257982</v>
      </c>
      <c r="Q181" s="386">
        <f t="shared" si="138"/>
        <v>29.839234890938069</v>
      </c>
      <c r="R181" s="386">
        <f t="shared" si="173"/>
        <v>12.430830197978098</v>
      </c>
      <c r="S181" s="386">
        <f t="shared" si="174"/>
        <v>1.7132623242851859</v>
      </c>
      <c r="T181" s="386">
        <f t="shared" si="175"/>
        <v>14.144092522263284</v>
      </c>
      <c r="U181" s="4">
        <f t="shared" si="139"/>
        <v>13.32722583504221</v>
      </c>
      <c r="V181" s="386">
        <f t="shared" si="176"/>
        <v>0.35522989691643309</v>
      </c>
      <c r="W181" s="386">
        <f t="shared" si="177"/>
        <v>0.35522989691643309</v>
      </c>
      <c r="X181" s="386">
        <f t="shared" si="140"/>
        <v>1.6212592458938726</v>
      </c>
      <c r="Y181" s="386">
        <f t="shared" si="178"/>
        <v>5.256963084792737E-3</v>
      </c>
      <c r="Z181" s="603">
        <f t="shared" si="179"/>
        <v>5.256963084792737E-3</v>
      </c>
      <c r="AA181" s="386">
        <f t="shared" si="141"/>
        <v>29.839234890938069</v>
      </c>
      <c r="AB181" s="386">
        <f t="shared" si="142"/>
        <v>5.0751656515964827</v>
      </c>
      <c r="AC181" s="386">
        <f t="shared" si="143"/>
        <v>0</v>
      </c>
      <c r="AD181">
        <f t="shared" si="144"/>
        <v>0</v>
      </c>
      <c r="AE181" s="386">
        <f t="shared" si="145"/>
        <v>-337.59872653282304</v>
      </c>
      <c r="AF181" s="386">
        <f t="shared" si="146"/>
        <v>0</v>
      </c>
      <c r="AG181" s="386">
        <f t="shared" si="147"/>
        <v>0</v>
      </c>
      <c r="AH181" s="386">
        <f t="shared" si="148"/>
        <v>0</v>
      </c>
      <c r="AI181" s="386">
        <f t="shared" si="149"/>
        <v>0</v>
      </c>
      <c r="AJ181" s="386">
        <f t="shared" si="150"/>
        <v>23.755256292948349</v>
      </c>
      <c r="AK181" s="386">
        <f t="shared" si="151"/>
        <v>1.0721931829329581</v>
      </c>
      <c r="AL181" s="386">
        <f t="shared" si="152"/>
        <v>2.6091734011257839</v>
      </c>
      <c r="AM181">
        <f t="shared" si="153"/>
        <v>0</v>
      </c>
      <c r="AN181" s="386">
        <f t="shared" si="154"/>
        <v>4.6862877370426261</v>
      </c>
      <c r="AO181" s="386">
        <f t="shared" si="155"/>
        <v>18.057345799782254</v>
      </c>
      <c r="AP181" s="386">
        <f t="shared" si="156"/>
        <v>0.61952870093253631</v>
      </c>
      <c r="AQ181" s="386">
        <f t="shared" si="157"/>
        <v>1.4301675977653632</v>
      </c>
      <c r="AR181" s="386">
        <f t="shared" si="158"/>
        <v>2.3395842122447519</v>
      </c>
      <c r="AS181" s="386">
        <f t="shared" si="159"/>
        <v>5.0751656515964827</v>
      </c>
      <c r="AT181" s="386">
        <f t="shared" si="160"/>
        <v>0</v>
      </c>
      <c r="AU181" s="386">
        <f t="shared" si="161"/>
        <v>0.95039999999999991</v>
      </c>
      <c r="AV181" s="386">
        <f t="shared" si="162"/>
        <v>1.6929366046309864</v>
      </c>
      <c r="AW181" s="386">
        <f t="shared" si="163"/>
        <v>0.249</v>
      </c>
      <c r="AX181" s="386">
        <f t="shared" si="164"/>
        <v>0.14400000000000002</v>
      </c>
      <c r="AY181" s="386">
        <f t="shared" si="165"/>
        <v>1.2671999999999999</v>
      </c>
      <c r="AZ181" s="386">
        <f t="shared" si="166"/>
        <v>0.10439999999999998</v>
      </c>
      <c r="BA181" s="386">
        <f t="shared" si="180"/>
        <v>1.4112</v>
      </c>
      <c r="BB181" s="386">
        <f t="shared" si="181"/>
        <v>-311.76473859664014</v>
      </c>
      <c r="BC181">
        <f t="shared" si="167"/>
        <v>480</v>
      </c>
      <c r="BD181" s="604">
        <f t="shared" si="182"/>
        <v>2.853147407957211</v>
      </c>
      <c r="BE181" s="614">
        <f t="shared" si="168"/>
        <v>281.83438685213133</v>
      </c>
      <c r="BF181" s="614">
        <f t="shared" si="169"/>
        <v>116.97921061223759</v>
      </c>
      <c r="BG181" s="9"/>
      <c r="BH181" s="4">
        <f t="shared" si="183"/>
        <v>285.31474079572109</v>
      </c>
      <c r="BI181" s="386">
        <f t="shared" si="184"/>
        <v>14.144092522263284</v>
      </c>
      <c r="BJ181" s="386">
        <f t="shared" si="185"/>
        <v>-329.62245458353567</v>
      </c>
      <c r="BK181" s="386">
        <f t="shared" si="186"/>
        <v>0.31363199999999997</v>
      </c>
      <c r="BL181" s="386">
        <f t="shared" si="187"/>
        <v>1.6929366046309864</v>
      </c>
    </row>
    <row r="182" spans="7:64" x14ac:dyDescent="0.3">
      <c r="G182">
        <v>173</v>
      </c>
      <c r="H182" s="610">
        <f t="shared" si="131"/>
        <v>17.975000000000001</v>
      </c>
      <c r="I182" s="4" t="str">
        <f t="shared" si="132"/>
        <v>BOOST</v>
      </c>
      <c r="J182">
        <f t="shared" si="170"/>
        <v>2</v>
      </c>
      <c r="K182">
        <f t="shared" si="133"/>
        <v>10</v>
      </c>
      <c r="L182" s="4">
        <f t="shared" si="134"/>
        <v>29.670839128419097</v>
      </c>
      <c r="M182" s="4">
        <f t="shared" si="135"/>
        <v>27.188294805576611</v>
      </c>
      <c r="N182" s="386">
        <f t="shared" si="136"/>
        <v>1</v>
      </c>
      <c r="O182" s="386">
        <f t="shared" si="172"/>
        <v>0.6321946605511688</v>
      </c>
      <c r="P182" s="4">
        <f t="shared" si="137"/>
        <v>5.6265059824048764</v>
      </c>
      <c r="Q182" s="386">
        <f t="shared" si="138"/>
        <v>29.715262498958829</v>
      </c>
      <c r="R182" s="386">
        <f t="shared" si="173"/>
        <v>12.226926809649699</v>
      </c>
      <c r="S182" s="386">
        <f t="shared" si="174"/>
        <v>1.7205097909371019</v>
      </c>
      <c r="T182" s="386">
        <f t="shared" si="175"/>
        <v>13.947436600586801</v>
      </c>
      <c r="U182" s="4">
        <f t="shared" si="139"/>
        <v>13.282222895437405</v>
      </c>
      <c r="V182" s="386">
        <f t="shared" si="176"/>
        <v>0.35283489008816321</v>
      </c>
      <c r="W182" s="386">
        <f t="shared" si="177"/>
        <v>0.35283489008816321</v>
      </c>
      <c r="X182" s="386">
        <f t="shared" si="140"/>
        <v>1.6242323717692477</v>
      </c>
      <c r="Y182" s="386">
        <f t="shared" si="178"/>
        <v>5.2762615950063116E-3</v>
      </c>
      <c r="Z182" s="603">
        <f t="shared" si="179"/>
        <v>5.2762615950063116E-3</v>
      </c>
      <c r="AA182" s="386">
        <f t="shared" si="141"/>
        <v>29.715262498958829</v>
      </c>
      <c r="AB182" s="386">
        <f t="shared" si="142"/>
        <v>5.033081904677565</v>
      </c>
      <c r="AC182" s="386">
        <f t="shared" si="143"/>
        <v>0</v>
      </c>
      <c r="AD182">
        <f t="shared" si="144"/>
        <v>0</v>
      </c>
      <c r="AE182" s="386">
        <f t="shared" si="145"/>
        <v>-760.70014011175704</v>
      </c>
      <c r="AF182" s="386">
        <f t="shared" si="146"/>
        <v>0</v>
      </c>
      <c r="AG182" s="386">
        <f t="shared" si="147"/>
        <v>0</v>
      </c>
      <c r="AH182" s="386">
        <f t="shared" si="148"/>
        <v>0</v>
      </c>
      <c r="AI182" s="386">
        <f t="shared" si="149"/>
        <v>0</v>
      </c>
      <c r="AJ182" s="386">
        <f t="shared" si="150"/>
        <v>23.626804233542703</v>
      </c>
      <c r="AK182" s="386">
        <f t="shared" si="151"/>
        <v>1.0606291687512877</v>
      </c>
      <c r="AL182" s="386">
        <f t="shared" si="152"/>
        <v>2.5982867249041188</v>
      </c>
      <c r="AM182">
        <f t="shared" si="153"/>
        <v>0</v>
      </c>
      <c r="AN182" s="386">
        <f t="shared" si="154"/>
        <v>4.6440358757690161</v>
      </c>
      <c r="AO182" s="386">
        <f t="shared" si="155"/>
        <v>18.021402472945258</v>
      </c>
      <c r="AP182" s="386">
        <f t="shared" si="156"/>
        <v>0.61706479947456716</v>
      </c>
      <c r="AQ182" s="386">
        <f t="shared" si="157"/>
        <v>1.4242002781641168</v>
      </c>
      <c r="AR182" s="386">
        <f t="shared" si="158"/>
        <v>2.3286507605610667</v>
      </c>
      <c r="AS182" s="386">
        <f t="shared" si="159"/>
        <v>5.033081904677565</v>
      </c>
      <c r="AT182" s="386">
        <f t="shared" si="160"/>
        <v>0</v>
      </c>
      <c r="AU182" s="386">
        <f t="shared" si="161"/>
        <v>0.95039999999999991</v>
      </c>
      <c r="AV182" s="386">
        <f t="shared" si="162"/>
        <v>1.6746776348704542</v>
      </c>
      <c r="AW182" s="386">
        <f t="shared" si="163"/>
        <v>0.249</v>
      </c>
      <c r="AX182" s="386">
        <f t="shared" si="164"/>
        <v>0.14400000000000002</v>
      </c>
      <c r="AY182" s="386">
        <f t="shared" si="165"/>
        <v>1.2671999999999999</v>
      </c>
      <c r="AZ182" s="386">
        <f t="shared" si="166"/>
        <v>0.10439999999999998</v>
      </c>
      <c r="BA182" s="386">
        <f t="shared" si="180"/>
        <v>1.4112</v>
      </c>
      <c r="BB182" s="386">
        <f t="shared" si="181"/>
        <v>-735.13662808828656</v>
      </c>
      <c r="BC182">
        <f t="shared" si="167"/>
        <v>480</v>
      </c>
      <c r="BD182" s="604">
        <f t="shared" si="182"/>
        <v>-1.8813449232930308</v>
      </c>
      <c r="BE182" s="614">
        <f t="shared" si="168"/>
        <v>279.72179378845084</v>
      </c>
      <c r="BF182" s="614">
        <f t="shared" si="169"/>
        <v>116.43253802805333</v>
      </c>
      <c r="BG182" s="9"/>
      <c r="BH182" s="4">
        <f t="shared" si="183"/>
        <v>-188.13449232930307</v>
      </c>
      <c r="BI182" s="386">
        <f t="shared" si="184"/>
        <v>13.947436600586801</v>
      </c>
      <c r="BJ182" s="386">
        <f t="shared" si="185"/>
        <v>-752.77705347542701</v>
      </c>
      <c r="BK182" s="386">
        <f t="shared" si="186"/>
        <v>0.31363199999999997</v>
      </c>
      <c r="BL182" s="386">
        <f t="shared" si="187"/>
        <v>1.6746776348704542</v>
      </c>
    </row>
    <row r="183" spans="7:64" x14ac:dyDescent="0.3">
      <c r="G183">
        <v>174</v>
      </c>
      <c r="H183" s="610">
        <f t="shared" si="131"/>
        <v>18.05</v>
      </c>
      <c r="I183" s="4" t="str">
        <f t="shared" si="132"/>
        <v>BOOST</v>
      </c>
      <c r="J183">
        <f t="shared" si="170"/>
        <v>2</v>
      </c>
      <c r="K183">
        <f t="shared" si="133"/>
        <v>10</v>
      </c>
      <c r="L183" s="4">
        <f t="shared" si="134"/>
        <v>29.547553093259463</v>
      </c>
      <c r="M183" s="4">
        <f t="shared" si="135"/>
        <v>27.071034858757205</v>
      </c>
      <c r="N183" s="386">
        <f t="shared" si="136"/>
        <v>1</v>
      </c>
      <c r="O183" s="386">
        <f t="shared" si="172"/>
        <v>0.63060148781991976</v>
      </c>
      <c r="P183" s="4">
        <f t="shared" si="137"/>
        <v>5.6366804833026194</v>
      </c>
      <c r="Q183" s="386">
        <f t="shared" si="138"/>
        <v>29.592322895838326</v>
      </c>
      <c r="R183" s="386">
        <f t="shared" si="173"/>
        <v>12.028807574262716</v>
      </c>
      <c r="S183" s="386">
        <f t="shared" si="174"/>
        <v>1.7276865073829391</v>
      </c>
      <c r="T183" s="386">
        <f t="shared" si="175"/>
        <v>13.756494081645656</v>
      </c>
      <c r="U183" s="4">
        <f t="shared" si="139"/>
        <v>13.237454941282799</v>
      </c>
      <c r="V183" s="386">
        <f t="shared" si="176"/>
        <v>0.35046042664498478</v>
      </c>
      <c r="W183" s="386">
        <f t="shared" si="177"/>
        <v>0.35046042664498478</v>
      </c>
      <c r="X183" s="386">
        <f t="shared" si="140"/>
        <v>1.6271694971853388</v>
      </c>
      <c r="Y183" s="386">
        <f t="shared" si="178"/>
        <v>5.2953611451407763E-3</v>
      </c>
      <c r="Z183" s="603">
        <f t="shared" si="179"/>
        <v>5.2953611451407763E-3</v>
      </c>
      <c r="AA183" s="386">
        <f t="shared" si="141"/>
        <v>29.592322895838326</v>
      </c>
      <c r="AB183" s="386">
        <f t="shared" si="142"/>
        <v>4.9915217739178761</v>
      </c>
      <c r="AC183" s="386">
        <f t="shared" si="143"/>
        <v>0</v>
      </c>
      <c r="AD183">
        <f t="shared" si="144"/>
        <v>0</v>
      </c>
      <c r="AE183" s="386">
        <f t="shared" si="145"/>
        <v>2943.7300477528497</v>
      </c>
      <c r="AF183" s="386">
        <f t="shared" si="146"/>
        <v>0</v>
      </c>
      <c r="AG183" s="386">
        <f t="shared" si="147"/>
        <v>0</v>
      </c>
      <c r="AH183" s="386">
        <f t="shared" si="148"/>
        <v>0</v>
      </c>
      <c r="AI183" s="386">
        <f t="shared" si="149"/>
        <v>0</v>
      </c>
      <c r="AJ183" s="386">
        <f t="shared" si="150"/>
        <v>23.499388036519193</v>
      </c>
      <c r="AK183" s="386">
        <f t="shared" si="151"/>
        <v>1.0492203523727126</v>
      </c>
      <c r="AL183" s="386">
        <f t="shared" si="152"/>
        <v>2.5874905196759852</v>
      </c>
      <c r="AM183">
        <f t="shared" si="153"/>
        <v>0</v>
      </c>
      <c r="AN183" s="386">
        <f t="shared" si="154"/>
        <v>4.6025230415378786</v>
      </c>
      <c r="AO183" s="386">
        <f t="shared" si="155"/>
        <v>17.98567030390182</v>
      </c>
      <c r="AP183" s="386">
        <f t="shared" si="156"/>
        <v>0.61462023893324602</v>
      </c>
      <c r="AQ183" s="386">
        <f t="shared" si="157"/>
        <v>1.4182825484764543</v>
      </c>
      <c r="AR183" s="386">
        <f t="shared" si="158"/>
        <v>2.3178184081772564</v>
      </c>
      <c r="AS183" s="386">
        <f t="shared" si="159"/>
        <v>4.9915217739178761</v>
      </c>
      <c r="AT183" s="386">
        <f t="shared" si="160"/>
        <v>0</v>
      </c>
      <c r="AU183" s="386">
        <f t="shared" si="161"/>
        <v>0.95039999999999991</v>
      </c>
      <c r="AV183" s="386">
        <f t="shared" si="162"/>
        <v>1.6566637142727041</v>
      </c>
      <c r="AW183" s="386">
        <f t="shared" si="163"/>
        <v>0.249</v>
      </c>
      <c r="AX183" s="386">
        <f t="shared" si="164"/>
        <v>0.14400000000000002</v>
      </c>
      <c r="AY183" s="386">
        <f t="shared" si="165"/>
        <v>1.2671999999999999</v>
      </c>
      <c r="AZ183" s="386">
        <f t="shared" si="166"/>
        <v>0.10439999999999998</v>
      </c>
      <c r="BA183" s="386">
        <f t="shared" si="180"/>
        <v>1.4112</v>
      </c>
      <c r="BB183" s="386">
        <f t="shared" si="181"/>
        <v>2969.0299027862734</v>
      </c>
      <c r="BC183">
        <f t="shared" si="167"/>
        <v>480</v>
      </c>
      <c r="BD183" s="604">
        <f t="shared" si="182"/>
        <v>0.13916956753904497</v>
      </c>
      <c r="BE183" s="614">
        <f t="shared" si="168"/>
        <v>277.64615207689394</v>
      </c>
      <c r="BF183" s="614">
        <f t="shared" si="169"/>
        <v>115.89092040886283</v>
      </c>
      <c r="BG183" s="9"/>
      <c r="BH183" s="4">
        <f t="shared" si="183"/>
        <v>13.916956753904497</v>
      </c>
      <c r="BI183" s="386">
        <f t="shared" si="184"/>
        <v>13.756494081645656</v>
      </c>
      <c r="BJ183" s="386">
        <f t="shared" si="185"/>
        <v>2951.600789202565</v>
      </c>
      <c r="BK183" s="386">
        <f t="shared" si="186"/>
        <v>0.31363199999999997</v>
      </c>
      <c r="BL183" s="386">
        <f t="shared" si="187"/>
        <v>1.6566637142727041</v>
      </c>
    </row>
    <row r="184" spans="7:64" x14ac:dyDescent="0.3">
      <c r="G184">
        <v>175</v>
      </c>
      <c r="H184" s="610">
        <f t="shared" si="131"/>
        <v>18.125</v>
      </c>
      <c r="I184" s="4" t="str">
        <f t="shared" si="132"/>
        <v>BOOST</v>
      </c>
      <c r="J184">
        <f t="shared" si="170"/>
        <v>2</v>
      </c>
      <c r="K184">
        <f t="shared" si="133"/>
        <v>10</v>
      </c>
      <c r="L184" s="4">
        <f t="shared" si="134"/>
        <v>29.425287356321839</v>
      </c>
      <c r="M184" s="4">
        <f t="shared" si="135"/>
        <v>26.954800502583076</v>
      </c>
      <c r="N184" s="386">
        <f t="shared" si="136"/>
        <v>1</v>
      </c>
      <c r="O184" s="386">
        <f t="shared" si="172"/>
        <v>0.62900856939966221</v>
      </c>
      <c r="P184" s="4">
        <f t="shared" si="137"/>
        <v>5.6467303541965697</v>
      </c>
      <c r="Q184" s="386">
        <f t="shared" si="138"/>
        <v>29.470403226115931</v>
      </c>
      <c r="R184" s="386">
        <f t="shared" si="173"/>
        <v>11.836234704911524</v>
      </c>
      <c r="S184" s="386">
        <f t="shared" si="174"/>
        <v>1.7347919172880217</v>
      </c>
      <c r="T184" s="386">
        <f t="shared" si="175"/>
        <v>13.571026622199545</v>
      </c>
      <c r="U184" s="4">
        <f t="shared" si="139"/>
        <v>13.192919178618443</v>
      </c>
      <c r="V184" s="386">
        <f t="shared" si="176"/>
        <v>0.34810623290711662</v>
      </c>
      <c r="W184" s="386">
        <f t="shared" si="177"/>
        <v>0.34810623290711662</v>
      </c>
      <c r="X184" s="386">
        <f t="shared" si="140"/>
        <v>1.6300706450183102</v>
      </c>
      <c r="Y184" s="386">
        <f t="shared" si="178"/>
        <v>5.3142606155008199E-3</v>
      </c>
      <c r="Z184" s="603">
        <f t="shared" si="179"/>
        <v>5.3142606155008199E-3</v>
      </c>
      <c r="AA184" s="386">
        <f t="shared" si="141"/>
        <v>29.470403226115931</v>
      </c>
      <c r="AB184" s="386">
        <f t="shared" si="142"/>
        <v>4.950476597966226</v>
      </c>
      <c r="AC184" s="386">
        <f t="shared" si="143"/>
        <v>0</v>
      </c>
      <c r="AD184">
        <f t="shared" si="144"/>
        <v>0</v>
      </c>
      <c r="AE184" s="386">
        <f t="shared" si="145"/>
        <v>499.81184598243789</v>
      </c>
      <c r="AF184" s="386">
        <f t="shared" si="146"/>
        <v>0</v>
      </c>
      <c r="AG184" s="386">
        <f t="shared" si="147"/>
        <v>0</v>
      </c>
      <c r="AH184" s="386">
        <f t="shared" si="148"/>
        <v>0</v>
      </c>
      <c r="AI184" s="386">
        <f t="shared" si="149"/>
        <v>0</v>
      </c>
      <c r="AJ184" s="386">
        <f t="shared" si="150"/>
        <v>23.372994623550031</v>
      </c>
      <c r="AK184" s="386">
        <f t="shared" si="151"/>
        <v>1.0379640675777475</v>
      </c>
      <c r="AL184" s="386">
        <f t="shared" si="152"/>
        <v>2.5767836623531886</v>
      </c>
      <c r="AM184">
        <f t="shared" si="153"/>
        <v>0</v>
      </c>
      <c r="AN184" s="386">
        <f t="shared" si="154"/>
        <v>4.5617301200509353</v>
      </c>
      <c r="AO184" s="386">
        <f t="shared" si="155"/>
        <v>17.950147315199548</v>
      </c>
      <c r="AP184" s="386">
        <f t="shared" si="156"/>
        <v>0.61219479841099445</v>
      </c>
      <c r="AQ184" s="386">
        <f t="shared" si="157"/>
        <v>1.4124137931034484</v>
      </c>
      <c r="AR184" s="386">
        <f t="shared" si="158"/>
        <v>2.3070857735220884</v>
      </c>
      <c r="AS184" s="386">
        <f t="shared" si="159"/>
        <v>4.950476597966226</v>
      </c>
      <c r="AT184" s="386">
        <f t="shared" si="160"/>
        <v>0</v>
      </c>
      <c r="AU184" s="386">
        <f t="shared" si="161"/>
        <v>0.95039999999999991</v>
      </c>
      <c r="AV184" s="386">
        <f t="shared" si="162"/>
        <v>1.6388906330174962</v>
      </c>
      <c r="AW184" s="386">
        <f t="shared" si="163"/>
        <v>0.249</v>
      </c>
      <c r="AX184" s="386">
        <f t="shared" si="164"/>
        <v>0.14400000000000002</v>
      </c>
      <c r="AY184" s="386">
        <f t="shared" si="165"/>
        <v>1.2671999999999999</v>
      </c>
      <c r="AZ184" s="386">
        <f t="shared" si="166"/>
        <v>0.10439999999999998</v>
      </c>
      <c r="BA184" s="386">
        <f t="shared" si="180"/>
        <v>1.4112</v>
      </c>
      <c r="BB184" s="386">
        <f t="shared" si="181"/>
        <v>524.85459962475056</v>
      </c>
      <c r="BC184">
        <f t="shared" si="167"/>
        <v>480</v>
      </c>
      <c r="BD184" s="604">
        <f t="shared" si="182"/>
        <v>0.47768104975510839</v>
      </c>
      <c r="BE184" s="614">
        <f t="shared" si="168"/>
        <v>275.60650600254678</v>
      </c>
      <c r="BF184" s="614">
        <f t="shared" si="169"/>
        <v>115.35428867610442</v>
      </c>
      <c r="BG184" s="9"/>
      <c r="BH184" s="4">
        <f t="shared" si="183"/>
        <v>47.768104975510838</v>
      </c>
      <c r="BI184" s="386">
        <f t="shared" si="184"/>
        <v>13.571026622199545</v>
      </c>
      <c r="BJ184" s="386">
        <f t="shared" si="185"/>
        <v>507.6310618760109</v>
      </c>
      <c r="BK184" s="386">
        <f t="shared" si="186"/>
        <v>0.31363199999999997</v>
      </c>
      <c r="BL184" s="386">
        <f t="shared" si="187"/>
        <v>1.6388906330174962</v>
      </c>
    </row>
    <row r="185" spans="7:64" x14ac:dyDescent="0.3">
      <c r="G185">
        <v>176</v>
      </c>
      <c r="H185" s="610">
        <f t="shared" si="131"/>
        <v>18.2</v>
      </c>
      <c r="I185" s="4" t="str">
        <f t="shared" si="132"/>
        <v>BOOST</v>
      </c>
      <c r="J185">
        <f t="shared" si="170"/>
        <v>2</v>
      </c>
      <c r="K185">
        <f t="shared" si="133"/>
        <v>10</v>
      </c>
      <c r="L185" s="4">
        <f t="shared" si="134"/>
        <v>29.304029304029307</v>
      </c>
      <c r="M185" s="4">
        <f t="shared" si="135"/>
        <v>26.839578117946402</v>
      </c>
      <c r="N185" s="386">
        <f t="shared" si="136"/>
        <v>1</v>
      </c>
      <c r="O185" s="386">
        <f t="shared" si="172"/>
        <v>0.62741590214067278</v>
      </c>
      <c r="P185" s="4">
        <f t="shared" si="137"/>
        <v>5.6566556730165303</v>
      </c>
      <c r="Q185" s="386">
        <f t="shared" si="138"/>
        <v>29.349490845697208</v>
      </c>
      <c r="R185" s="386">
        <f t="shared" si="173"/>
        <v>11.64898322518677</v>
      </c>
      <c r="S185" s="386">
        <f t="shared" si="174"/>
        <v>1.7418254708356284</v>
      </c>
      <c r="T185" s="386">
        <f t="shared" si="175"/>
        <v>13.390808696022399</v>
      </c>
      <c r="U185" s="4">
        <f t="shared" si="139"/>
        <v>13.148612857625411</v>
      </c>
      <c r="V185" s="386">
        <f t="shared" si="176"/>
        <v>0.34577204015942453</v>
      </c>
      <c r="W185" s="386">
        <f t="shared" si="177"/>
        <v>0.34577204015942453</v>
      </c>
      <c r="X185" s="386">
        <f t="shared" si="140"/>
        <v>1.6329358377645589</v>
      </c>
      <c r="Y185" s="386">
        <f t="shared" si="178"/>
        <v>5.3329589005116839E-3</v>
      </c>
      <c r="Z185" s="603">
        <f t="shared" si="179"/>
        <v>5.3329589005116839E-3</v>
      </c>
      <c r="AA185" s="386">
        <f t="shared" si="141"/>
        <v>29.349490845697208</v>
      </c>
      <c r="AB185" s="386">
        <f t="shared" si="142"/>
        <v>4.9099378935394862</v>
      </c>
      <c r="AC185" s="386">
        <f t="shared" si="143"/>
        <v>0</v>
      </c>
      <c r="AD185">
        <f t="shared" si="144"/>
        <v>0</v>
      </c>
      <c r="AE185" s="386">
        <f t="shared" si="145"/>
        <v>272.58622335755371</v>
      </c>
      <c r="AF185" s="386">
        <f t="shared" si="146"/>
        <v>0</v>
      </c>
      <c r="AG185" s="386">
        <f t="shared" si="147"/>
        <v>0</v>
      </c>
      <c r="AH185" s="386">
        <f t="shared" si="148"/>
        <v>0</v>
      </c>
      <c r="AI185" s="386">
        <f t="shared" si="149"/>
        <v>0</v>
      </c>
      <c r="AJ185" s="386">
        <f t="shared" si="150"/>
        <v>23.247611131490672</v>
      </c>
      <c r="AK185" s="386">
        <f t="shared" si="151"/>
        <v>1.026857704309917</v>
      </c>
      <c r="AL185" s="386">
        <f t="shared" si="152"/>
        <v>2.5661650483599745</v>
      </c>
      <c r="AM185">
        <f t="shared" si="153"/>
        <v>0</v>
      </c>
      <c r="AN185" s="386">
        <f t="shared" si="154"/>
        <v>4.5216386492971425</v>
      </c>
      <c r="AO185" s="386">
        <f t="shared" si="155"/>
        <v>17.914831553231398</v>
      </c>
      <c r="AP185" s="386">
        <f t="shared" si="156"/>
        <v>0.60978826020324506</v>
      </c>
      <c r="AQ185" s="386">
        <f t="shared" si="157"/>
        <v>1.4065934065934067</v>
      </c>
      <c r="AR185" s="386">
        <f t="shared" si="158"/>
        <v>2.2964514997288035</v>
      </c>
      <c r="AS185" s="386">
        <f t="shared" si="159"/>
        <v>4.9099378935394862</v>
      </c>
      <c r="AT185" s="386">
        <f t="shared" si="160"/>
        <v>0</v>
      </c>
      <c r="AU185" s="386">
        <f t="shared" si="161"/>
        <v>0.95039999999999991</v>
      </c>
      <c r="AV185" s="386">
        <f t="shared" si="162"/>
        <v>1.621354269963027</v>
      </c>
      <c r="AW185" s="386">
        <f t="shared" si="163"/>
        <v>0.249</v>
      </c>
      <c r="AX185" s="386">
        <f t="shared" si="164"/>
        <v>0.14400000000000002</v>
      </c>
      <c r="AY185" s="386">
        <f t="shared" si="165"/>
        <v>1.2671999999999999</v>
      </c>
      <c r="AZ185" s="386">
        <f t="shared" si="166"/>
        <v>0.10439999999999998</v>
      </c>
      <c r="BA185" s="386">
        <f t="shared" si="180"/>
        <v>1.4112</v>
      </c>
      <c r="BB185" s="386">
        <f t="shared" si="181"/>
        <v>297.37818147162506</v>
      </c>
      <c r="BC185">
        <f t="shared" si="167"/>
        <v>480</v>
      </c>
      <c r="BD185" s="604">
        <f t="shared" si="182"/>
        <v>0.61746008756166815</v>
      </c>
      <c r="BE185" s="614">
        <f t="shared" si="168"/>
        <v>273.60193246485716</v>
      </c>
      <c r="BF185" s="614">
        <f t="shared" si="169"/>
        <v>114.82257498644017</v>
      </c>
      <c r="BG185" s="9"/>
      <c r="BH185" s="4">
        <f t="shared" si="183"/>
        <v>61.746008756166816</v>
      </c>
      <c r="BI185" s="386">
        <f t="shared" si="184"/>
        <v>13.390808696022399</v>
      </c>
      <c r="BJ185" s="386">
        <f t="shared" si="185"/>
        <v>280.35471350657963</v>
      </c>
      <c r="BK185" s="386">
        <f t="shared" si="186"/>
        <v>0.31363199999999997</v>
      </c>
      <c r="BL185" s="386">
        <f t="shared" si="187"/>
        <v>1.621354269963027</v>
      </c>
    </row>
    <row r="186" spans="7:64" x14ac:dyDescent="0.3">
      <c r="G186">
        <v>177</v>
      </c>
      <c r="H186" s="610">
        <f t="shared" si="131"/>
        <v>18.274999999999999</v>
      </c>
      <c r="I186" s="4" t="str">
        <f t="shared" si="132"/>
        <v>BOOST</v>
      </c>
      <c r="J186">
        <f t="shared" si="170"/>
        <v>2</v>
      </c>
      <c r="K186">
        <f t="shared" si="133"/>
        <v>10</v>
      </c>
      <c r="L186" s="4">
        <f t="shared" si="134"/>
        <v>29.183766529867764</v>
      </c>
      <c r="M186" s="4">
        <f t="shared" si="135"/>
        <v>26.725354329306729</v>
      </c>
      <c r="N186" s="386">
        <f t="shared" si="136"/>
        <v>1</v>
      </c>
      <c r="O186" s="386">
        <f t="shared" si="172"/>
        <v>0.62582348294502832</v>
      </c>
      <c r="P186" s="4">
        <f t="shared" si="137"/>
        <v>5.6664565164039358</v>
      </c>
      <c r="Q186" s="386">
        <f t="shared" si="138"/>
        <v>29.229573317518476</v>
      </c>
      <c r="R186" s="386">
        <f t="shared" si="173"/>
        <v>11.466840118483104</v>
      </c>
      <c r="S186" s="386">
        <f t="shared" si="174"/>
        <v>1.7487866247423751</v>
      </c>
      <c r="T186" s="386">
        <f t="shared" si="175"/>
        <v>13.215626743225478</v>
      </c>
      <c r="U186" s="4">
        <f t="shared" si="139"/>
        <v>13.104533271709698</v>
      </c>
      <c r="V186" s="386">
        <f t="shared" si="176"/>
        <v>0.34345758453869296</v>
      </c>
      <c r="W186" s="386">
        <f t="shared" si="177"/>
        <v>0.34345758453869296</v>
      </c>
      <c r="X186" s="386">
        <f t="shared" si="140"/>
        <v>1.6357650975485607</v>
      </c>
      <c r="Y186" s="386">
        <f t="shared" si="178"/>
        <v>5.3514549087161044E-3</v>
      </c>
      <c r="Z186" s="603">
        <f t="shared" si="179"/>
        <v>5.3514549087161044E-3</v>
      </c>
      <c r="AA186" s="386">
        <f t="shared" si="141"/>
        <v>29.229573317518476</v>
      </c>
      <c r="AB186" s="386">
        <f t="shared" si="142"/>
        <v>4.8698973510478725</v>
      </c>
      <c r="AC186" s="386">
        <f t="shared" si="143"/>
        <v>0</v>
      </c>
      <c r="AD186">
        <f t="shared" si="144"/>
        <v>0</v>
      </c>
      <c r="AE186" s="386">
        <f t="shared" si="145"/>
        <v>187.15596455072196</v>
      </c>
      <c r="AF186" s="386">
        <f t="shared" si="146"/>
        <v>0</v>
      </c>
      <c r="AG186" s="386">
        <f t="shared" si="147"/>
        <v>0</v>
      </c>
      <c r="AH186" s="386">
        <f t="shared" si="148"/>
        <v>0</v>
      </c>
      <c r="AI186" s="386">
        <f t="shared" si="149"/>
        <v>0</v>
      </c>
      <c r="AJ186" s="386">
        <f t="shared" si="150"/>
        <v>23.123224907945456</v>
      </c>
      <c r="AK186" s="386">
        <f t="shared" si="151"/>
        <v>1.0158987072725154</v>
      </c>
      <c r="AL186" s="386">
        <f t="shared" si="152"/>
        <v>2.5556335912531623</v>
      </c>
      <c r="AM186">
        <f t="shared" si="153"/>
        <v>0</v>
      </c>
      <c r="AN186" s="386">
        <f t="shared" si="154"/>
        <v>4.4822307919794815</v>
      </c>
      <c r="AO186" s="386">
        <f t="shared" si="155"/>
        <v>17.879721087890573</v>
      </c>
      <c r="AP186" s="386">
        <f t="shared" si="156"/>
        <v>0.60740040974344178</v>
      </c>
      <c r="AQ186" s="386">
        <f t="shared" si="157"/>
        <v>1.4008207934336527</v>
      </c>
      <c r="AR186" s="386">
        <f t="shared" si="158"/>
        <v>2.2859142540918467</v>
      </c>
      <c r="AS186" s="386">
        <f t="shared" si="159"/>
        <v>4.8698973510478725</v>
      </c>
      <c r="AT186" s="386">
        <f t="shared" si="160"/>
        <v>0</v>
      </c>
      <c r="AU186" s="386">
        <f t="shared" si="161"/>
        <v>0.95039999999999991</v>
      </c>
      <c r="AV186" s="386">
        <f t="shared" si="162"/>
        <v>1.6040505904302875</v>
      </c>
      <c r="AW186" s="386">
        <f t="shared" si="163"/>
        <v>0.249</v>
      </c>
      <c r="AX186" s="386">
        <f t="shared" si="164"/>
        <v>0.14400000000000002</v>
      </c>
      <c r="AY186" s="386">
        <f t="shared" si="165"/>
        <v>1.2671999999999999</v>
      </c>
      <c r="AZ186" s="386">
        <f t="shared" si="166"/>
        <v>0.10439999999999998</v>
      </c>
      <c r="BA186" s="386">
        <f t="shared" si="180"/>
        <v>1.4112</v>
      </c>
      <c r="BB186" s="386">
        <f t="shared" si="181"/>
        <v>211.70319596989646</v>
      </c>
      <c r="BC186">
        <f t="shared" si="167"/>
        <v>480</v>
      </c>
      <c r="BD186" s="604">
        <f t="shared" si="182"/>
        <v>0.69393925428803427</v>
      </c>
      <c r="BE186" s="614">
        <f t="shared" si="168"/>
        <v>271.63153959897409</v>
      </c>
      <c r="BF186" s="614">
        <f t="shared" si="169"/>
        <v>114.29571270459233</v>
      </c>
      <c r="BG186" s="9"/>
      <c r="BH186" s="4">
        <f t="shared" si="183"/>
        <v>69.393925428803428</v>
      </c>
      <c r="BI186" s="386">
        <f t="shared" si="184"/>
        <v>13.215626743225478</v>
      </c>
      <c r="BJ186" s="386">
        <f t="shared" si="185"/>
        <v>194.87450959679327</v>
      </c>
      <c r="BK186" s="386">
        <f t="shared" si="186"/>
        <v>0.31363199999999997</v>
      </c>
      <c r="BL186" s="386">
        <f t="shared" si="187"/>
        <v>1.6040505904302875</v>
      </c>
    </row>
    <row r="187" spans="7:64" x14ac:dyDescent="0.3">
      <c r="G187">
        <v>178</v>
      </c>
      <c r="H187" s="610">
        <f t="shared" si="131"/>
        <v>18.350000000000001</v>
      </c>
      <c r="I187" s="4" t="str">
        <f t="shared" si="132"/>
        <v>BOOST</v>
      </c>
      <c r="J187">
        <f t="shared" si="170"/>
        <v>2</v>
      </c>
      <c r="K187">
        <f t="shared" si="133"/>
        <v>10</v>
      </c>
      <c r="L187" s="4">
        <f t="shared" si="134"/>
        <v>29.064486830154404</v>
      </c>
      <c r="M187" s="4">
        <f t="shared" si="135"/>
        <v>26.612115999202928</v>
      </c>
      <c r="N187" s="386">
        <f t="shared" si="136"/>
        <v>1</v>
      </c>
      <c r="O187" s="386">
        <f t="shared" si="172"/>
        <v>0.62423130876554445</v>
      </c>
      <c r="P187" s="4">
        <f t="shared" si="137"/>
        <v>5.6761329597383678</v>
      </c>
      <c r="Q187" s="386">
        <f t="shared" si="138"/>
        <v>29.110638407317769</v>
      </c>
      <c r="R187" s="386">
        <f t="shared" si="173"/>
        <v>11.289603544200235</v>
      </c>
      <c r="S187" s="386">
        <f t="shared" si="174"/>
        <v>1.7556748422733561</v>
      </c>
      <c r="T187" s="386">
        <f t="shared" si="175"/>
        <v>13.045278386473591</v>
      </c>
      <c r="U187" s="4">
        <f t="shared" si="139"/>
        <v>13.060677756609303</v>
      </c>
      <c r="V187" s="386">
        <f t="shared" si="176"/>
        <v>0.34116260692397804</v>
      </c>
      <c r="W187" s="386">
        <f t="shared" si="177"/>
        <v>0.34116260692397804</v>
      </c>
      <c r="X187" s="386">
        <f t="shared" si="140"/>
        <v>1.6385584461305271</v>
      </c>
      <c r="Y187" s="386">
        <f t="shared" si="178"/>
        <v>5.3697475627713757E-3</v>
      </c>
      <c r="Z187" s="603">
        <f t="shared" si="179"/>
        <v>5.3697475627713757E-3</v>
      </c>
      <c r="AA187" s="386">
        <f t="shared" si="141"/>
        <v>29.110638407317769</v>
      </c>
      <c r="AB187" s="386">
        <f t="shared" si="142"/>
        <v>4.8303468303451451</v>
      </c>
      <c r="AC187" s="386">
        <f t="shared" si="143"/>
        <v>0</v>
      </c>
      <c r="AD187">
        <f t="shared" si="144"/>
        <v>0</v>
      </c>
      <c r="AE187" s="386">
        <f t="shared" si="145"/>
        <v>142.35946313800335</v>
      </c>
      <c r="AF187" s="386">
        <f t="shared" si="146"/>
        <v>0</v>
      </c>
      <c r="AG187" s="386">
        <f t="shared" si="147"/>
        <v>0</v>
      </c>
      <c r="AH187" s="386">
        <f t="shared" si="148"/>
        <v>0</v>
      </c>
      <c r="AI187" s="386">
        <f t="shared" si="149"/>
        <v>0</v>
      </c>
      <c r="AJ187" s="386">
        <f t="shared" si="150"/>
        <v>22.999823506942391</v>
      </c>
      <c r="AK187" s="386">
        <f t="shared" si="151"/>
        <v>1.0050845745659498</v>
      </c>
      <c r="AL187" s="386">
        <f t="shared" si="152"/>
        <v>2.5451882223515825</v>
      </c>
      <c r="AM187">
        <f t="shared" si="153"/>
        <v>0</v>
      </c>
      <c r="AN187" s="386">
        <f t="shared" si="154"/>
        <v>4.443489309328486</v>
      </c>
      <c r="AO187" s="386">
        <f t="shared" si="155"/>
        <v>17.844814012230682</v>
      </c>
      <c r="AP187" s="386">
        <f t="shared" si="156"/>
        <v>0.60503103554909843</v>
      </c>
      <c r="AQ187" s="386">
        <f t="shared" si="157"/>
        <v>1.3950953678474114</v>
      </c>
      <c r="AR187" s="386">
        <f t="shared" si="158"/>
        <v>2.2754727275376809</v>
      </c>
      <c r="AS187" s="386">
        <f t="shared" si="159"/>
        <v>4.8303468303451451</v>
      </c>
      <c r="AT187" s="386">
        <f t="shared" si="160"/>
        <v>0</v>
      </c>
      <c r="AU187" s="386">
        <f t="shared" si="161"/>
        <v>0.95039999999999991</v>
      </c>
      <c r="AV187" s="386">
        <f t="shared" si="162"/>
        <v>1.5869756440514995</v>
      </c>
      <c r="AW187" s="386">
        <f t="shared" si="163"/>
        <v>0.249</v>
      </c>
      <c r="AX187" s="386">
        <f t="shared" si="164"/>
        <v>0.14400000000000002</v>
      </c>
      <c r="AY187" s="386">
        <f t="shared" si="165"/>
        <v>1.2671999999999999</v>
      </c>
      <c r="AZ187" s="386">
        <f t="shared" si="166"/>
        <v>0.10439999999999998</v>
      </c>
      <c r="BA187" s="386">
        <f t="shared" si="180"/>
        <v>1.4112</v>
      </c>
      <c r="BB187" s="386">
        <f t="shared" si="181"/>
        <v>166.66781155988139</v>
      </c>
      <c r="BC187">
        <f t="shared" si="167"/>
        <v>480</v>
      </c>
      <c r="BD187" s="604">
        <f t="shared" si="182"/>
        <v>0.74226672708844432</v>
      </c>
      <c r="BE187" s="614">
        <f t="shared" si="168"/>
        <v>269.69446546642428</v>
      </c>
      <c r="BF187" s="614">
        <f t="shared" si="169"/>
        <v>113.77363637688404</v>
      </c>
      <c r="BG187" s="9"/>
      <c r="BH187" s="4">
        <f t="shared" si="183"/>
        <v>74.226672708844433</v>
      </c>
      <c r="BI187" s="386">
        <f t="shared" si="184"/>
        <v>13.045278386473591</v>
      </c>
      <c r="BJ187" s="386">
        <f t="shared" si="185"/>
        <v>150.02882517486952</v>
      </c>
      <c r="BK187" s="386">
        <f t="shared" si="186"/>
        <v>0.31363199999999997</v>
      </c>
      <c r="BL187" s="386">
        <f t="shared" si="187"/>
        <v>1.5869756440514995</v>
      </c>
    </row>
    <row r="188" spans="7:64" x14ac:dyDescent="0.3">
      <c r="G188">
        <v>179</v>
      </c>
      <c r="H188" s="610">
        <f t="shared" si="131"/>
        <v>18.425000000000001</v>
      </c>
      <c r="I188" s="4" t="str">
        <f t="shared" si="132"/>
        <v>BOOST</v>
      </c>
      <c r="J188">
        <f t="shared" si="170"/>
        <v>2</v>
      </c>
      <c r="K188">
        <f t="shared" si="133"/>
        <v>10</v>
      </c>
      <c r="L188" s="4">
        <f t="shared" si="134"/>
        <v>28.946178199909543</v>
      </c>
      <c r="M188" s="4">
        <f t="shared" si="135"/>
        <v>26.499850222914578</v>
      </c>
      <c r="N188" s="386">
        <f t="shared" si="136"/>
        <v>1</v>
      </c>
      <c r="O188" s="386">
        <f t="shared" si="172"/>
        <v>0.62263937660474244</v>
      </c>
      <c r="P188" s="4">
        <f t="shared" si="137"/>
        <v>5.6856850771634111</v>
      </c>
      <c r="Q188" s="386">
        <f t="shared" si="138"/>
        <v>28.99267407950915</v>
      </c>
      <c r="R188" s="386">
        <f t="shared" si="173"/>
        <v>11.117082114780031</v>
      </c>
      <c r="S188" s="386">
        <f t="shared" si="174"/>
        <v>1.7624895932570868</v>
      </c>
      <c r="T188" s="386">
        <f t="shared" si="175"/>
        <v>12.879571708037117</v>
      </c>
      <c r="U188" s="4">
        <f t="shared" si="139"/>
        <v>13.017043689523822</v>
      </c>
      <c r="V188" s="386">
        <f t="shared" si="176"/>
        <v>0.33888685282994391</v>
      </c>
      <c r="W188" s="386">
        <f t="shared" si="177"/>
        <v>0.33888685282994391</v>
      </c>
      <c r="X188" s="386">
        <f t="shared" si="140"/>
        <v>1.6413159049138668</v>
      </c>
      <c r="Y188" s="386">
        <f t="shared" si="178"/>
        <v>5.3878357994464514E-3</v>
      </c>
      <c r="Z188" s="603">
        <f t="shared" si="179"/>
        <v>5.3878357994464514E-3</v>
      </c>
      <c r="AA188" s="386">
        <f t="shared" si="141"/>
        <v>28.99267407950915</v>
      </c>
      <c r="AB188" s="386">
        <f t="shared" si="142"/>
        <v>4.7912783565996584</v>
      </c>
      <c r="AC188" s="386">
        <f t="shared" si="143"/>
        <v>0</v>
      </c>
      <c r="AD188">
        <f t="shared" si="144"/>
        <v>0</v>
      </c>
      <c r="AE188" s="386">
        <f t="shared" si="145"/>
        <v>114.77674951537415</v>
      </c>
      <c r="AF188" s="386">
        <f t="shared" si="146"/>
        <v>0</v>
      </c>
      <c r="AG188" s="386">
        <f t="shared" si="147"/>
        <v>0</v>
      </c>
      <c r="AH188" s="386">
        <f t="shared" si="148"/>
        <v>0</v>
      </c>
      <c r="AI188" s="386">
        <f t="shared" si="149"/>
        <v>0</v>
      </c>
      <c r="AJ188" s="386">
        <f t="shared" si="150"/>
        <v>22.877394684713916</v>
      </c>
      <c r="AK188" s="386">
        <f t="shared" si="151"/>
        <v>0.99441285636433541</v>
      </c>
      <c r="AL188" s="386">
        <f t="shared" si="152"/>
        <v>2.5348278903745749</v>
      </c>
      <c r="AM188">
        <f t="shared" si="153"/>
        <v>0</v>
      </c>
      <c r="AN188" s="386">
        <f t="shared" si="154"/>
        <v>4.4053975362218694</v>
      </c>
      <c r="AO188" s="386">
        <f t="shared" si="155"/>
        <v>17.810108442130982</v>
      </c>
      <c r="AP188" s="386">
        <f t="shared" si="156"/>
        <v>0.60267992916888402</v>
      </c>
      <c r="AQ188" s="386">
        <f t="shared" si="157"/>
        <v>1.3894165535956582</v>
      </c>
      <c r="AR188" s="386">
        <f t="shared" si="158"/>
        <v>2.2651256341092605</v>
      </c>
      <c r="AS188" s="386">
        <f t="shared" si="159"/>
        <v>4.7912783565996584</v>
      </c>
      <c r="AT188" s="386">
        <f t="shared" si="160"/>
        <v>0</v>
      </c>
      <c r="AU188" s="386">
        <f t="shared" si="161"/>
        <v>0.95039999999999991</v>
      </c>
      <c r="AV188" s="386">
        <f t="shared" si="162"/>
        <v>1.5701255626805297</v>
      </c>
      <c r="AW188" s="386">
        <f t="shared" si="163"/>
        <v>0.249</v>
      </c>
      <c r="AX188" s="386">
        <f t="shared" si="164"/>
        <v>0.14400000000000002</v>
      </c>
      <c r="AY188" s="386">
        <f t="shared" si="165"/>
        <v>1.2671999999999999</v>
      </c>
      <c r="AZ188" s="386">
        <f t="shared" si="166"/>
        <v>0.10439999999999998</v>
      </c>
      <c r="BA188" s="386">
        <f t="shared" si="180"/>
        <v>1.4112</v>
      </c>
      <c r="BB188" s="386">
        <f t="shared" si="181"/>
        <v>138.85184464505232</v>
      </c>
      <c r="BC188">
        <f t="shared" si="167"/>
        <v>480</v>
      </c>
      <c r="BD188" s="604">
        <f t="shared" si="182"/>
        <v>0.7756299090864115</v>
      </c>
      <c r="BE188" s="614">
        <f t="shared" si="168"/>
        <v>267.78987681109345</v>
      </c>
      <c r="BF188" s="614">
        <f t="shared" si="169"/>
        <v>113.25628170546302</v>
      </c>
      <c r="BG188" s="9"/>
      <c r="BH188" s="4">
        <f t="shared" si="183"/>
        <v>77.562990908641154</v>
      </c>
      <c r="BI188" s="386">
        <f t="shared" si="184"/>
        <v>12.879571708037117</v>
      </c>
      <c r="BJ188" s="386">
        <f t="shared" si="185"/>
        <v>122.39767268570529</v>
      </c>
      <c r="BK188" s="386">
        <f t="shared" si="186"/>
        <v>0.31363199999999997</v>
      </c>
      <c r="BL188" s="386">
        <f t="shared" si="187"/>
        <v>1.5701255626805297</v>
      </c>
    </row>
    <row r="189" spans="7:64" x14ac:dyDescent="0.3">
      <c r="G189">
        <v>180</v>
      </c>
      <c r="H189" s="610">
        <f t="shared" si="131"/>
        <v>18.5</v>
      </c>
      <c r="I189" s="4" t="str">
        <f t="shared" si="132"/>
        <v>BOOST</v>
      </c>
      <c r="J189">
        <f t="shared" si="170"/>
        <v>2</v>
      </c>
      <c r="K189">
        <f t="shared" si="133"/>
        <v>10</v>
      </c>
      <c r="L189" s="4">
        <f t="shared" si="134"/>
        <v>28.828828828828826</v>
      </c>
      <c r="M189" s="4">
        <f t="shared" si="135"/>
        <v>26.38854432326761</v>
      </c>
      <c r="N189" s="386">
        <f t="shared" si="136"/>
        <v>1</v>
      </c>
      <c r="O189" s="386">
        <f t="shared" si="172"/>
        <v>0.62104768351383877</v>
      </c>
      <c r="P189" s="4">
        <f t="shared" si="137"/>
        <v>5.6951129416118889</v>
      </c>
      <c r="Q189" s="386">
        <f t="shared" si="138"/>
        <v>28.875668493157377</v>
      </c>
      <c r="R189" s="386">
        <f t="shared" si="173"/>
        <v>10.949094228141128</v>
      </c>
      <c r="S189" s="386">
        <f t="shared" si="174"/>
        <v>1.7692303541002288</v>
      </c>
      <c r="T189" s="386">
        <f t="shared" si="175"/>
        <v>12.718324582241356</v>
      </c>
      <c r="U189" s="4">
        <f t="shared" si="139"/>
        <v>12.973628488265796</v>
      </c>
      <c r="V189" s="386">
        <f t="shared" si="176"/>
        <v>0.33663007230308362</v>
      </c>
      <c r="W189" s="386">
        <f t="shared" si="177"/>
        <v>0.33663007230308362</v>
      </c>
      <c r="X189" s="386">
        <f t="shared" si="140"/>
        <v>1.6440374949524728</v>
      </c>
      <c r="Y189" s="386">
        <f t="shared" si="178"/>
        <v>5.4057185696192037E-3</v>
      </c>
      <c r="Z189" s="603">
        <f t="shared" si="179"/>
        <v>5.4057185696192037E-3</v>
      </c>
      <c r="AA189" s="386">
        <f t="shared" si="141"/>
        <v>28.875668493157377</v>
      </c>
      <c r="AB189" s="386">
        <f t="shared" si="142"/>
        <v>4.752684116282313</v>
      </c>
      <c r="AC189" s="386">
        <f t="shared" si="143"/>
        <v>0</v>
      </c>
      <c r="AD189">
        <f t="shared" si="144"/>
        <v>0</v>
      </c>
      <c r="AE189" s="386">
        <f t="shared" si="145"/>
        <v>96.085298785490451</v>
      </c>
      <c r="AF189" s="386">
        <f t="shared" si="146"/>
        <v>0</v>
      </c>
      <c r="AG189" s="386">
        <f t="shared" si="147"/>
        <v>0</v>
      </c>
      <c r="AH189" s="386">
        <f t="shared" si="148"/>
        <v>0</v>
      </c>
      <c r="AI189" s="386">
        <f t="shared" si="149"/>
        <v>0</v>
      </c>
      <c r="AJ189" s="386">
        <f t="shared" si="150"/>
        <v>22.755926395580524</v>
      </c>
      <c r="AK189" s="386">
        <f t="shared" si="151"/>
        <v>0.98388115363004891</v>
      </c>
      <c r="AL189" s="386">
        <f t="shared" si="152"/>
        <v>2.5245515610892721</v>
      </c>
      <c r="AM189">
        <f t="shared" si="153"/>
        <v>0</v>
      </c>
      <c r="AN189" s="386">
        <f t="shared" si="154"/>
        <v>4.3679393575348096</v>
      </c>
      <c r="AO189" s="386">
        <f t="shared" si="155"/>
        <v>17.775602515966746</v>
      </c>
      <c r="AP189" s="386">
        <f t="shared" si="156"/>
        <v>0.60034688513072221</v>
      </c>
      <c r="AQ189" s="386">
        <f t="shared" si="157"/>
        <v>1.3837837837837836</v>
      </c>
      <c r="AR189" s="386">
        <f t="shared" si="158"/>
        <v>2.2548717104637674</v>
      </c>
      <c r="AS189" s="386">
        <f t="shared" si="159"/>
        <v>4.752684116282313</v>
      </c>
      <c r="AT189" s="386">
        <f t="shared" si="160"/>
        <v>0</v>
      </c>
      <c r="AU189" s="386">
        <f t="shared" si="161"/>
        <v>0.95039999999999991</v>
      </c>
      <c r="AV189" s="386">
        <f t="shared" si="162"/>
        <v>1.5534965583632352</v>
      </c>
      <c r="AW189" s="386">
        <f t="shared" si="163"/>
        <v>0.249</v>
      </c>
      <c r="AX189" s="386">
        <f t="shared" si="164"/>
        <v>0.14400000000000002</v>
      </c>
      <c r="AY189" s="386">
        <f t="shared" si="165"/>
        <v>1.2671999999999999</v>
      </c>
      <c r="AZ189" s="386">
        <f t="shared" si="166"/>
        <v>0.10439999999999998</v>
      </c>
      <c r="BA189" s="386">
        <f t="shared" si="180"/>
        <v>1.4112</v>
      </c>
      <c r="BB189" s="386">
        <f t="shared" si="181"/>
        <v>119.93256678496631</v>
      </c>
      <c r="BC189">
        <f t="shared" si="167"/>
        <v>480</v>
      </c>
      <c r="BD189" s="604">
        <f t="shared" si="182"/>
        <v>0.80008992105948851</v>
      </c>
      <c r="BE189" s="614">
        <f t="shared" si="168"/>
        <v>265.9169678767405</v>
      </c>
      <c r="BF189" s="614">
        <f t="shared" si="169"/>
        <v>112.74358552318837</v>
      </c>
      <c r="BG189" s="9"/>
      <c r="BH189" s="4">
        <f t="shared" si="183"/>
        <v>80.008992105948849</v>
      </c>
      <c r="BI189" s="386">
        <f t="shared" si="184"/>
        <v>12.718324582241356</v>
      </c>
      <c r="BJ189" s="386">
        <f t="shared" si="185"/>
        <v>103.65850985348902</v>
      </c>
      <c r="BK189" s="386">
        <f t="shared" si="186"/>
        <v>0.31363199999999997</v>
      </c>
      <c r="BL189" s="386">
        <f t="shared" si="187"/>
        <v>1.5534965583632352</v>
      </c>
    </row>
    <row r="190" spans="7:64" x14ac:dyDescent="0.3">
      <c r="G190">
        <v>181</v>
      </c>
      <c r="H190" s="610">
        <f t="shared" si="131"/>
        <v>18.575000000000003</v>
      </c>
      <c r="I190" s="4" t="str">
        <f t="shared" si="132"/>
        <v>BOOST</v>
      </c>
      <c r="J190">
        <f t="shared" si="170"/>
        <v>2</v>
      </c>
      <c r="K190">
        <f t="shared" si="133"/>
        <v>10</v>
      </c>
      <c r="L190" s="4">
        <f t="shared" si="134"/>
        <v>28.712427097353064</v>
      </c>
      <c r="M190" s="4">
        <f t="shared" si="135"/>
        <v>26.278185845579976</v>
      </c>
      <c r="N190" s="386">
        <f t="shared" si="136"/>
        <v>1</v>
      </c>
      <c r="O190" s="386">
        <f t="shared" si="172"/>
        <v>0.61945622659176025</v>
      </c>
      <c r="P190" s="4">
        <f t="shared" si="137"/>
        <v>5.7044166248304764</v>
      </c>
      <c r="Q190" s="386">
        <f t="shared" si="138"/>
        <v>28.759609998050241</v>
      </c>
      <c r="R190" s="386">
        <f t="shared" si="173"/>
        <v>10.785467450621494</v>
      </c>
      <c r="S190" s="386">
        <f t="shared" si="174"/>
        <v>1.7758966078020966</v>
      </c>
      <c r="T190" s="386">
        <f t="shared" si="175"/>
        <v>12.561364058423591</v>
      </c>
      <c r="U190" s="4">
        <f t="shared" si="139"/>
        <v>12.930429610433238</v>
      </c>
      <c r="V190" s="386">
        <f t="shared" si="176"/>
        <v>0.33439201982073735</v>
      </c>
      <c r="W190" s="386">
        <f t="shared" si="177"/>
        <v>0.33439201982073735</v>
      </c>
      <c r="X190" s="386">
        <f t="shared" si="140"/>
        <v>1.6467232369578262</v>
      </c>
      <c r="Y190" s="386">
        <f t="shared" si="178"/>
        <v>5.4233948382737219E-3</v>
      </c>
      <c r="Z190" s="603">
        <f t="shared" si="179"/>
        <v>5.4233948382737219E-3</v>
      </c>
      <c r="AA190" s="386">
        <f t="shared" si="141"/>
        <v>28.759609998050241</v>
      </c>
      <c r="AB190" s="386">
        <f t="shared" si="142"/>
        <v>4.7145564532677229</v>
      </c>
      <c r="AC190" s="386">
        <f t="shared" si="143"/>
        <v>0</v>
      </c>
      <c r="AD190">
        <f t="shared" si="144"/>
        <v>0</v>
      </c>
      <c r="AE190" s="386">
        <f t="shared" si="145"/>
        <v>82.582992455765492</v>
      </c>
      <c r="AF190" s="386">
        <f t="shared" si="146"/>
        <v>0</v>
      </c>
      <c r="AG190" s="386">
        <f t="shared" si="147"/>
        <v>0</v>
      </c>
      <c r="AH190" s="386">
        <f t="shared" si="148"/>
        <v>0</v>
      </c>
      <c r="AI190" s="386">
        <f t="shared" si="149"/>
        <v>0</v>
      </c>
      <c r="AJ190" s="386">
        <f t="shared" si="150"/>
        <v>22.635406787934539</v>
      </c>
      <c r="AK190" s="386">
        <f t="shared" si="151"/>
        <v>0.97348711686501865</v>
      </c>
      <c r="AL190" s="386">
        <f t="shared" si="152"/>
        <v>2.5143582169664342</v>
      </c>
      <c r="AM190">
        <f t="shared" si="153"/>
        <v>0</v>
      </c>
      <c r="AN190" s="386">
        <f t="shared" si="154"/>
        <v>4.3310991856505243</v>
      </c>
      <c r="AO190" s="386">
        <f t="shared" si="155"/>
        <v>17.741294394284719</v>
      </c>
      <c r="AP190" s="386">
        <f t="shared" si="156"/>
        <v>0.59803170089088897</v>
      </c>
      <c r="AQ190" s="386">
        <f t="shared" si="157"/>
        <v>1.3781965006729471</v>
      </c>
      <c r="AR190" s="386">
        <f t="shared" si="158"/>
        <v>2.2447097153832227</v>
      </c>
      <c r="AS190" s="386">
        <f t="shared" si="159"/>
        <v>4.7145564532677229</v>
      </c>
      <c r="AT190" s="386">
        <f t="shared" si="160"/>
        <v>0</v>
      </c>
      <c r="AU190" s="386">
        <f t="shared" si="161"/>
        <v>0.95039999999999991</v>
      </c>
      <c r="AV190" s="386">
        <f t="shared" si="162"/>
        <v>1.5370849213658191</v>
      </c>
      <c r="AW190" s="386">
        <f t="shared" si="163"/>
        <v>0.249</v>
      </c>
      <c r="AX190" s="386">
        <f t="shared" si="164"/>
        <v>0.14400000000000002</v>
      </c>
      <c r="AY190" s="386">
        <f t="shared" si="165"/>
        <v>1.2671999999999999</v>
      </c>
      <c r="AZ190" s="386">
        <f t="shared" si="166"/>
        <v>0.10439999999999998</v>
      </c>
      <c r="BA190" s="386">
        <f t="shared" si="180"/>
        <v>1.4112</v>
      </c>
      <c r="BB190" s="386">
        <f t="shared" si="181"/>
        <v>106.20766575124766</v>
      </c>
      <c r="BC190">
        <f t="shared" si="167"/>
        <v>480</v>
      </c>
      <c r="BD190" s="604">
        <f t="shared" si="182"/>
        <v>0.8188224549825045</v>
      </c>
      <c r="BE190" s="614">
        <f t="shared" si="168"/>
        <v>264.07495928252621</v>
      </c>
      <c r="BF190" s="614">
        <f t="shared" si="169"/>
        <v>112.23548576916113</v>
      </c>
      <c r="BG190" s="9"/>
      <c r="BH190" s="4">
        <f t="shared" si="183"/>
        <v>81.882245498250455</v>
      </c>
      <c r="BI190" s="386">
        <f t="shared" si="184"/>
        <v>12.561364058423591</v>
      </c>
      <c r="BJ190" s="386">
        <f t="shared" si="185"/>
        <v>90.109201356799247</v>
      </c>
      <c r="BK190" s="386">
        <f t="shared" si="186"/>
        <v>0.31363199999999997</v>
      </c>
      <c r="BL190" s="386">
        <f t="shared" si="187"/>
        <v>1.5370849213658191</v>
      </c>
    </row>
    <row r="191" spans="7:64" x14ac:dyDescent="0.3">
      <c r="G191">
        <v>182</v>
      </c>
      <c r="H191" s="610">
        <f t="shared" si="131"/>
        <v>18.649999999999999</v>
      </c>
      <c r="I191" s="4" t="str">
        <f t="shared" si="132"/>
        <v>BOOST</v>
      </c>
      <c r="J191">
        <f t="shared" si="170"/>
        <v>2</v>
      </c>
      <c r="K191">
        <f t="shared" si="133"/>
        <v>10</v>
      </c>
      <c r="L191" s="4">
        <f t="shared" si="134"/>
        <v>28.596961572832885</v>
      </c>
      <c r="M191" s="4">
        <f t="shared" si="135"/>
        <v>26.16876255274288</v>
      </c>
      <c r="N191" s="386">
        <f t="shared" si="136"/>
        <v>1</v>
      </c>
      <c r="O191" s="386">
        <f t="shared" si="172"/>
        <v>0.6178650029841839</v>
      </c>
      <c r="P191" s="4">
        <f t="shared" si="137"/>
        <v>5.7135961974037075</v>
      </c>
      <c r="Q191" s="386">
        <f t="shared" si="138"/>
        <v>28.644487130865681</v>
      </c>
      <c r="R191" s="386">
        <f t="shared" si="173"/>
        <v>10.626037946026059</v>
      </c>
      <c r="S191" s="386">
        <f t="shared" si="174"/>
        <v>1.7824878439689555</v>
      </c>
      <c r="T191" s="386">
        <f t="shared" si="175"/>
        <v>12.408525789995014</v>
      </c>
      <c r="U191" s="4">
        <f t="shared" si="139"/>
        <v>12.887444552602709</v>
      </c>
      <c r="V191" s="386">
        <f t="shared" si="176"/>
        <v>0.33217245419281849</v>
      </c>
      <c r="W191" s="386">
        <f t="shared" si="177"/>
        <v>0.33217245419281849</v>
      </c>
      <c r="X191" s="386">
        <f t="shared" si="140"/>
        <v>1.6493731513059264</v>
      </c>
      <c r="Y191" s="386">
        <f t="shared" si="178"/>
        <v>5.4408635844976853E-3</v>
      </c>
      <c r="Z191" s="603">
        <f t="shared" si="179"/>
        <v>5.4408635844976853E-3</v>
      </c>
      <c r="AA191" s="386">
        <f t="shared" si="141"/>
        <v>28.644487130865681</v>
      </c>
      <c r="AB191" s="386">
        <f t="shared" si="142"/>
        <v>4.6768878650448791</v>
      </c>
      <c r="AC191" s="386">
        <f t="shared" si="143"/>
        <v>0</v>
      </c>
      <c r="AD191">
        <f t="shared" si="144"/>
        <v>0</v>
      </c>
      <c r="AE191" s="386">
        <f t="shared" si="145"/>
        <v>72.372519616053339</v>
      </c>
      <c r="AF191" s="386">
        <f t="shared" si="146"/>
        <v>0</v>
      </c>
      <c r="AG191" s="386">
        <f t="shared" si="147"/>
        <v>0</v>
      </c>
      <c r="AH191" s="386">
        <f t="shared" si="148"/>
        <v>0</v>
      </c>
      <c r="AI191" s="386">
        <f t="shared" si="149"/>
        <v>0</v>
      </c>
      <c r="AJ191" s="386">
        <f t="shared" si="150"/>
        <v>22.515824200321042</v>
      </c>
      <c r="AK191" s="386">
        <f t="shared" si="151"/>
        <v>0.963228444897549</v>
      </c>
      <c r="AL191" s="386">
        <f t="shared" si="152"/>
        <v>2.5042468568445866</v>
      </c>
      <c r="AM191">
        <f t="shared" si="153"/>
        <v>0</v>
      </c>
      <c r="AN191" s="386">
        <f t="shared" si="154"/>
        <v>4.2948619390652309</v>
      </c>
      <c r="AO191" s="386">
        <f t="shared" si="155"/>
        <v>17.707182259483492</v>
      </c>
      <c r="AP191" s="386">
        <f t="shared" si="156"/>
        <v>0.59573417678407714</v>
      </c>
      <c r="AQ191" s="386">
        <f t="shared" si="157"/>
        <v>1.3726541554959786</v>
      </c>
      <c r="AR191" s="386">
        <f t="shared" si="158"/>
        <v>2.234638429297588</v>
      </c>
      <c r="AS191" s="386">
        <f t="shared" si="159"/>
        <v>4.6768878650448791</v>
      </c>
      <c r="AT191" s="386">
        <f t="shared" si="160"/>
        <v>0</v>
      </c>
      <c r="AU191" s="386">
        <f t="shared" si="161"/>
        <v>0.95039999999999991</v>
      </c>
      <c r="AV191" s="386">
        <f t="shared" si="162"/>
        <v>1.520887018259288</v>
      </c>
      <c r="AW191" s="386">
        <f t="shared" si="163"/>
        <v>0.249</v>
      </c>
      <c r="AX191" s="386">
        <f t="shared" si="164"/>
        <v>0.14400000000000002</v>
      </c>
      <c r="AY191" s="386">
        <f t="shared" si="165"/>
        <v>1.2671999999999999</v>
      </c>
      <c r="AZ191" s="386">
        <f t="shared" si="166"/>
        <v>0.10439999999999998</v>
      </c>
      <c r="BA191" s="386">
        <f t="shared" si="180"/>
        <v>1.4112</v>
      </c>
      <c r="BB191" s="386">
        <f t="shared" si="181"/>
        <v>95.779646110447771</v>
      </c>
      <c r="BC191">
        <f t="shared" si="167"/>
        <v>480</v>
      </c>
      <c r="BD191" s="604">
        <f t="shared" si="182"/>
        <v>0.83365225436941726</v>
      </c>
      <c r="BE191" s="614">
        <f t="shared" si="168"/>
        <v>262.26309695326154</v>
      </c>
      <c r="BF191" s="614">
        <f t="shared" si="169"/>
        <v>111.73192146487941</v>
      </c>
      <c r="BG191" s="9"/>
      <c r="BH191" s="4">
        <f t="shared" si="183"/>
        <v>83.365225436941728</v>
      </c>
      <c r="BI191" s="386">
        <f t="shared" si="184"/>
        <v>12.408525789995014</v>
      </c>
      <c r="BJ191" s="386">
        <f t="shared" si="185"/>
        <v>79.852419984416159</v>
      </c>
      <c r="BK191" s="386">
        <f t="shared" si="186"/>
        <v>0.31363199999999997</v>
      </c>
      <c r="BL191" s="386">
        <f t="shared" si="187"/>
        <v>1.520887018259288</v>
      </c>
    </row>
    <row r="192" spans="7:64" x14ac:dyDescent="0.3">
      <c r="G192">
        <v>183</v>
      </c>
      <c r="H192" s="610">
        <f t="shared" si="131"/>
        <v>18.725000000000001</v>
      </c>
      <c r="I192" s="4" t="str">
        <f t="shared" si="132"/>
        <v>BOOST</v>
      </c>
      <c r="J192">
        <f t="shared" si="170"/>
        <v>2</v>
      </c>
      <c r="K192">
        <f t="shared" si="133"/>
        <v>10</v>
      </c>
      <c r="L192" s="4">
        <f t="shared" si="134"/>
        <v>28.482421005785486</v>
      </c>
      <c r="M192" s="4">
        <f t="shared" si="135"/>
        <v>26.060262420433038</v>
      </c>
      <c r="N192" s="386">
        <f t="shared" si="136"/>
        <v>1</v>
      </c>
      <c r="O192" s="386">
        <f t="shared" si="172"/>
        <v>0.61627400988259762</v>
      </c>
      <c r="P192" s="4">
        <f t="shared" si="137"/>
        <v>5.7226517287774179</v>
      </c>
      <c r="Q192" s="386">
        <f t="shared" si="138"/>
        <v>28.530288611431015</v>
      </c>
      <c r="R192" s="386">
        <f t="shared" si="173"/>
        <v>10.470649946809869</v>
      </c>
      <c r="S192" s="386">
        <f t="shared" si="174"/>
        <v>1.7890035588281008</v>
      </c>
      <c r="T192" s="386">
        <f t="shared" si="175"/>
        <v>12.259653505637971</v>
      </c>
      <c r="U192" s="4">
        <f t="shared" si="139"/>
        <v>12.844670849542204</v>
      </c>
      <c r="V192" s="386">
        <f t="shared" si="176"/>
        <v>0.3299711384661585</v>
      </c>
      <c r="W192" s="386">
        <f t="shared" si="177"/>
        <v>0.3299711384661585</v>
      </c>
      <c r="X192" s="386">
        <f t="shared" si="140"/>
        <v>1.6519872580440598</v>
      </c>
      <c r="Y192" s="386">
        <f t="shared" si="178"/>
        <v>5.4581238014798621E-3</v>
      </c>
      <c r="Z192" s="603">
        <f t="shared" si="179"/>
        <v>5.4581238014798621E-3</v>
      </c>
      <c r="AA192" s="386">
        <f t="shared" si="141"/>
        <v>28.530288611431015</v>
      </c>
      <c r="AB192" s="386">
        <f t="shared" si="142"/>
        <v>4.6396709990338367</v>
      </c>
      <c r="AC192" s="386">
        <f t="shared" si="143"/>
        <v>0</v>
      </c>
      <c r="AD192">
        <f t="shared" si="144"/>
        <v>0</v>
      </c>
      <c r="AE192" s="386">
        <f t="shared" si="145"/>
        <v>64.381037698788063</v>
      </c>
      <c r="AF192" s="386">
        <f t="shared" si="146"/>
        <v>0</v>
      </c>
      <c r="AG192" s="386">
        <f t="shared" si="147"/>
        <v>0</v>
      </c>
      <c r="AH192" s="386">
        <f t="shared" si="148"/>
        <v>0</v>
      </c>
      <c r="AI192" s="386">
        <f t="shared" si="149"/>
        <v>0</v>
      </c>
      <c r="AJ192" s="386">
        <f t="shared" si="150"/>
        <v>22.397167157613186</v>
      </c>
      <c r="AK192" s="386">
        <f t="shared" si="151"/>
        <v>0.9531028837035268</v>
      </c>
      <c r="AL192" s="386">
        <f t="shared" si="152"/>
        <v>2.4942164956022177</v>
      </c>
      <c r="AM192">
        <f t="shared" si="153"/>
        <v>0</v>
      </c>
      <c r="AN192" s="386">
        <f t="shared" si="154"/>
        <v>4.2592130220258309</v>
      </c>
      <c r="AO192" s="386">
        <f t="shared" si="155"/>
        <v>17.673264315498809</v>
      </c>
      <c r="AP192" s="386">
        <f t="shared" si="156"/>
        <v>0.59345411597441888</v>
      </c>
      <c r="AQ192" s="386">
        <f t="shared" si="157"/>
        <v>1.3671562082777033</v>
      </c>
      <c r="AR192" s="386">
        <f t="shared" si="158"/>
        <v>2.2246566538199928</v>
      </c>
      <c r="AS192" s="386">
        <f t="shared" si="159"/>
        <v>4.6396709990338367</v>
      </c>
      <c r="AT192" s="386">
        <f t="shared" si="160"/>
        <v>0</v>
      </c>
      <c r="AU192" s="386">
        <f t="shared" si="161"/>
        <v>0.95039999999999991</v>
      </c>
      <c r="AV192" s="386">
        <f t="shared" si="162"/>
        <v>1.5048992900582001</v>
      </c>
      <c r="AW192" s="386">
        <f t="shared" si="163"/>
        <v>0.249</v>
      </c>
      <c r="AX192" s="386">
        <f t="shared" si="164"/>
        <v>0.14400000000000002</v>
      </c>
      <c r="AY192" s="386">
        <f t="shared" si="165"/>
        <v>1.2671999999999999</v>
      </c>
      <c r="AZ192" s="386">
        <f t="shared" si="166"/>
        <v>0.10439999999999998</v>
      </c>
      <c r="BA192" s="386">
        <f t="shared" si="180"/>
        <v>1.4112</v>
      </c>
      <c r="BB192" s="386">
        <f t="shared" si="181"/>
        <v>87.575489432597692</v>
      </c>
      <c r="BC192">
        <f t="shared" si="167"/>
        <v>480</v>
      </c>
      <c r="BD192" s="604">
        <f t="shared" si="182"/>
        <v>0.84570248176124296</v>
      </c>
      <c r="BE192" s="614">
        <f t="shared" si="168"/>
        <v>260.48065110129153</v>
      </c>
      <c r="BF192" s="614">
        <f t="shared" si="169"/>
        <v>111.23283269099964</v>
      </c>
      <c r="BG192" s="9"/>
      <c r="BH192" s="4">
        <f t="shared" si="183"/>
        <v>84.570248176124295</v>
      </c>
      <c r="BI192" s="386">
        <f t="shared" si="184"/>
        <v>12.259653505637971</v>
      </c>
      <c r="BJ192" s="386">
        <f t="shared" si="185"/>
        <v>71.815307374633889</v>
      </c>
      <c r="BK192" s="386">
        <f t="shared" si="186"/>
        <v>0.31363199999999997</v>
      </c>
      <c r="BL192" s="386">
        <f t="shared" si="187"/>
        <v>1.5048992900582001</v>
      </c>
    </row>
    <row r="193" spans="7:64" x14ac:dyDescent="0.3">
      <c r="G193">
        <v>184</v>
      </c>
      <c r="H193" s="610">
        <f t="shared" si="131"/>
        <v>18.8</v>
      </c>
      <c r="I193" s="4" t="str">
        <f t="shared" si="132"/>
        <v>BOOST</v>
      </c>
      <c r="J193">
        <f t="shared" si="170"/>
        <v>2</v>
      </c>
      <c r="K193">
        <f t="shared" si="133"/>
        <v>10</v>
      </c>
      <c r="L193" s="4">
        <f t="shared" si="134"/>
        <v>28.368794326241133</v>
      </c>
      <c r="M193" s="4">
        <f t="shared" si="135"/>
        <v>25.95267363245236</v>
      </c>
      <c r="N193" s="386">
        <f t="shared" si="136"/>
        <v>1</v>
      </c>
      <c r="O193" s="386">
        <f t="shared" si="172"/>
        <v>0.61468324452338652</v>
      </c>
      <c r="P193" s="4">
        <f t="shared" si="137"/>
        <v>5.7315832872816106</v>
      </c>
      <c r="Q193" s="386">
        <f t="shared" si="138"/>
        <v>28.417003339071925</v>
      </c>
      <c r="R193" s="386">
        <f t="shared" si="173"/>
        <v>10.319155263813547</v>
      </c>
      <c r="S193" s="386">
        <f t="shared" si="174"/>
        <v>1.7954432552417257</v>
      </c>
      <c r="T193" s="386">
        <f t="shared" si="175"/>
        <v>12.114598519055273</v>
      </c>
      <c r="U193" s="4">
        <f t="shared" si="139"/>
        <v>12.802106073443511</v>
      </c>
      <c r="V193" s="386">
        <f t="shared" si="176"/>
        <v>0.32778783983139848</v>
      </c>
      <c r="W193" s="386">
        <f t="shared" si="177"/>
        <v>0.32778783983139848</v>
      </c>
      <c r="X193" s="386">
        <f t="shared" si="140"/>
        <v>1.654565576897399</v>
      </c>
      <c r="Y193" s="386">
        <f t="shared" si="178"/>
        <v>5.4751744965076459E-3</v>
      </c>
      <c r="Z193" s="603">
        <f t="shared" si="179"/>
        <v>5.4751744965076459E-3</v>
      </c>
      <c r="AA193" s="386">
        <f t="shared" si="141"/>
        <v>28.417003339071925</v>
      </c>
      <c r="AB193" s="386">
        <f t="shared" si="142"/>
        <v>4.6028986490051018</v>
      </c>
      <c r="AC193" s="386">
        <f t="shared" si="143"/>
        <v>0</v>
      </c>
      <c r="AD193">
        <f t="shared" si="144"/>
        <v>0</v>
      </c>
      <c r="AE193" s="386">
        <f t="shared" si="145"/>
        <v>57.956219960886457</v>
      </c>
      <c r="AF193" s="386">
        <f t="shared" si="146"/>
        <v>0</v>
      </c>
      <c r="AG193" s="386">
        <f t="shared" si="147"/>
        <v>0</v>
      </c>
      <c r="AH193" s="386">
        <f t="shared" si="148"/>
        <v>0</v>
      </c>
      <c r="AI193" s="386">
        <f t="shared" si="149"/>
        <v>0</v>
      </c>
      <c r="AJ193" s="386">
        <f t="shared" si="150"/>
        <v>22.279424367279507</v>
      </c>
      <c r="AK193" s="386">
        <f t="shared" si="151"/>
        <v>0.94310822526092286</v>
      </c>
      <c r="AL193" s="386">
        <f t="shared" si="152"/>
        <v>2.4842661638378476</v>
      </c>
      <c r="AM193">
        <f t="shared" si="153"/>
        <v>0</v>
      </c>
      <c r="AN193" s="386">
        <f t="shared" si="154"/>
        <v>4.2241383051427412</v>
      </c>
      <c r="AO193" s="386">
        <f t="shared" si="155"/>
        <v>17.63953878749377</v>
      </c>
      <c r="AP193" s="386">
        <f t="shared" si="156"/>
        <v>0.59119132440744471</v>
      </c>
      <c r="AQ193" s="386">
        <f t="shared" si="157"/>
        <v>1.3617021276595744</v>
      </c>
      <c r="AR193" s="386">
        <f t="shared" si="158"/>
        <v>2.2147632112937461</v>
      </c>
      <c r="AS193" s="386">
        <f t="shared" si="159"/>
        <v>4.6028986490051018</v>
      </c>
      <c r="AT193" s="386">
        <f t="shared" si="160"/>
        <v>0</v>
      </c>
      <c r="AU193" s="386">
        <f t="shared" si="161"/>
        <v>0.95039999999999991</v>
      </c>
      <c r="AV193" s="386">
        <f t="shared" si="162"/>
        <v>1.4891182504119835</v>
      </c>
      <c r="AW193" s="386">
        <f t="shared" si="163"/>
        <v>0.249</v>
      </c>
      <c r="AX193" s="386">
        <f t="shared" si="164"/>
        <v>0.14400000000000002</v>
      </c>
      <c r="AY193" s="386">
        <f t="shared" si="165"/>
        <v>1.2671999999999999</v>
      </c>
      <c r="AZ193" s="386">
        <f t="shared" si="166"/>
        <v>0.10439999999999998</v>
      </c>
      <c r="BA193" s="386">
        <f t="shared" si="180"/>
        <v>1.4112</v>
      </c>
      <c r="BB193" s="386">
        <f t="shared" si="181"/>
        <v>80.942701261118088</v>
      </c>
      <c r="BC193">
        <f t="shared" si="167"/>
        <v>480</v>
      </c>
      <c r="BD193" s="604">
        <f t="shared" si="182"/>
        <v>0.85570237195502896</v>
      </c>
      <c r="BE193" s="614">
        <f t="shared" si="168"/>
        <v>258.72691525713708</v>
      </c>
      <c r="BF193" s="614">
        <f t="shared" si="169"/>
        <v>110.73816056468731</v>
      </c>
      <c r="BG193" s="9"/>
      <c r="BH193" s="4">
        <f t="shared" si="183"/>
        <v>85.570237195502898</v>
      </c>
      <c r="BI193" s="386">
        <f t="shared" si="184"/>
        <v>12.114598519055273</v>
      </c>
      <c r="BJ193" s="386">
        <f t="shared" si="185"/>
        <v>65.345521477322947</v>
      </c>
      <c r="BK193" s="386">
        <f t="shared" si="186"/>
        <v>0.31363199999999997</v>
      </c>
      <c r="BL193" s="386">
        <f t="shared" si="187"/>
        <v>1.4891182504119835</v>
      </c>
    </row>
    <row r="194" spans="7:64" x14ac:dyDescent="0.3">
      <c r="G194">
        <v>185</v>
      </c>
      <c r="H194" s="610">
        <f t="shared" si="131"/>
        <v>18.875</v>
      </c>
      <c r="I194" s="4" t="str">
        <f t="shared" si="132"/>
        <v>BOOST</v>
      </c>
      <c r="J194">
        <f t="shared" si="170"/>
        <v>2</v>
      </c>
      <c r="K194">
        <f t="shared" si="133"/>
        <v>10</v>
      </c>
      <c r="L194" s="4">
        <f t="shared" si="134"/>
        <v>28.256070640176599</v>
      </c>
      <c r="M194" s="4">
        <f t="shared" si="135"/>
        <v>25.845984576190567</v>
      </c>
      <c r="N194" s="386">
        <f t="shared" si="136"/>
        <v>1</v>
      </c>
      <c r="O194" s="386">
        <f t="shared" si="172"/>
        <v>0.61309270418693806</v>
      </c>
      <c r="P194" s="4">
        <f t="shared" si="137"/>
        <v>5.7403909401527828</v>
      </c>
      <c r="Q194" s="386">
        <f t="shared" si="138"/>
        <v>28.304620389048363</v>
      </c>
      <c r="R194" s="386">
        <f t="shared" si="173"/>
        <v>10.171412831310938</v>
      </c>
      <c r="S194" s="386">
        <f t="shared" si="174"/>
        <v>1.8018064427205887</v>
      </c>
      <c r="T194" s="386">
        <f t="shared" si="175"/>
        <v>11.973219274031527</v>
      </c>
      <c r="U194" s="4">
        <f t="shared" si="139"/>
        <v>12.759747833173178</v>
      </c>
      <c r="V194" s="386">
        <f t="shared" si="176"/>
        <v>0.32562232953233522</v>
      </c>
      <c r="W194" s="386">
        <f t="shared" si="177"/>
        <v>0.32562232953233522</v>
      </c>
      <c r="X194" s="386">
        <f t="shared" si="140"/>
        <v>1.6571081272754491</v>
      </c>
      <c r="Y194" s="386">
        <f t="shared" si="178"/>
        <v>5.4920146909646916E-3</v>
      </c>
      <c r="Z194" s="603">
        <f t="shared" si="179"/>
        <v>5.4920146909646916E-3</v>
      </c>
      <c r="AA194" s="386">
        <f t="shared" si="141"/>
        <v>28.304620389048363</v>
      </c>
      <c r="AB194" s="386">
        <f t="shared" si="142"/>
        <v>4.5665637515983537</v>
      </c>
      <c r="AC194" s="386">
        <f t="shared" si="143"/>
        <v>0</v>
      </c>
      <c r="AD194">
        <f t="shared" si="144"/>
        <v>0</v>
      </c>
      <c r="AE194" s="386">
        <f t="shared" si="145"/>
        <v>52.678609235362337</v>
      </c>
      <c r="AF194" s="386">
        <f t="shared" si="146"/>
        <v>0</v>
      </c>
      <c r="AG194" s="386">
        <f t="shared" si="147"/>
        <v>0</v>
      </c>
      <c r="AH194" s="386">
        <f t="shared" si="148"/>
        <v>0</v>
      </c>
      <c r="AI194" s="386">
        <f t="shared" si="149"/>
        <v>0</v>
      </c>
      <c r="AJ194" s="386">
        <f t="shared" si="150"/>
        <v>22.162584715740302</v>
      </c>
      <c r="AK194" s="386">
        <f t="shared" si="151"/>
        <v>0.93324230643649475</v>
      </c>
      <c r="AL194" s="386">
        <f t="shared" si="152"/>
        <v>2.4743949075576972</v>
      </c>
      <c r="AM194">
        <f t="shared" si="153"/>
        <v>0</v>
      </c>
      <c r="AN194" s="386">
        <f t="shared" si="154"/>
        <v>4.1896241069236684</v>
      </c>
      <c r="AO194" s="386">
        <f t="shared" si="155"/>
        <v>17.606003921553768</v>
      </c>
      <c r="AP194" s="386">
        <f t="shared" si="156"/>
        <v>0.5889456107629566</v>
      </c>
      <c r="AQ194" s="386">
        <f t="shared" si="157"/>
        <v>1.3562913907284768</v>
      </c>
      <c r="AR194" s="386">
        <f t="shared" si="158"/>
        <v>2.2049569443507706</v>
      </c>
      <c r="AS194" s="386">
        <f t="shared" si="159"/>
        <v>4.5665637515983537</v>
      </c>
      <c r="AT194" s="386">
        <f t="shared" si="160"/>
        <v>0</v>
      </c>
      <c r="AU194" s="386">
        <f t="shared" si="161"/>
        <v>0.95039999999999991</v>
      </c>
      <c r="AV194" s="386">
        <f t="shared" si="162"/>
        <v>1.4735404838470969</v>
      </c>
      <c r="AW194" s="386">
        <f t="shared" si="163"/>
        <v>0.249</v>
      </c>
      <c r="AX194" s="386">
        <f t="shared" si="164"/>
        <v>0.14400000000000002</v>
      </c>
      <c r="AY194" s="386">
        <f t="shared" si="165"/>
        <v>1.2671999999999999</v>
      </c>
      <c r="AZ194" s="386">
        <f t="shared" si="166"/>
        <v>0.10439999999999998</v>
      </c>
      <c r="BA194" s="386">
        <f t="shared" si="180"/>
        <v>1.4112</v>
      </c>
      <c r="BB194" s="386">
        <f t="shared" si="181"/>
        <v>75.461664388738697</v>
      </c>
      <c r="BC194">
        <f t="shared" si="167"/>
        <v>480</v>
      </c>
      <c r="BD194" s="604">
        <f t="shared" si="182"/>
        <v>0.86414604422470642</v>
      </c>
      <c r="BE194" s="614">
        <f t="shared" si="168"/>
        <v>257.00120534618344</v>
      </c>
      <c r="BF194" s="614">
        <f t="shared" si="169"/>
        <v>110.24784721753853</v>
      </c>
      <c r="BG194" s="9"/>
      <c r="BH194" s="4">
        <f t="shared" si="183"/>
        <v>86.414604422470646</v>
      </c>
      <c r="BI194" s="386">
        <f t="shared" si="184"/>
        <v>11.973219274031527</v>
      </c>
      <c r="BJ194" s="386">
        <f t="shared" si="185"/>
        <v>60.023590286636775</v>
      </c>
      <c r="BK194" s="386">
        <f t="shared" si="186"/>
        <v>0.31363199999999997</v>
      </c>
      <c r="BL194" s="386">
        <f t="shared" si="187"/>
        <v>1.4735404838470969</v>
      </c>
    </row>
    <row r="195" spans="7:64" x14ac:dyDescent="0.3">
      <c r="G195">
        <v>186</v>
      </c>
      <c r="H195" s="610">
        <f t="shared" si="131"/>
        <v>18.950000000000003</v>
      </c>
      <c r="I195" s="4" t="str">
        <f t="shared" si="132"/>
        <v>BOOST</v>
      </c>
      <c r="J195">
        <f t="shared" si="170"/>
        <v>2</v>
      </c>
      <c r="K195">
        <f t="shared" si="133"/>
        <v>10</v>
      </c>
      <c r="L195" s="4">
        <f t="shared" si="134"/>
        <v>28.144239226033417</v>
      </c>
      <c r="M195" s="4">
        <f t="shared" si="135"/>
        <v>25.740183838207258</v>
      </c>
      <c r="N195" s="386">
        <f t="shared" si="136"/>
        <v>1</v>
      </c>
      <c r="O195" s="386">
        <f t="shared" si="172"/>
        <v>0.61150238619676944</v>
      </c>
      <c r="P195" s="4">
        <f t="shared" si="137"/>
        <v>5.7490747535556963</v>
      </c>
      <c r="Q195" s="386">
        <f t="shared" si="138"/>
        <v>28.193129009075285</v>
      </c>
      <c r="R195" s="386">
        <f t="shared" si="173"/>
        <v>10.027288284437402</v>
      </c>
      <c r="S195" s="386">
        <f t="shared" si="174"/>
        <v>1.8080926374374429</v>
      </c>
      <c r="T195" s="386">
        <f t="shared" si="175"/>
        <v>11.835380921874846</v>
      </c>
      <c r="U195" s="4">
        <f t="shared" si="139"/>
        <v>12.717593773541743</v>
      </c>
      <c r="V195" s="386">
        <f t="shared" si="176"/>
        <v>0.32347438277765544</v>
      </c>
      <c r="W195" s="386">
        <f t="shared" si="177"/>
        <v>0.32347438277765544</v>
      </c>
      <c r="X195" s="386">
        <f t="shared" si="140"/>
        <v>1.6596149282783315</v>
      </c>
      <c r="Y195" s="386">
        <f t="shared" si="178"/>
        <v>5.5086434203285833E-3</v>
      </c>
      <c r="Z195" s="603">
        <f t="shared" si="179"/>
        <v>5.5086434203285833E-3</v>
      </c>
      <c r="AA195" s="386">
        <f t="shared" si="141"/>
        <v>28.193129009075285</v>
      </c>
      <c r="AB195" s="386">
        <f t="shared" si="142"/>
        <v>4.5306593829374657</v>
      </c>
      <c r="AC195" s="386">
        <f t="shared" si="143"/>
        <v>0</v>
      </c>
      <c r="AD195">
        <f t="shared" si="144"/>
        <v>0</v>
      </c>
      <c r="AE195" s="386">
        <f t="shared" si="145"/>
        <v>48.266218799616574</v>
      </c>
      <c r="AF195" s="386">
        <f t="shared" si="146"/>
        <v>0</v>
      </c>
      <c r="AG195" s="386">
        <f t="shared" si="147"/>
        <v>0</v>
      </c>
      <c r="AH195" s="386">
        <f t="shared" si="148"/>
        <v>0</v>
      </c>
      <c r="AI195" s="386">
        <f t="shared" si="149"/>
        <v>0</v>
      </c>
      <c r="AJ195" s="386">
        <f t="shared" si="150"/>
        <v>22.046637264810883</v>
      </c>
      <c r="AK195" s="386">
        <f t="shared" si="151"/>
        <v>0.92350300790368101</v>
      </c>
      <c r="AL195" s="386">
        <f t="shared" si="152"/>
        <v>2.4646017878707931</v>
      </c>
      <c r="AM195">
        <f t="shared" si="153"/>
        <v>0</v>
      </c>
      <c r="AN195" s="386">
        <f t="shared" si="154"/>
        <v>4.1556571761778214</v>
      </c>
      <c r="AO195" s="386">
        <f t="shared" si="155"/>
        <v>17.572657984386268</v>
      </c>
      <c r="AP195" s="386">
        <f t="shared" si="156"/>
        <v>0.58671678640880753</v>
      </c>
      <c r="AQ195" s="386">
        <f t="shared" si="157"/>
        <v>1.350923482849604</v>
      </c>
      <c r="AR195" s="386">
        <f t="shared" si="158"/>
        <v>2.1952367154811578</v>
      </c>
      <c r="AS195" s="386">
        <f t="shared" si="159"/>
        <v>4.5306593829374657</v>
      </c>
      <c r="AT195" s="386">
        <f t="shared" si="160"/>
        <v>0</v>
      </c>
      <c r="AU195" s="386">
        <f t="shared" si="161"/>
        <v>0.95039999999999991</v>
      </c>
      <c r="AV195" s="386">
        <f t="shared" si="162"/>
        <v>1.4581626440584436</v>
      </c>
      <c r="AW195" s="386">
        <f t="shared" si="163"/>
        <v>0.249</v>
      </c>
      <c r="AX195" s="386">
        <f t="shared" si="164"/>
        <v>0.14400000000000002</v>
      </c>
      <c r="AY195" s="386">
        <f t="shared" si="165"/>
        <v>1.2671999999999999</v>
      </c>
      <c r="AZ195" s="386">
        <f t="shared" si="166"/>
        <v>0.10439999999999998</v>
      </c>
      <c r="BA195" s="386">
        <f t="shared" si="180"/>
        <v>1.4112</v>
      </c>
      <c r="BB195" s="386">
        <f t="shared" si="181"/>
        <v>70.850239283406822</v>
      </c>
      <c r="BC195">
        <f t="shared" si="167"/>
        <v>480</v>
      </c>
      <c r="BD195" s="604">
        <f t="shared" si="182"/>
        <v>0.87138021510969133</v>
      </c>
      <c r="BE195" s="614">
        <f t="shared" si="168"/>
        <v>255.30285880889107</v>
      </c>
      <c r="BF195" s="614">
        <f t="shared" si="169"/>
        <v>109.76183577405789</v>
      </c>
      <c r="BG195" s="9"/>
      <c r="BH195" s="4">
        <f t="shared" si="183"/>
        <v>87.138021510969139</v>
      </c>
      <c r="BI195" s="386">
        <f t="shared" si="184"/>
        <v>11.835380921874846</v>
      </c>
      <c r="BJ195" s="386">
        <f t="shared" si="185"/>
        <v>55.567512691275553</v>
      </c>
      <c r="BK195" s="386">
        <f t="shared" si="186"/>
        <v>0.31363199999999997</v>
      </c>
      <c r="BL195" s="386">
        <f t="shared" si="187"/>
        <v>1.4581626440584436</v>
      </c>
    </row>
    <row r="196" spans="7:64" x14ac:dyDescent="0.3">
      <c r="G196">
        <v>187</v>
      </c>
      <c r="H196" s="610">
        <f t="shared" si="131"/>
        <v>19.024999999999999</v>
      </c>
      <c r="I196" s="4" t="str">
        <f t="shared" si="132"/>
        <v>BOOST</v>
      </c>
      <c r="J196">
        <f t="shared" si="170"/>
        <v>2</v>
      </c>
      <c r="K196">
        <f t="shared" si="133"/>
        <v>10</v>
      </c>
      <c r="L196" s="4">
        <f t="shared" si="134"/>
        <v>28.033289531318442</v>
      </c>
      <c r="M196" s="4">
        <f t="shared" si="135"/>
        <v>25.635260199929814</v>
      </c>
      <c r="N196" s="386">
        <f t="shared" si="136"/>
        <v>1</v>
      </c>
      <c r="O196" s="386">
        <f t="shared" si="172"/>
        <v>0.6099122879186778</v>
      </c>
      <c r="P196" s="4">
        <f t="shared" si="137"/>
        <v>5.7576347926046676</v>
      </c>
      <c r="Q196" s="386">
        <f t="shared" si="138"/>
        <v>28.082518615925682</v>
      </c>
      <c r="R196" s="386">
        <f t="shared" si="173"/>
        <v>9.886653566341316</v>
      </c>
      <c r="S196" s="386">
        <f t="shared" si="174"/>
        <v>1.8143013622402773</v>
      </c>
      <c r="T196" s="386">
        <f t="shared" si="175"/>
        <v>11.700954928581593</v>
      </c>
      <c r="U196" s="4">
        <f t="shared" si="139"/>
        <v>12.675641574590703</v>
      </c>
      <c r="V196" s="386">
        <f t="shared" si="176"/>
        <v>0.32134377865498454</v>
      </c>
      <c r="W196" s="386">
        <f t="shared" si="177"/>
        <v>0.32134377865498454</v>
      </c>
      <c r="X196" s="386">
        <f t="shared" si="140"/>
        <v>1.6620859987029302</v>
      </c>
      <c r="Y196" s="386">
        <f t="shared" si="178"/>
        <v>5.5250597341686336E-3</v>
      </c>
      <c r="Z196" s="603">
        <f t="shared" si="179"/>
        <v>5.5250597341686336E-3</v>
      </c>
      <c r="AA196" s="386">
        <f t="shared" si="141"/>
        <v>28.082518615925682</v>
      </c>
      <c r="AB196" s="386">
        <f t="shared" si="142"/>
        <v>4.4951787553387312</v>
      </c>
      <c r="AC196" s="386">
        <f t="shared" si="143"/>
        <v>0</v>
      </c>
      <c r="AD196">
        <f t="shared" si="144"/>
        <v>0</v>
      </c>
      <c r="AE196" s="386">
        <f t="shared" si="145"/>
        <v>44.522480015227593</v>
      </c>
      <c r="AF196" s="386">
        <f t="shared" si="146"/>
        <v>0</v>
      </c>
      <c r="AG196" s="386">
        <f t="shared" si="147"/>
        <v>0</v>
      </c>
      <c r="AH196" s="386">
        <f t="shared" si="148"/>
        <v>0</v>
      </c>
      <c r="AI196" s="386">
        <f t="shared" si="149"/>
        <v>0</v>
      </c>
      <c r="AJ196" s="386">
        <f t="shared" si="150"/>
        <v>21.931571248229215</v>
      </c>
      <c r="AK196" s="386">
        <f t="shared" si="151"/>
        <v>0.91388825309069321</v>
      </c>
      <c r="AL196" s="386">
        <f t="shared" si="152"/>
        <v>2.4548858806912768</v>
      </c>
      <c r="AM196">
        <f t="shared" si="153"/>
        <v>0</v>
      </c>
      <c r="AN196" s="386">
        <f t="shared" si="154"/>
        <v>4.1222246752430065</v>
      </c>
      <c r="AO196" s="386">
        <f t="shared" si="155"/>
        <v>17.539499263025103</v>
      </c>
      <c r="AP196" s="386">
        <f t="shared" si="156"/>
        <v>0.58450466535555046</v>
      </c>
      <c r="AQ196" s="386">
        <f t="shared" si="157"/>
        <v>1.3455978975032852</v>
      </c>
      <c r="AR196" s="386">
        <f t="shared" si="158"/>
        <v>2.1856014066134826</v>
      </c>
      <c r="AS196" s="386">
        <f t="shared" si="159"/>
        <v>4.4951787553387312</v>
      </c>
      <c r="AT196" s="386">
        <f t="shared" si="160"/>
        <v>0</v>
      </c>
      <c r="AU196" s="386">
        <f t="shared" si="161"/>
        <v>0.95039999999999991</v>
      </c>
      <c r="AV196" s="386">
        <f t="shared" si="162"/>
        <v>1.442981452248463</v>
      </c>
      <c r="AW196" s="386">
        <f t="shared" si="163"/>
        <v>0.249</v>
      </c>
      <c r="AX196" s="386">
        <f t="shared" si="164"/>
        <v>0.14400000000000002</v>
      </c>
      <c r="AY196" s="386">
        <f t="shared" si="165"/>
        <v>1.2671999999999999</v>
      </c>
      <c r="AZ196" s="386">
        <f t="shared" si="166"/>
        <v>0.10439999999999998</v>
      </c>
      <c r="BA196" s="386">
        <f t="shared" si="180"/>
        <v>1.4112</v>
      </c>
      <c r="BB196" s="386">
        <f t="shared" si="181"/>
        <v>66.911711316303283</v>
      </c>
      <c r="BC196">
        <f t="shared" si="167"/>
        <v>480</v>
      </c>
      <c r="BD196" s="604">
        <f t="shared" si="182"/>
        <v>0.87765536935520982</v>
      </c>
      <c r="BE196" s="614">
        <f t="shared" si="168"/>
        <v>253.63123376215034</v>
      </c>
      <c r="BF196" s="614">
        <f t="shared" si="169"/>
        <v>109.28007033067414</v>
      </c>
      <c r="BG196" s="9"/>
      <c r="BH196" s="4">
        <f t="shared" si="183"/>
        <v>87.765536935520984</v>
      </c>
      <c r="BI196" s="386">
        <f t="shared" si="184"/>
        <v>11.700954928581593</v>
      </c>
      <c r="BJ196" s="386">
        <f t="shared" si="185"/>
        <v>51.780706097084078</v>
      </c>
      <c r="BK196" s="386">
        <f t="shared" si="186"/>
        <v>0.31363199999999997</v>
      </c>
      <c r="BL196" s="386">
        <f t="shared" si="187"/>
        <v>1.442981452248463</v>
      </c>
    </row>
    <row r="197" spans="7:64" x14ac:dyDescent="0.3">
      <c r="G197">
        <v>188</v>
      </c>
      <c r="H197" s="610">
        <f t="shared" si="131"/>
        <v>19.100000000000001</v>
      </c>
      <c r="I197" s="4" t="str">
        <f t="shared" si="132"/>
        <v>BOOST</v>
      </c>
      <c r="J197">
        <f t="shared" si="170"/>
        <v>2</v>
      </c>
      <c r="K197">
        <f t="shared" si="133"/>
        <v>10</v>
      </c>
      <c r="L197" s="4">
        <f t="shared" si="134"/>
        <v>27.923211169284464</v>
      </c>
      <c r="M197" s="4">
        <f t="shared" si="135"/>
        <v>25.531202633463209</v>
      </c>
      <c r="N197" s="386">
        <f t="shared" si="136"/>
        <v>1</v>
      </c>
      <c r="O197" s="386">
        <f t="shared" si="172"/>
        <v>0.60832240675990679</v>
      </c>
      <c r="P197" s="4">
        <f t="shared" si="137"/>
        <v>5.7660711213843161</v>
      </c>
      <c r="Q197" s="386">
        <f t="shared" si="138"/>
        <v>27.972778792113676</v>
      </c>
      <c r="R197" s="386">
        <f t="shared" si="173"/>
        <v>9.7493865626480414</v>
      </c>
      <c r="S197" s="386">
        <f t="shared" si="174"/>
        <v>1.8204321466653384</v>
      </c>
      <c r="T197" s="386">
        <f t="shared" si="175"/>
        <v>11.569818709313379</v>
      </c>
      <c r="U197" s="4">
        <f t="shared" si="139"/>
        <v>12.633888950896516</v>
      </c>
      <c r="V197" s="386">
        <f t="shared" si="176"/>
        <v>0.31923030004717018</v>
      </c>
      <c r="W197" s="386">
        <f t="shared" si="177"/>
        <v>0.31923030004717018</v>
      </c>
      <c r="X197" s="386">
        <f t="shared" si="140"/>
        <v>1.6645213570488813</v>
      </c>
      <c r="Y197" s="386">
        <f t="shared" si="178"/>
        <v>5.541262696143699E-3</v>
      </c>
      <c r="Z197" s="603">
        <f t="shared" si="179"/>
        <v>5.541262696143699E-3</v>
      </c>
      <c r="AA197" s="386">
        <f t="shared" si="141"/>
        <v>27.972778792113676</v>
      </c>
      <c r="AB197" s="386">
        <f t="shared" si="142"/>
        <v>4.4601152141093907</v>
      </c>
      <c r="AC197" s="386">
        <f t="shared" si="143"/>
        <v>0</v>
      </c>
      <c r="AD197">
        <f t="shared" si="144"/>
        <v>0</v>
      </c>
      <c r="AE197" s="386">
        <f t="shared" si="145"/>
        <v>41.306176157120767</v>
      </c>
      <c r="AF197" s="386">
        <f t="shared" si="146"/>
        <v>0</v>
      </c>
      <c r="AG197" s="386">
        <f t="shared" si="147"/>
        <v>0</v>
      </c>
      <c r="AH197" s="386">
        <f t="shared" si="148"/>
        <v>0</v>
      </c>
      <c r="AI197" s="386">
        <f t="shared" si="149"/>
        <v>0</v>
      </c>
      <c r="AJ197" s="386">
        <f t="shared" si="150"/>
        <v>21.817376068265474</v>
      </c>
      <c r="AK197" s="386">
        <f t="shared" si="151"/>
        <v>0.90439600715783375</v>
      </c>
      <c r="AL197" s="386">
        <f t="shared" si="152"/>
        <v>2.4452462764477243</v>
      </c>
      <c r="AM197">
        <f t="shared" si="153"/>
        <v>0</v>
      </c>
      <c r="AN197" s="386">
        <f t="shared" si="154"/>
        <v>4.0893141639910553</v>
      </c>
      <c r="AO197" s="386">
        <f t="shared" si="155"/>
        <v>17.506526064539521</v>
      </c>
      <c r="AP197" s="386">
        <f t="shared" si="156"/>
        <v>0.58230906421196305</v>
      </c>
      <c r="AQ197" s="386">
        <f t="shared" si="157"/>
        <v>1.3403141361256543</v>
      </c>
      <c r="AR197" s="386">
        <f t="shared" si="158"/>
        <v>2.1760499187056142</v>
      </c>
      <c r="AS197" s="386">
        <f t="shared" si="159"/>
        <v>4.4601152141093907</v>
      </c>
      <c r="AT197" s="386">
        <f t="shared" si="160"/>
        <v>0</v>
      </c>
      <c r="AU197" s="386">
        <f t="shared" si="161"/>
        <v>0.95039999999999991</v>
      </c>
      <c r="AV197" s="386">
        <f t="shared" si="162"/>
        <v>1.4279936955123691</v>
      </c>
      <c r="AW197" s="386">
        <f t="shared" si="163"/>
        <v>0.249</v>
      </c>
      <c r="AX197" s="386">
        <f t="shared" si="164"/>
        <v>0.14400000000000002</v>
      </c>
      <c r="AY197" s="386">
        <f t="shared" si="165"/>
        <v>1.2671999999999999</v>
      </c>
      <c r="AZ197" s="386">
        <f t="shared" si="166"/>
        <v>0.10439999999999998</v>
      </c>
      <c r="BA197" s="386">
        <f t="shared" si="180"/>
        <v>1.4112</v>
      </c>
      <c r="BB197" s="386">
        <f t="shared" si="181"/>
        <v>63.504724207386509</v>
      </c>
      <c r="BC197">
        <f t="shared" si="167"/>
        <v>480</v>
      </c>
      <c r="BD197" s="604">
        <f t="shared" si="182"/>
        <v>0.88315699684119975</v>
      </c>
      <c r="BE197" s="614">
        <f t="shared" si="168"/>
        <v>251.98570819955276</v>
      </c>
      <c r="BF197" s="614">
        <f t="shared" si="169"/>
        <v>108.8024959352807</v>
      </c>
      <c r="BG197" s="9"/>
      <c r="BH197" s="4">
        <f t="shared" si="183"/>
        <v>88.315699684119977</v>
      </c>
      <c r="BI197" s="386">
        <f t="shared" si="184"/>
        <v>11.569818709313379</v>
      </c>
      <c r="BJ197" s="386">
        <f t="shared" si="185"/>
        <v>48.52194023981744</v>
      </c>
      <c r="BK197" s="386">
        <f t="shared" si="186"/>
        <v>0.31363199999999997</v>
      </c>
      <c r="BL197" s="386">
        <f t="shared" si="187"/>
        <v>1.4279936955123691</v>
      </c>
    </row>
    <row r="198" spans="7:64" x14ac:dyDescent="0.3">
      <c r="G198">
        <v>189</v>
      </c>
      <c r="H198" s="610">
        <f t="shared" si="131"/>
        <v>19.174999999999997</v>
      </c>
      <c r="I198" s="4" t="str">
        <f t="shared" si="132"/>
        <v>BOOST</v>
      </c>
      <c r="J198">
        <f t="shared" si="170"/>
        <v>2</v>
      </c>
      <c r="K198">
        <f t="shared" si="133"/>
        <v>10</v>
      </c>
      <c r="L198" s="4">
        <f t="shared" si="134"/>
        <v>27.813993915688837</v>
      </c>
      <c r="M198" s="4">
        <f t="shared" si="135"/>
        <v>25.428000297508706</v>
      </c>
      <c r="N198" s="386">
        <f t="shared" si="136"/>
        <v>1</v>
      </c>
      <c r="O198" s="386">
        <f t="shared" si="172"/>
        <v>0.60673274016833545</v>
      </c>
      <c r="P198" s="4">
        <f t="shared" si="137"/>
        <v>5.774383802969842</v>
      </c>
      <c r="Q198" s="386">
        <f t="shared" si="138"/>
        <v>27.863899282655606</v>
      </c>
      <c r="R198" s="386">
        <f t="shared" si="173"/>
        <v>9.6153707610466164</v>
      </c>
      <c r="S198" s="386">
        <f t="shared" si="174"/>
        <v>1.8264845269499317</v>
      </c>
      <c r="T198" s="386">
        <f t="shared" si="175"/>
        <v>11.441855287996548</v>
      </c>
      <c r="U198" s="4">
        <f t="shared" si="139"/>
        <v>12.592333650891371</v>
      </c>
      <c r="V198" s="386">
        <f t="shared" si="176"/>
        <v>0.31713373355074242</v>
      </c>
      <c r="W198" s="386">
        <f t="shared" si="177"/>
        <v>0.31713373355074242</v>
      </c>
      <c r="X198" s="386">
        <f t="shared" si="140"/>
        <v>1.6669210215244268</v>
      </c>
      <c r="Y198" s="386">
        <f t="shared" si="178"/>
        <v>5.5572513840000774E-3</v>
      </c>
      <c r="Z198" s="603">
        <f t="shared" si="179"/>
        <v>5.5572513840000774E-3</v>
      </c>
      <c r="AA198" s="386">
        <f t="shared" si="141"/>
        <v>27.863899282655606</v>
      </c>
      <c r="AB198" s="386">
        <f t="shared" si="142"/>
        <v>4.4254622344336614</v>
      </c>
      <c r="AC198" s="386">
        <f t="shared" si="143"/>
        <v>0</v>
      </c>
      <c r="AD198">
        <f t="shared" si="144"/>
        <v>0</v>
      </c>
      <c r="AE198" s="386">
        <f t="shared" si="145"/>
        <v>38.513240553224158</v>
      </c>
      <c r="AF198" s="386">
        <f t="shared" si="146"/>
        <v>0</v>
      </c>
      <c r="AG198" s="386">
        <f t="shared" si="147"/>
        <v>0</v>
      </c>
      <c r="AH198" s="386">
        <f t="shared" si="148"/>
        <v>0</v>
      </c>
      <c r="AI198" s="386">
        <f t="shared" si="149"/>
        <v>0</v>
      </c>
      <c r="AJ198" s="386">
        <f t="shared" si="150"/>
        <v>21.704041292411539</v>
      </c>
      <c r="AK198" s="386">
        <f t="shared" si="151"/>
        <v>0.89502427600313983</v>
      </c>
      <c r="AL198" s="386">
        <f t="shared" si="152"/>
        <v>2.4356820797992982</v>
      </c>
      <c r="AM198">
        <f t="shared" si="153"/>
        <v>0</v>
      </c>
      <c r="AN198" s="386">
        <f t="shared" si="154"/>
        <v>4.056913584569819</v>
      </c>
      <c r="AO198" s="386">
        <f t="shared" si="155"/>
        <v>17.473736715747734</v>
      </c>
      <c r="AP198" s="386">
        <f t="shared" si="156"/>
        <v>0.58012980214141374</v>
      </c>
      <c r="AQ198" s="386">
        <f t="shared" si="157"/>
        <v>1.3350717079530643</v>
      </c>
      <c r="AR198" s="386">
        <f t="shared" si="158"/>
        <v>2.1665811713456962</v>
      </c>
      <c r="AS198" s="386">
        <f t="shared" si="159"/>
        <v>4.4254622344336614</v>
      </c>
      <c r="AT198" s="386">
        <f t="shared" si="160"/>
        <v>0</v>
      </c>
      <c r="AU198" s="386">
        <f t="shared" si="161"/>
        <v>0.95039999999999991</v>
      </c>
      <c r="AV198" s="386">
        <f t="shared" si="162"/>
        <v>1.4131962252681156</v>
      </c>
      <c r="AW198" s="386">
        <f t="shared" si="163"/>
        <v>0.249</v>
      </c>
      <c r="AX198" s="386">
        <f t="shared" si="164"/>
        <v>0.14400000000000002</v>
      </c>
      <c r="AY198" s="386">
        <f t="shared" si="165"/>
        <v>1.2671999999999999</v>
      </c>
      <c r="AZ198" s="386">
        <f t="shared" si="166"/>
        <v>0.10439999999999998</v>
      </c>
      <c r="BA198" s="386">
        <f t="shared" si="180"/>
        <v>1.4112</v>
      </c>
      <c r="BB198" s="386">
        <f t="shared" si="181"/>
        <v>60.525077807339088</v>
      </c>
      <c r="BC198">
        <f t="shared" si="167"/>
        <v>480</v>
      </c>
      <c r="BD198" s="604">
        <f t="shared" si="182"/>
        <v>0.88802540290478016</v>
      </c>
      <c r="BE198" s="614">
        <f t="shared" si="168"/>
        <v>250.36567922849096</v>
      </c>
      <c r="BF198" s="614">
        <f t="shared" si="169"/>
        <v>108.3290585672848</v>
      </c>
      <c r="BG198" s="9"/>
      <c r="BH198" s="4">
        <f t="shared" si="183"/>
        <v>88.802540290478021</v>
      </c>
      <c r="BI198" s="386">
        <f t="shared" si="184"/>
        <v>11.441855287996548</v>
      </c>
      <c r="BJ198" s="386">
        <f t="shared" si="185"/>
        <v>45.687135309139677</v>
      </c>
      <c r="BK198" s="386">
        <f t="shared" si="186"/>
        <v>0.31363199999999997</v>
      </c>
      <c r="BL198" s="386">
        <f t="shared" si="187"/>
        <v>1.4131962252681156</v>
      </c>
    </row>
    <row r="199" spans="7:64" x14ac:dyDescent="0.3">
      <c r="G199">
        <v>190</v>
      </c>
      <c r="H199" s="610">
        <f t="shared" si="131"/>
        <v>19.25</v>
      </c>
      <c r="I199" s="4" t="str">
        <f t="shared" si="132"/>
        <v>BOOST</v>
      </c>
      <c r="J199">
        <f t="shared" si="170"/>
        <v>2</v>
      </c>
      <c r="K199">
        <f t="shared" si="133"/>
        <v>10</v>
      </c>
      <c r="L199" s="4">
        <f t="shared" si="134"/>
        <v>27.705627705627705</v>
      </c>
      <c r="M199" s="4">
        <f t="shared" si="135"/>
        <v>25.325642533387946</v>
      </c>
      <c r="N199" s="386">
        <f t="shared" si="136"/>
        <v>1</v>
      </c>
      <c r="O199" s="386">
        <f t="shared" si="172"/>
        <v>0.60514328563168551</v>
      </c>
      <c r="P199" s="4">
        <f t="shared" si="137"/>
        <v>5.7825728994468246</v>
      </c>
      <c r="Q199" s="386">
        <f t="shared" si="138"/>
        <v>27.75586999190676</v>
      </c>
      <c r="R199" s="386">
        <f t="shared" si="173"/>
        <v>9.484494934007337</v>
      </c>
      <c r="S199" s="386">
        <f t="shared" si="174"/>
        <v>1.8324580460450279</v>
      </c>
      <c r="T199" s="386">
        <f t="shared" si="175"/>
        <v>11.316952980052365</v>
      </c>
      <c r="U199" s="4">
        <f t="shared" si="139"/>
        <v>12.550973456200129</v>
      </c>
      <c r="V199" s="386">
        <f t="shared" si="176"/>
        <v>0.31505386939648045</v>
      </c>
      <c r="W199" s="386">
        <f t="shared" si="177"/>
        <v>0.31505386939648045</v>
      </c>
      <c r="X199" s="386">
        <f t="shared" si="140"/>
        <v>1.6692850100521295</v>
      </c>
      <c r="Y199" s="386">
        <f t="shared" si="178"/>
        <v>5.5730248895694764E-3</v>
      </c>
      <c r="Z199" s="603">
        <f t="shared" si="179"/>
        <v>5.5730248895694764E-3</v>
      </c>
      <c r="AA199" s="386">
        <f t="shared" si="141"/>
        <v>27.75586999190676</v>
      </c>
      <c r="AB199" s="386">
        <f t="shared" si="142"/>
        <v>4.3912134183434919</v>
      </c>
      <c r="AC199" s="386">
        <f t="shared" si="143"/>
        <v>0</v>
      </c>
      <c r="AD199">
        <f t="shared" si="144"/>
        <v>0</v>
      </c>
      <c r="AE199" s="386">
        <f t="shared" si="145"/>
        <v>36.065294067380776</v>
      </c>
      <c r="AF199" s="386">
        <f t="shared" si="146"/>
        <v>0</v>
      </c>
      <c r="AG199" s="386">
        <f t="shared" si="147"/>
        <v>0</v>
      </c>
      <c r="AH199" s="386">
        <f t="shared" si="148"/>
        <v>0</v>
      </c>
      <c r="AI199" s="386">
        <f t="shared" si="149"/>
        <v>0</v>
      </c>
      <c r="AJ199" s="386">
        <f t="shared" si="150"/>
        <v>21.591556650147954</v>
      </c>
      <c r="AK199" s="386">
        <f t="shared" si="151"/>
        <v>0.8857711052954419</v>
      </c>
      <c r="AL199" s="386">
        <f t="shared" si="152"/>
        <v>2.4261924093585212</v>
      </c>
      <c r="AM199">
        <f t="shared" si="153"/>
        <v>0</v>
      </c>
      <c r="AN199" s="386">
        <f t="shared" si="154"/>
        <v>4.0250112468423982</v>
      </c>
      <c r="AO199" s="386">
        <f t="shared" si="155"/>
        <v>17.441129562934901</v>
      </c>
      <c r="AP199" s="386">
        <f t="shared" si="156"/>
        <v>0.57796670081905532</v>
      </c>
      <c r="AQ199" s="386">
        <f t="shared" si="157"/>
        <v>1.3298701298701299</v>
      </c>
      <c r="AR199" s="386">
        <f t="shared" si="158"/>
        <v>2.1571941023629981</v>
      </c>
      <c r="AS199" s="386">
        <f t="shared" si="159"/>
        <v>4.3912134183434919</v>
      </c>
      <c r="AT199" s="386">
        <f t="shared" si="160"/>
        <v>0</v>
      </c>
      <c r="AU199" s="386">
        <f t="shared" si="161"/>
        <v>0.95039999999999991</v>
      </c>
      <c r="AV199" s="386">
        <f t="shared" si="162"/>
        <v>1.3985859557296452</v>
      </c>
      <c r="AW199" s="386">
        <f t="shared" si="163"/>
        <v>0.249</v>
      </c>
      <c r="AX199" s="386">
        <f t="shared" si="164"/>
        <v>0.14400000000000002</v>
      </c>
      <c r="AY199" s="386">
        <f t="shared" si="165"/>
        <v>1.2671999999999999</v>
      </c>
      <c r="AZ199" s="386">
        <f t="shared" si="166"/>
        <v>0.10439999999999998</v>
      </c>
      <c r="BA199" s="386">
        <f t="shared" si="180"/>
        <v>1.4112</v>
      </c>
      <c r="BB199" s="386">
        <f t="shared" si="181"/>
        <v>57.894265246654236</v>
      </c>
      <c r="BC199">
        <f t="shared" si="167"/>
        <v>480</v>
      </c>
      <c r="BD199" s="604">
        <f t="shared" si="182"/>
        <v>0.89236868844454686</v>
      </c>
      <c r="BE199" s="614">
        <f t="shared" si="168"/>
        <v>248.77056234211992</v>
      </c>
      <c r="BF199" s="614">
        <f t="shared" si="169"/>
        <v>107.8597051181499</v>
      </c>
      <c r="BG199" s="9"/>
      <c r="BH199" s="4">
        <f t="shared" si="183"/>
        <v>89.23686884445469</v>
      </c>
      <c r="BI199" s="386">
        <f t="shared" si="184"/>
        <v>11.316952980052365</v>
      </c>
      <c r="BJ199" s="386">
        <f t="shared" si="185"/>
        <v>43.197899416586175</v>
      </c>
      <c r="BK199" s="386">
        <f t="shared" si="186"/>
        <v>0.31363199999999997</v>
      </c>
      <c r="BL199" s="386">
        <f t="shared" si="187"/>
        <v>1.3985859557296452</v>
      </c>
    </row>
    <row r="200" spans="7:64" x14ac:dyDescent="0.3">
      <c r="G200">
        <v>191</v>
      </c>
      <c r="H200" s="610">
        <f t="shared" si="131"/>
        <v>19.324999999999999</v>
      </c>
      <c r="I200" s="4" t="str">
        <f t="shared" si="132"/>
        <v>BOOST</v>
      </c>
      <c r="J200">
        <f t="shared" si="170"/>
        <v>2</v>
      </c>
      <c r="K200">
        <f t="shared" si="133"/>
        <v>10</v>
      </c>
      <c r="L200" s="4">
        <f t="shared" si="134"/>
        <v>27.59810263044416</v>
      </c>
      <c r="M200" s="4">
        <f t="shared" si="135"/>
        <v>25.224118861169163</v>
      </c>
      <c r="N200" s="386">
        <f t="shared" si="136"/>
        <v>1</v>
      </c>
      <c r="O200" s="386">
        <f t="shared" si="172"/>
        <v>0.60355404067674578</v>
      </c>
      <c r="P200" s="4">
        <f t="shared" si="137"/>
        <v>5.7906384719305457</v>
      </c>
      <c r="Q200" s="386">
        <f t="shared" si="138"/>
        <v>27.648680980471969</v>
      </c>
      <c r="R200" s="386">
        <f t="shared" si="173"/>
        <v>9.3566528428175122</v>
      </c>
      <c r="S200" s="386">
        <f t="shared" si="174"/>
        <v>1.838352253627652</v>
      </c>
      <c r="T200" s="386">
        <f t="shared" si="175"/>
        <v>11.195005096445165</v>
      </c>
      <c r="U200" s="4">
        <f t="shared" si="139"/>
        <v>12.509806180992914</v>
      </c>
      <c r="V200" s="386">
        <f t="shared" si="176"/>
        <v>0.31299050137201706</v>
      </c>
      <c r="W200" s="386">
        <f t="shared" si="177"/>
        <v>0.31299050137201706</v>
      </c>
      <c r="X200" s="386">
        <f t="shared" si="140"/>
        <v>1.671613340274452</v>
      </c>
      <c r="Y200" s="386">
        <f t="shared" si="178"/>
        <v>5.5885823187670214E-3</v>
      </c>
      <c r="Z200" s="603">
        <f t="shared" si="179"/>
        <v>5.5885823187670214E-3</v>
      </c>
      <c r="AA200" s="386">
        <f t="shared" si="141"/>
        <v>27.648680980471969</v>
      </c>
      <c r="AB200" s="386">
        <f t="shared" si="142"/>
        <v>4.357362491771501</v>
      </c>
      <c r="AC200" s="386">
        <f t="shared" si="143"/>
        <v>0</v>
      </c>
      <c r="AD200">
        <f t="shared" si="144"/>
        <v>0</v>
      </c>
      <c r="AE200" s="386">
        <f t="shared" si="145"/>
        <v>33.902179969101475</v>
      </c>
      <c r="AF200" s="386">
        <f t="shared" si="146"/>
        <v>0</v>
      </c>
      <c r="AG200" s="386">
        <f t="shared" si="147"/>
        <v>0</v>
      </c>
      <c r="AH200" s="386">
        <f t="shared" si="148"/>
        <v>0</v>
      </c>
      <c r="AI200" s="386">
        <f t="shared" si="149"/>
        <v>0</v>
      </c>
      <c r="AJ200" s="386">
        <f t="shared" si="150"/>
        <v>21.479912029786469</v>
      </c>
      <c r="AK200" s="386">
        <f t="shared" si="151"/>
        <v>0.87663457953399437</v>
      </c>
      <c r="AL200" s="386">
        <f t="shared" si="152"/>
        <v>2.4167763974205196</v>
      </c>
      <c r="AM200">
        <f t="shared" si="153"/>
        <v>0</v>
      </c>
      <c r="AN200" s="386">
        <f t="shared" si="154"/>
        <v>3.993595814486782</v>
      </c>
      <c r="AO200" s="386">
        <f t="shared" si="155"/>
        <v>17.408702971575654</v>
      </c>
      <c r="AP200" s="386">
        <f t="shared" si="156"/>
        <v>0.57581958438983938</v>
      </c>
      <c r="AQ200" s="386">
        <f t="shared" si="157"/>
        <v>1.3247089262613196</v>
      </c>
      <c r="AR200" s="386">
        <f t="shared" si="158"/>
        <v>2.1478876674483991</v>
      </c>
      <c r="AS200" s="386">
        <f t="shared" si="159"/>
        <v>4.357362491771501</v>
      </c>
      <c r="AT200" s="386">
        <f t="shared" si="160"/>
        <v>0</v>
      </c>
      <c r="AU200" s="386">
        <f t="shared" si="161"/>
        <v>0.95039999999999991</v>
      </c>
      <c r="AV200" s="386">
        <f t="shared" si="162"/>
        <v>1.3841598624220965</v>
      </c>
      <c r="AW200" s="386">
        <f t="shared" si="163"/>
        <v>0.249</v>
      </c>
      <c r="AX200" s="386">
        <f t="shared" si="164"/>
        <v>0.14400000000000002</v>
      </c>
      <c r="AY200" s="386">
        <f t="shared" si="165"/>
        <v>1.2671999999999999</v>
      </c>
      <c r="AZ200" s="386">
        <f t="shared" si="166"/>
        <v>0.10439999999999998</v>
      </c>
      <c r="BA200" s="386">
        <f t="shared" si="180"/>
        <v>1.4112</v>
      </c>
      <c r="BB200" s="386">
        <f t="shared" si="181"/>
        <v>55.552007493594708</v>
      </c>
      <c r="BC200">
        <f t="shared" si="167"/>
        <v>480</v>
      </c>
      <c r="BD200" s="604">
        <f t="shared" si="182"/>
        <v>0.89627149797536865</v>
      </c>
      <c r="BE200" s="614">
        <f t="shared" si="168"/>
        <v>247.1997907243391</v>
      </c>
      <c r="BF200" s="614">
        <f t="shared" si="169"/>
        <v>107.39438337241995</v>
      </c>
      <c r="BG200" s="9"/>
      <c r="BH200" s="4">
        <f t="shared" si="183"/>
        <v>89.627149797536859</v>
      </c>
      <c r="BI200" s="386">
        <f t="shared" si="184"/>
        <v>11.195005096445165</v>
      </c>
      <c r="BJ200" s="386">
        <f t="shared" si="185"/>
        <v>40.994063451036659</v>
      </c>
      <c r="BK200" s="386">
        <f t="shared" si="186"/>
        <v>0.31363199999999997</v>
      </c>
      <c r="BL200" s="386">
        <f t="shared" si="187"/>
        <v>1.3841598624220965</v>
      </c>
    </row>
    <row r="201" spans="7:64" x14ac:dyDescent="0.3">
      <c r="G201">
        <v>192</v>
      </c>
      <c r="H201" s="610">
        <f t="shared" ref="H201:H209" si="188">VIN_min+(VIN_max-VIN_min)*(G201/200)</f>
        <v>19.399999999999999</v>
      </c>
      <c r="I201" s="4" t="str">
        <f t="shared" ref="I201:I209" si="189">IF(H201&gt;VIN_BB_to_buck, "BUCK", IF(H201&lt;VIN_boost_to_BB,"BOOST","BUCK-BST"))</f>
        <v>BOOST</v>
      </c>
      <c r="J201">
        <f t="shared" si="170"/>
        <v>2</v>
      </c>
      <c r="K201">
        <f t="shared" ref="K201:K209" si="190">Iout</f>
        <v>10</v>
      </c>
      <c r="L201" s="4">
        <f t="shared" ref="L201:L209" si="191">Vout*K201/(H201*Efficiency)</f>
        <v>27.491408934707902</v>
      </c>
      <c r="M201" s="4">
        <f t="shared" ref="M201:M209" si="192">Iout/(1-O201)</f>
        <v>25.123418975892761</v>
      </c>
      <c r="N201" s="386">
        <f t="shared" ref="N201:N209" si="193">CHOOSE(J201,(Vout+(Rdson2+Rs+Rdcr)*K201)/(H201+(Rs+Rdson2-Rdson1)*K201),1,IF(H201&lt;Vout,D_max_buck_BB,Vout/H201*(1-D_min_boost_exitBB_to_buck)))</f>
        <v>1</v>
      </c>
      <c r="O201" s="386">
        <f t="shared" si="172"/>
        <v>0.60196500286861732</v>
      </c>
      <c r="P201" s="4">
        <f t="shared" ref="P201:P209" si="194">MAX(0, CHOOSE(J201, (H201-(Rdson1+Rdcr)*K201-Vout)*N201/(Fsw*Lf), (H201-(Rdson4+Rdcr+Rs)*L201)*O201/(Fsw*Lf), IF(H201&lt;Vout, (H201-(Rdson4+Rdcr+Rs)*L201)*O201/(0.5*Fsw*Lf),(H201-(Rdson1+Rdcr)*K201-Vout)*N201/(0.5*Fsw*Lf))))</f>
        <v>5.7985805805848871</v>
      </c>
      <c r="Q201" s="386">
        <f t="shared" ref="Q201:Q209" si="195">CHOOSE(J201, SQRT(K201^2+(P201^2)/12), SQRT(L201^2+(P201^2)/12), SQRT(M201^2+(P201^2)/12))</f>
        <v>27.542322462187755</v>
      </c>
      <c r="R201" s="386">
        <f t="shared" si="173"/>
        <v>9.231742961282519</v>
      </c>
      <c r="S201" s="386">
        <f t="shared" si="174"/>
        <v>1.8441667061130567</v>
      </c>
      <c r="T201" s="386">
        <f t="shared" si="175"/>
        <v>11.075909667395576</v>
      </c>
      <c r="U201" s="4">
        <f t="shared" ref="U201:U209" si="196">IF(H201&gt;Vout, P201/SQRT(12), SQRT(O201/(1-O201))*SQRT(K201^2+(P201^2)/12))</f>
        <v>12.468829671353106</v>
      </c>
      <c r="V201" s="386">
        <f t="shared" si="176"/>
        <v>0.31094342674643122</v>
      </c>
      <c r="W201" s="386">
        <f t="shared" si="177"/>
        <v>0.31094342674643122</v>
      </c>
      <c r="X201" s="386">
        <f t="shared" ref="X201:X209" si="197">IF(H201&gt;Vout, SQRT(N201*(1-N201))*SQRT(K201^2+(P201^2)/12), P201/SQRT(12))</f>
        <v>1.6739060295592105</v>
      </c>
      <c r="Y201" s="386">
        <f t="shared" si="178"/>
        <v>5.6039227915893608E-3</v>
      </c>
      <c r="Z201" s="603">
        <f t="shared" si="179"/>
        <v>5.6039227915893608E-3</v>
      </c>
      <c r="AA201" s="386">
        <f t="shared" ref="AA201:AA209" si="198">CHOOSE(J201, SQRT(N201)*SQRT(K201^2+(P201^2)/12), SQRT(L201^2+(P201^2)/12), SQRT(N201)*SQRT(M201^2+(P201^2)/12))</f>
        <v>27.542322462187755</v>
      </c>
      <c r="AB201" s="386">
        <f t="shared" ref="AB201:AB209" si="199">Rdson1*AA201^2</f>
        <v>4.3239033016834538</v>
      </c>
      <c r="AC201" s="386">
        <f t="shared" ref="AC201:AC209" si="200">CHOOSE(J201, (H201*K201/2)*(Fsw)*(Tr_buck+Tf_buck), 0, (H201*M201/2)*(Fsw/2)*(Tr_buck+Tf_buck))</f>
        <v>0</v>
      </c>
      <c r="AD201">
        <f t="shared" ref="AD201:AD209" si="201">IF(H201&gt;Vout, IF(K201&gt;P201/2,0,ABS(K201-P201/2)*Vsd_Q1*Deadtime*Fsw),0)</f>
        <v>0</v>
      </c>
      <c r="AE201" s="386">
        <f t="shared" ref="AE201:AE209" si="202">(AD201+AC201+AB201*(1+RdsonTopTc*Ta-RdsonTopTc*25))/(1-AB201*RdsonTopTc*ThetaJA_Q1)</f>
        <v>31.976959157246299</v>
      </c>
      <c r="AF201" s="386">
        <f t="shared" ref="AF201:AF209" si="203">CHOOSE(J201, SQRT((1-N201))*SQRT(K201^2+(P201^2)/12), 0, SQRT((1-N201))*SQRT(M201^2+(P201^2)/12))</f>
        <v>0</v>
      </c>
      <c r="AG201" s="386">
        <f t="shared" ref="AG201:AG209" si="204">Rdson2*AF201^2</f>
        <v>0</v>
      </c>
      <c r="AH201" s="386">
        <f t="shared" ref="AH201:AH209" si="205">CHOOSE(J201, IF(K201&lt;P201/2,Deadtime*Fsw*IF(VfdSky_Q2&gt;0,0,Vsd_Q2)*(K201+P201/2),2*Deadtime*Fsw*IF(VfdSky_Q2&gt;0,0,Vsd_Q2)*K201),0, IF(K201&lt;P201/2,Deadtime*Fsw/2*IF(VfdSky_Q2&gt;0,0,Vsd_Q2)*(K201+P201/2),2*Deadtime*Fsw/2*IF(VfdSky_Q2&gt;0,0,Vsd_Q2)*K201))</f>
        <v>0</v>
      </c>
      <c r="AI201" s="386">
        <f t="shared" ref="AI201:AI209" si="206">(AH201+AG201*(1+RdsonBotTc*Ta-RdsonBotTc*25))/(1-AG201*RdsonBotTc*ThetaJA_Q2)</f>
        <v>0</v>
      </c>
      <c r="AJ201" s="386">
        <f t="shared" ref="AJ201:AJ209" si="207">CHOOSE(J201, 0, SQRT(O201)*SQRT(L201^2+(P201^2)/12), SQRT(O201)*SQRT(M201^2+(P201^2)/12))</f>
        <v>21.36909747538591</v>
      </c>
      <c r="AK201" s="386">
        <f t="shared" ref="AK201:AK209" si="208">Rdson4*AJ201^2</f>
        <v>0.86761282113383453</v>
      </c>
      <c r="AL201" s="386">
        <f t="shared" ref="AL201:AL209" si="209">CHOOSE(J201, 0, (Vout*L201/2)*(Fsw)*(Tr_boost+Tf_boost), (Vout*Iout/2)*(Fsw/2)*(Tr_boost+Tf_boost))</f>
        <v>2.4074331896985326</v>
      </c>
      <c r="AM201">
        <f t="shared" ref="AM201:AM209" si="210">IF(H201&gt;Vout, 0, IF(L201&gt;P201/2,0,ABS(L201-P201/2)*Vsd_Q4*Deadtime*Fsw))</f>
        <v>0</v>
      </c>
      <c r="AN201" s="386">
        <f t="shared" ref="AN201:AN209" si="211">(AM201+AL201+AK201*(1+RdsonTopTc*Ta-RdsonTopTc*25))/(1-AK201*RdsonTopTc*ThetaJA_Q4)</f>
        <v>3.962656291721153</v>
      </c>
      <c r="AO201" s="386">
        <f t="shared" ref="AO201:AO209" si="212">CHOOSE(J201, SQRT(Iout^2+(P201^2)/12), SQRT(1-O201)*SQRT(L201^2+(P201^2)/12), SQRT(1-O201)*SQRT(M201^2+(P201^2)/12))</f>
        <v>17.376455326060828</v>
      </c>
      <c r="AP201" s="386">
        <f t="shared" ref="AP201:AP209" si="213">Rdson3*AO201^2</f>
        <v>0.57368827942731659</v>
      </c>
      <c r="AQ201" s="386">
        <f t="shared" ref="AQ201:AQ209" si="214">CHOOSE(J201, 0, IF(L201&lt;P201/2,Deadtime*Fsw*IF(VfdSky_Q3&gt;0,0,Vsd_Q3)*(L201+P201/2), 2*Deadtime*Fsw*IF(VfdSky_Q3&gt;0,0,Vsd_Q3)*L201), IF(L201&lt;P201/2,Deadtime*Fsw/2*IF(VfdSky_Q3&gt;0,0,Vsd_Q3)*(L201+P201/2), 2*Deadtime*Fsw/2*IF(VfdSky_Q3&gt;0,0,Vsd_Q3)*L201))</f>
        <v>1.3195876288659794</v>
      </c>
      <c r="AR201" s="386">
        <f t="shared" ref="AR201:AR209" si="215">(AQ201+AP201*(1+RdsonBotTc*Ta-RdsonBotTc*25))/(1-AP201*RdsonBotTc*ThetaJA_Q3)</f>
        <v>2.1386608397841678</v>
      </c>
      <c r="AS201" s="386">
        <f t="shared" ref="AS201:AS209" si="216">CHOOSE(J201, Rdson3*Q201^2, Rdson1*Q201^2, 0)</f>
        <v>4.3239033016834538</v>
      </c>
      <c r="AT201" s="386">
        <f t="shared" ref="AT201:AT209" si="217">CHOOSE(J201, 2*Deadtime*Fsw*IF(VfdSky_Q2&gt;0,VfdSky_Q2,0)*K201, 2*Deadtime*Fsw*IF(VfdSky_Q3&gt;0,VfdSky_Q3,0)*L201, 2*Deadtime*Fsw/2*IF(VfdSky_Q2&gt;0,VfdSky_Q2,0)*K201+2*Deadtime*Fsw/2*IF(VfdSky_Q3&gt;0,VfdSky_Q3,0)*L201)</f>
        <v>0</v>
      </c>
      <c r="AU201" s="386">
        <f t="shared" ref="AU201:AU209" si="218">CHOOSE(J201, IF(QrrSky_Q2&gt;0,QrrSky_Q2,Qrr_Q2)*Fsw*(H201-K201*Rdson1), IF(QrrSky_Q3&gt;0,QrrSky_Q3,Qrr_Q3)*Fsw*Vout,  IF(QrrSky_Q2&gt;0,QrrSky_Q2,Qrr_Q2)*Fsw/2*(H201-K201*Rdson1)+IF(QrrSky_Q3&gt;0,QrrSky_Q3,Qrr_Q3)*Fsw/2*Vout)</f>
        <v>0.95039999999999991</v>
      </c>
      <c r="AV201" s="386">
        <f t="shared" ref="AV201:AV209" si="219">CHOOSE(J201, Rs*AF201^2, Rs*AJ201^2, Rs*(AF201^2+AJ201^2))</f>
        <v>1.3699149807376334</v>
      </c>
      <c r="AW201" s="386">
        <f t="shared" ref="AW201:AW209" si="220">Rshunt_std/1000*Iout^2</f>
        <v>0.249</v>
      </c>
      <c r="AX201" s="386">
        <f t="shared" ref="AX201:AX209" si="221">IF(Vout&gt;8, Iq*Vout, Iq*H201)</f>
        <v>0.14400000000000002</v>
      </c>
      <c r="AY201" s="386">
        <f t="shared" ref="AY201:AY209" si="222">CHOOSE(J201, (Qg_Q1+Qg_Q2)*Fsw, (Qg_Q3+Qg_Q4)*Fsw, (Qg_Q1+Qg_Q2+Qg_Q3+Qg_Q4)*Fsw/2)*IF(Vout&gt;8, Vout, H201)</f>
        <v>1.2671999999999999</v>
      </c>
      <c r="AZ201" s="386">
        <f t="shared" ref="AZ201:AZ209" si="223">(Vin-Vdd)*Fsw*(Qg_Q1+Qg_Q2)+(RdsonDRT+RdsonDRT2)*Fsw*Qg_Q1*Vdd/(RdsonDRT+2*Rgate1+RdsonDRT2)+(RdsonDRB+RdsonDRB2)*Fsw*Qg_Q2*Vdd/(RdsonDRB+2*Rgate2+RdsonDRB2)</f>
        <v>0.10439999999999998</v>
      </c>
      <c r="BA201" s="386">
        <f t="shared" si="180"/>
        <v>1.4112</v>
      </c>
      <c r="BB201" s="386">
        <f t="shared" si="181"/>
        <v>53.451248286422853</v>
      </c>
      <c r="BC201">
        <f t="shared" ref="BC201:BC209" si="224">Vout*K201</f>
        <v>480</v>
      </c>
      <c r="BD201" s="604">
        <f t="shared" si="182"/>
        <v>0.89980106249986025</v>
      </c>
      <c r="BE201" s="614">
        <f t="shared" ref="BE201:BE209" si="225">IF(H201&gt;Vout,ThetaJA_Q1*(AE201+AU201),ThetaJA_Q4*(AN201+AU201))</f>
        <v>245.65281458605764</v>
      </c>
      <c r="BF201" s="614">
        <f t="shared" ref="BF201:BF209" si="226">IF(H201&gt;Vout, AI201*ThetaJA_Q2, ThetaJA_Q3*AR201)</f>
        <v>106.93304198920839</v>
      </c>
      <c r="BG201" s="9"/>
      <c r="BH201" s="4">
        <f t="shared" si="183"/>
        <v>89.980106249986022</v>
      </c>
      <c r="BI201" s="386">
        <f t="shared" si="184"/>
        <v>11.075909667395576</v>
      </c>
      <c r="BJ201" s="386">
        <f t="shared" si="185"/>
        <v>39.028676288751619</v>
      </c>
      <c r="BK201" s="386">
        <f t="shared" si="186"/>
        <v>0.31363199999999997</v>
      </c>
      <c r="BL201" s="386">
        <f t="shared" si="187"/>
        <v>1.3699149807376334</v>
      </c>
    </row>
    <row r="202" spans="7:64" x14ac:dyDescent="0.3">
      <c r="G202">
        <v>193</v>
      </c>
      <c r="H202" s="610">
        <f t="shared" si="188"/>
        <v>19.475000000000001</v>
      </c>
      <c r="I202" s="4" t="str">
        <f t="shared" si="189"/>
        <v>BOOST</v>
      </c>
      <c r="J202">
        <f t="shared" ref="J202:J209" si="227">IF(I202="BOOST",2, IF(I202="BUCK", 1,3))</f>
        <v>2</v>
      </c>
      <c r="K202">
        <f t="shared" si="190"/>
        <v>10</v>
      </c>
      <c r="L202" s="4">
        <f t="shared" si="191"/>
        <v>27.385537013264866</v>
      </c>
      <c r="M202" s="4">
        <f t="shared" si="192"/>
        <v>25.023532743892794</v>
      </c>
      <c r="N202" s="386">
        <f t="shared" si="193"/>
        <v>1</v>
      </c>
      <c r="O202" s="386">
        <f t="shared" ref="O202:O209" si="228">CHOOSE(J202,0,(Vout+(Rdson3+Rdcr)*L202-H202)/(Vout+(Rdson3-Rdson4-Rs)*L202),IF(H202&gt;Vout,D_min_boost_exitBB_to_buck, (Vout-H202*D_max_buck_BB)/Vout))</f>
        <v>0.60037616980997277</v>
      </c>
      <c r="P202" s="4">
        <f t="shared" si="194"/>
        <v>5.8063992846407499</v>
      </c>
      <c r="Q202" s="386">
        <f t="shared" si="195"/>
        <v>27.436784801174433</v>
      </c>
      <c r="R202" s="386">
        <f t="shared" si="173"/>
        <v>9.1096682175848187</v>
      </c>
      <c r="S202" s="386">
        <f t="shared" si="174"/>
        <v>1.8499009666666988</v>
      </c>
      <c r="T202" s="386">
        <f t="shared" si="175"/>
        <v>10.959569184251517</v>
      </c>
      <c r="U202" s="4">
        <f t="shared" si="196"/>
        <v>12.42804180466006</v>
      </c>
      <c r="V202" s="386">
        <f t="shared" si="176"/>
        <v>0.30891244619675617</v>
      </c>
      <c r="W202" s="386">
        <f t="shared" si="177"/>
        <v>0.30891244619675617</v>
      </c>
      <c r="X202" s="386">
        <f t="shared" si="197"/>
        <v>1.6761630950048938</v>
      </c>
      <c r="Y202" s="386">
        <f t="shared" si="178"/>
        <v>5.6190454421127696E-3</v>
      </c>
      <c r="Z202" s="603">
        <f t="shared" si="179"/>
        <v>5.6190454421127696E-3</v>
      </c>
      <c r="AA202" s="386">
        <f t="shared" si="198"/>
        <v>27.436784801174433</v>
      </c>
      <c r="AB202" s="386">
        <f t="shared" si="199"/>
        <v>4.2908298132879512</v>
      </c>
      <c r="AC202" s="386">
        <f t="shared" si="200"/>
        <v>0</v>
      </c>
      <c r="AD202">
        <f t="shared" si="201"/>
        <v>0</v>
      </c>
      <c r="AE202" s="386">
        <f t="shared" si="202"/>
        <v>30.25246896786285</v>
      </c>
      <c r="AF202" s="386">
        <f t="shared" si="203"/>
        <v>0</v>
      </c>
      <c r="AG202" s="386">
        <f t="shared" si="204"/>
        <v>0</v>
      </c>
      <c r="AH202" s="386">
        <f t="shared" si="205"/>
        <v>0</v>
      </c>
      <c r="AI202" s="386">
        <f t="shared" si="206"/>
        <v>0</v>
      </c>
      <c r="AJ202" s="386">
        <f t="shared" si="207"/>
        <v>21.259103183739619</v>
      </c>
      <c r="AK202" s="386">
        <f t="shared" si="208"/>
        <v>0.85870398953608718</v>
      </c>
      <c r="AL202" s="386">
        <f t="shared" si="209"/>
        <v>2.3981619450655471</v>
      </c>
      <c r="AM202">
        <f t="shared" si="210"/>
        <v>0</v>
      </c>
      <c r="AN202" s="386">
        <f t="shared" si="211"/>
        <v>3.9321820106223173</v>
      </c>
      <c r="AO202" s="386">
        <f t="shared" si="212"/>
        <v>17.344385029428647</v>
      </c>
      <c r="AP202" s="386">
        <f t="shared" si="213"/>
        <v>0.5715726148932303</v>
      </c>
      <c r="AQ202" s="386">
        <f t="shared" si="214"/>
        <v>1.3145057766367136</v>
      </c>
      <c r="AR202" s="386">
        <f t="shared" si="215"/>
        <v>2.1295126096828509</v>
      </c>
      <c r="AS202" s="386">
        <f t="shared" si="216"/>
        <v>4.2908298132879512</v>
      </c>
      <c r="AT202" s="386">
        <f t="shared" si="217"/>
        <v>0</v>
      </c>
      <c r="AU202" s="386">
        <f t="shared" si="218"/>
        <v>0.95039999999999991</v>
      </c>
      <c r="AV202" s="386">
        <f t="shared" si="219"/>
        <v>1.355848404530664</v>
      </c>
      <c r="AW202" s="386">
        <f t="shared" si="220"/>
        <v>0.249</v>
      </c>
      <c r="AX202" s="386">
        <f t="shared" si="221"/>
        <v>0.14400000000000002</v>
      </c>
      <c r="AY202" s="386">
        <f t="shared" si="222"/>
        <v>1.2671999999999999</v>
      </c>
      <c r="AZ202" s="386">
        <f t="shared" si="223"/>
        <v>0.10439999999999998</v>
      </c>
      <c r="BA202" s="386">
        <f t="shared" si="180"/>
        <v>1.4112</v>
      </c>
      <c r="BB202" s="386">
        <f t="shared" si="181"/>
        <v>51.554712668589069</v>
      </c>
      <c r="BC202">
        <f t="shared" si="224"/>
        <v>480</v>
      </c>
      <c r="BD202" s="604">
        <f t="shared" si="182"/>
        <v>0.90301146534894483</v>
      </c>
      <c r="BE202" s="614">
        <f t="shared" si="225"/>
        <v>244.12910053111588</v>
      </c>
      <c r="BF202" s="614">
        <f t="shared" si="226"/>
        <v>106.47563048414254</v>
      </c>
      <c r="BG202" s="9"/>
      <c r="BH202" s="4">
        <f t="shared" si="183"/>
        <v>90.301146534894485</v>
      </c>
      <c r="BI202" s="386">
        <f t="shared" si="184"/>
        <v>10.959569184251517</v>
      </c>
      <c r="BJ202" s="386">
        <f t="shared" si="185"/>
        <v>37.264563588168016</v>
      </c>
      <c r="BK202" s="386">
        <f t="shared" si="186"/>
        <v>0.31363199999999997</v>
      </c>
      <c r="BL202" s="386">
        <f t="shared" si="187"/>
        <v>1.355848404530664</v>
      </c>
    </row>
    <row r="203" spans="7:64" x14ac:dyDescent="0.3">
      <c r="G203">
        <v>194</v>
      </c>
      <c r="H203" s="610">
        <f t="shared" si="188"/>
        <v>19.549999999999997</v>
      </c>
      <c r="I203" s="4" t="str">
        <f t="shared" si="189"/>
        <v>BOOST</v>
      </c>
      <c r="J203">
        <f t="shared" si="227"/>
        <v>2</v>
      </c>
      <c r="K203">
        <f t="shared" si="190"/>
        <v>10</v>
      </c>
      <c r="L203" s="4">
        <f t="shared" si="191"/>
        <v>27.280477408354649</v>
      </c>
      <c r="M203" s="4">
        <f t="shared" si="192"/>
        <v>24.924450199212021</v>
      </c>
      <c r="N203" s="386">
        <f t="shared" si="193"/>
        <v>1</v>
      </c>
      <c r="O203" s="386">
        <f t="shared" si="228"/>
        <v>0.59878753914033589</v>
      </c>
      <c r="P203" s="4">
        <f t="shared" si="194"/>
        <v>5.8140946424140871</v>
      </c>
      <c r="Q203" s="386">
        <f t="shared" si="195"/>
        <v>27.332058508955999</v>
      </c>
      <c r="R203" s="386">
        <f t="shared" si="173"/>
        <v>8.990335752923631</v>
      </c>
      <c r="S203" s="386">
        <f t="shared" si="174"/>
        <v>1.8555546052159928</v>
      </c>
      <c r="T203" s="386">
        <f t="shared" si="175"/>
        <v>10.845890358139624</v>
      </c>
      <c r="U203" s="4">
        <f t="shared" si="196"/>
        <v>12.38744048898633</v>
      </c>
      <c r="V203" s="386">
        <f t="shared" si="176"/>
        <v>0.30689736373635579</v>
      </c>
      <c r="W203" s="386">
        <f t="shared" si="177"/>
        <v>0.30689736373635579</v>
      </c>
      <c r="X203" s="386">
        <f t="shared" si="197"/>
        <v>1.6783845534458672</v>
      </c>
      <c r="Y203" s="386">
        <f t="shared" si="178"/>
        <v>5.6339494184913666E-3</v>
      </c>
      <c r="Z203" s="603">
        <f t="shared" si="179"/>
        <v>5.6339494184913666E-3</v>
      </c>
      <c r="AA203" s="386">
        <f t="shared" si="198"/>
        <v>27.332058508955999</v>
      </c>
      <c r="AB203" s="386">
        <f t="shared" si="199"/>
        <v>4.2581361073208663</v>
      </c>
      <c r="AC203" s="386">
        <f t="shared" si="200"/>
        <v>0</v>
      </c>
      <c r="AD203">
        <f t="shared" si="201"/>
        <v>0</v>
      </c>
      <c r="AE203" s="386">
        <f t="shared" si="202"/>
        <v>28.698903864583766</v>
      </c>
      <c r="AF203" s="386">
        <f t="shared" si="203"/>
        <v>0</v>
      </c>
      <c r="AG203" s="386">
        <f t="shared" si="204"/>
        <v>0</v>
      </c>
      <c r="AH203" s="386">
        <f t="shared" si="205"/>
        <v>0</v>
      </c>
      <c r="AI203" s="386">
        <f t="shared" si="206"/>
        <v>0</v>
      </c>
      <c r="AJ203" s="386">
        <f t="shared" si="207"/>
        <v>21.149919501432269</v>
      </c>
      <c r="AK203" s="386">
        <f t="shared" si="208"/>
        <v>0.84990628034242355</v>
      </c>
      <c r="AL203" s="386">
        <f t="shared" si="209"/>
        <v>2.3889618353018691</v>
      </c>
      <c r="AM203">
        <f t="shared" si="210"/>
        <v>0</v>
      </c>
      <c r="AN203" s="386">
        <f t="shared" si="211"/>
        <v>3.9021626190065062</v>
      </c>
      <c r="AO203" s="386">
        <f t="shared" si="212"/>
        <v>17.312490503100037</v>
      </c>
      <c r="AP203" s="386">
        <f t="shared" si="213"/>
        <v>0.56947242209786497</v>
      </c>
      <c r="AQ203" s="386">
        <f t="shared" si="214"/>
        <v>1.3094629156010231</v>
      </c>
      <c r="AR203" s="386">
        <f t="shared" si="215"/>
        <v>2.1204419842349438</v>
      </c>
      <c r="AS203" s="386">
        <f t="shared" si="216"/>
        <v>4.2581361073208663</v>
      </c>
      <c r="AT203" s="386">
        <f t="shared" si="217"/>
        <v>0</v>
      </c>
      <c r="AU203" s="386">
        <f t="shared" si="218"/>
        <v>0.95039999999999991</v>
      </c>
      <c r="AV203" s="386">
        <f t="shared" si="219"/>
        <v>1.3419572847511951</v>
      </c>
      <c r="AW203" s="386">
        <f t="shared" si="220"/>
        <v>0.249</v>
      </c>
      <c r="AX203" s="386">
        <f t="shared" si="221"/>
        <v>0.14400000000000002</v>
      </c>
      <c r="AY203" s="386">
        <f t="shared" si="222"/>
        <v>1.2671999999999999</v>
      </c>
      <c r="AZ203" s="386">
        <f t="shared" si="223"/>
        <v>0.10439999999999998</v>
      </c>
      <c r="BA203" s="386">
        <f t="shared" si="180"/>
        <v>1.4112</v>
      </c>
      <c r="BB203" s="386">
        <f t="shared" si="181"/>
        <v>49.832487423870887</v>
      </c>
      <c r="BC203">
        <f t="shared" si="224"/>
        <v>480</v>
      </c>
      <c r="BD203" s="604">
        <f t="shared" si="182"/>
        <v>0.90594671220301282</v>
      </c>
      <c r="BE203" s="614">
        <f t="shared" si="225"/>
        <v>242.62813095032533</v>
      </c>
      <c r="BF203" s="614">
        <f t="shared" si="226"/>
        <v>106.02209921174719</v>
      </c>
      <c r="BG203" s="9"/>
      <c r="BH203" s="4">
        <f t="shared" si="183"/>
        <v>90.594671220301279</v>
      </c>
      <c r="BI203" s="386">
        <f t="shared" si="184"/>
        <v>10.845890358139624</v>
      </c>
      <c r="BJ203" s="386">
        <f t="shared" si="185"/>
        <v>35.671908467825219</v>
      </c>
      <c r="BK203" s="386">
        <f t="shared" si="186"/>
        <v>0.31363199999999997</v>
      </c>
      <c r="BL203" s="386">
        <f t="shared" si="187"/>
        <v>1.3419572847511951</v>
      </c>
    </row>
    <row r="204" spans="7:64" x14ac:dyDescent="0.3">
      <c r="G204">
        <v>195</v>
      </c>
      <c r="H204" s="610">
        <f t="shared" si="188"/>
        <v>19.625</v>
      </c>
      <c r="I204" s="4" t="str">
        <f t="shared" si="189"/>
        <v>BOOST</v>
      </c>
      <c r="J204">
        <f t="shared" si="227"/>
        <v>2</v>
      </c>
      <c r="K204">
        <f t="shared" si="190"/>
        <v>10</v>
      </c>
      <c r="L204" s="4">
        <f t="shared" si="191"/>
        <v>27.176220806794053</v>
      </c>
      <c r="M204" s="4">
        <f t="shared" si="192"/>
        <v>24.826161540107275</v>
      </c>
      <c r="N204" s="386">
        <f t="shared" si="193"/>
        <v>1</v>
      </c>
      <c r="O204" s="386">
        <f t="shared" si="228"/>
        <v>0.59719910853537495</v>
      </c>
      <c r="P204" s="4">
        <f t="shared" si="194"/>
        <v>5.8216667113234939</v>
      </c>
      <c r="Q204" s="386">
        <f t="shared" si="195"/>
        <v>27.228134241646153</v>
      </c>
      <c r="R204" s="386">
        <f t="shared" si="173"/>
        <v>8.87365669567642</v>
      </c>
      <c r="S204" s="386">
        <f t="shared" si="174"/>
        <v>1.861127198461872</v>
      </c>
      <c r="T204" s="386">
        <f t="shared" si="175"/>
        <v>10.734783894138292</v>
      </c>
      <c r="U204" s="4">
        <f t="shared" si="196"/>
        <v>12.34702366250886</v>
      </c>
      <c r="V204" s="386">
        <f t="shared" si="176"/>
        <v>0.30489798664510742</v>
      </c>
      <c r="W204" s="386">
        <f t="shared" si="177"/>
        <v>0.30489798664510742</v>
      </c>
      <c r="X204" s="386">
        <f t="shared" si="197"/>
        <v>1.6805704214574513</v>
      </c>
      <c r="Y204" s="386">
        <f t="shared" si="178"/>
        <v>5.6486338829553513E-3</v>
      </c>
      <c r="Z204" s="603">
        <f t="shared" si="179"/>
        <v>5.6486338829553513E-3</v>
      </c>
      <c r="AA204" s="386">
        <f t="shared" si="198"/>
        <v>27.228134241646153</v>
      </c>
      <c r="AB204" s="386">
        <f t="shared" si="199"/>
        <v>4.2258163774022917</v>
      </c>
      <c r="AC204" s="386">
        <f t="shared" si="200"/>
        <v>0</v>
      </c>
      <c r="AD204">
        <f t="shared" si="201"/>
        <v>0</v>
      </c>
      <c r="AE204" s="386">
        <f t="shared" si="202"/>
        <v>27.292080677339321</v>
      </c>
      <c r="AF204" s="386">
        <f t="shared" si="203"/>
        <v>0</v>
      </c>
      <c r="AG204" s="386">
        <f t="shared" si="204"/>
        <v>0</v>
      </c>
      <c r="AH204" s="386">
        <f t="shared" si="205"/>
        <v>0</v>
      </c>
      <c r="AI204" s="386">
        <f t="shared" si="206"/>
        <v>0</v>
      </c>
      <c r="AJ204" s="386">
        <f t="shared" si="207"/>
        <v>21.041536921964429</v>
      </c>
      <c r="AK204" s="386">
        <f t="shared" si="208"/>
        <v>0.84121792447294541</v>
      </c>
      <c r="AL204" s="386">
        <f t="shared" si="209"/>
        <v>2.3798320448484858</v>
      </c>
      <c r="AM204">
        <f t="shared" si="210"/>
        <v>0</v>
      </c>
      <c r="AN204" s="386">
        <f t="shared" si="211"/>
        <v>3.8725880688437107</v>
      </c>
      <c r="AO204" s="386">
        <f t="shared" si="212"/>
        <v>17.280770186618174</v>
      </c>
      <c r="AP204" s="386">
        <f t="shared" si="213"/>
        <v>0.56738753466115188</v>
      </c>
      <c r="AQ204" s="386">
        <f t="shared" si="214"/>
        <v>1.3044585987261146</v>
      </c>
      <c r="AR204" s="386">
        <f t="shared" si="215"/>
        <v>2.1114479869651479</v>
      </c>
      <c r="AS204" s="386">
        <f t="shared" si="216"/>
        <v>4.2258163774022917</v>
      </c>
      <c r="AT204" s="386">
        <f t="shared" si="217"/>
        <v>0</v>
      </c>
      <c r="AU204" s="386">
        <f t="shared" si="218"/>
        <v>0.95039999999999991</v>
      </c>
      <c r="AV204" s="386">
        <f t="shared" si="219"/>
        <v>1.3282388281151769</v>
      </c>
      <c r="AW204" s="386">
        <f t="shared" si="220"/>
        <v>0.249</v>
      </c>
      <c r="AX204" s="386">
        <f t="shared" si="221"/>
        <v>0.14400000000000002</v>
      </c>
      <c r="AY204" s="386">
        <f t="shared" si="222"/>
        <v>1.2671999999999999</v>
      </c>
      <c r="AZ204" s="386">
        <f t="shared" si="223"/>
        <v>0.10439999999999998</v>
      </c>
      <c r="BA204" s="386">
        <f t="shared" si="180"/>
        <v>1.4112</v>
      </c>
      <c r="BB204" s="386">
        <f t="shared" si="181"/>
        <v>48.260286075929713</v>
      </c>
      <c r="BC204">
        <f t="shared" si="224"/>
        <v>480</v>
      </c>
      <c r="BD204" s="604">
        <f t="shared" si="182"/>
        <v>0.90864297894808432</v>
      </c>
      <c r="BE204" s="614">
        <f t="shared" si="225"/>
        <v>241.14940344218553</v>
      </c>
      <c r="BF204" s="614">
        <f t="shared" si="226"/>
        <v>105.57239934825739</v>
      </c>
      <c r="BG204" s="9"/>
      <c r="BH204" s="4">
        <f t="shared" si="183"/>
        <v>90.864297894808431</v>
      </c>
      <c r="BI204" s="386">
        <f t="shared" si="184"/>
        <v>10.734783894138292</v>
      </c>
      <c r="BJ204" s="386">
        <f t="shared" si="185"/>
        <v>34.226516733148181</v>
      </c>
      <c r="BK204" s="386">
        <f t="shared" si="186"/>
        <v>0.31363199999999997</v>
      </c>
      <c r="BL204" s="386">
        <f t="shared" si="187"/>
        <v>1.3282388281151769</v>
      </c>
    </row>
    <row r="205" spans="7:64" x14ac:dyDescent="0.3">
      <c r="G205">
        <v>196</v>
      </c>
      <c r="H205" s="610">
        <f t="shared" si="188"/>
        <v>19.7</v>
      </c>
      <c r="I205" s="4" t="str">
        <f t="shared" si="189"/>
        <v>BOOST</v>
      </c>
      <c r="J205">
        <f t="shared" si="227"/>
        <v>2</v>
      </c>
      <c r="K205">
        <f t="shared" si="190"/>
        <v>10</v>
      </c>
      <c r="L205" s="4">
        <f t="shared" si="191"/>
        <v>27.072758037225043</v>
      </c>
      <c r="M205" s="4">
        <f t="shared" si="192"/>
        <v>24.728657125642886</v>
      </c>
      <c r="N205" s="386">
        <f t="shared" si="193"/>
        <v>1</v>
      </c>
      <c r="O205" s="386">
        <f t="shared" si="228"/>
        <v>0.59561087570621474</v>
      </c>
      <c r="P205" s="4">
        <f t="shared" si="194"/>
        <v>5.8291155479074011</v>
      </c>
      <c r="Q205" s="386">
        <f t="shared" si="195"/>
        <v>27.125002797198711</v>
      </c>
      <c r="R205" s="386">
        <f t="shared" si="173"/>
        <v>8.7595459499301285</v>
      </c>
      <c r="S205" s="386">
        <f t="shared" si="174"/>
        <v>1.8666183298901171</v>
      </c>
      <c r="T205" s="386">
        <f t="shared" si="175"/>
        <v>10.626164279820246</v>
      </c>
      <c r="U205" s="4">
        <f t="shared" si="196"/>
        <v>12.306789292933852</v>
      </c>
      <c r="V205" s="386">
        <f t="shared" si="176"/>
        <v>0.3029141254013426</v>
      </c>
      <c r="W205" s="386">
        <f t="shared" si="177"/>
        <v>0.3029141254013426</v>
      </c>
      <c r="X205" s="386">
        <f t="shared" si="197"/>
        <v>1.6827207153608856</v>
      </c>
      <c r="Y205" s="386">
        <f t="shared" si="178"/>
        <v>5.6630980118093019E-3</v>
      </c>
      <c r="Z205" s="603">
        <f t="shared" si="179"/>
        <v>5.6630980118093019E-3</v>
      </c>
      <c r="AA205" s="386">
        <f t="shared" si="198"/>
        <v>27.125002797198711</v>
      </c>
      <c r="AB205" s="386">
        <f t="shared" si="199"/>
        <v>4.1938649274638156</v>
      </c>
      <c r="AC205" s="386">
        <f t="shared" si="200"/>
        <v>0</v>
      </c>
      <c r="AD205">
        <f t="shared" si="201"/>
        <v>0</v>
      </c>
      <c r="AE205" s="386">
        <f t="shared" si="202"/>
        <v>26.012172589572859</v>
      </c>
      <c r="AF205" s="386">
        <f t="shared" si="203"/>
        <v>0</v>
      </c>
      <c r="AG205" s="386">
        <f t="shared" si="204"/>
        <v>0</v>
      </c>
      <c r="AH205" s="386">
        <f t="shared" si="205"/>
        <v>0</v>
      </c>
      <c r="AI205" s="386">
        <f t="shared" si="206"/>
        <v>0</v>
      </c>
      <c r="AJ205" s="386">
        <f t="shared" si="207"/>
        <v>20.933946082942942</v>
      </c>
      <c r="AK205" s="386">
        <f t="shared" si="208"/>
        <v>0.83263718734676817</v>
      </c>
      <c r="AL205" s="386">
        <f t="shared" si="209"/>
        <v>2.3707717705660678</v>
      </c>
      <c r="AM205">
        <f t="shared" si="210"/>
        <v>0</v>
      </c>
      <c r="AN205" s="386">
        <f t="shared" si="211"/>
        <v>3.8434486051783474</v>
      </c>
      <c r="AO205" s="386">
        <f t="shared" si="212"/>
        <v>17.249222537392107</v>
      </c>
      <c r="AP205" s="386">
        <f t="shared" si="213"/>
        <v>0.56531778847450409</v>
      </c>
      <c r="AQ205" s="386">
        <f t="shared" si="214"/>
        <v>1.2994923857868022</v>
      </c>
      <c r="AR205" s="386">
        <f t="shared" si="215"/>
        <v>2.102529657496953</v>
      </c>
      <c r="AS205" s="386">
        <f t="shared" si="216"/>
        <v>4.1938649274638156</v>
      </c>
      <c r="AT205" s="386">
        <f t="shared" si="217"/>
        <v>0</v>
      </c>
      <c r="AU205" s="386">
        <f t="shared" si="218"/>
        <v>0.95039999999999991</v>
      </c>
      <c r="AV205" s="386">
        <f t="shared" si="219"/>
        <v>1.3146902958106865</v>
      </c>
      <c r="AW205" s="386">
        <f t="shared" si="220"/>
        <v>0.249</v>
      </c>
      <c r="AX205" s="386">
        <f t="shared" si="221"/>
        <v>0.14400000000000002</v>
      </c>
      <c r="AY205" s="386">
        <f t="shared" si="222"/>
        <v>1.2671999999999999</v>
      </c>
      <c r="AZ205" s="386">
        <f t="shared" si="223"/>
        <v>0.10439999999999998</v>
      </c>
      <c r="BA205" s="386">
        <f t="shared" si="180"/>
        <v>1.4112</v>
      </c>
      <c r="BB205" s="386">
        <f t="shared" si="181"/>
        <v>46.81818265129224</v>
      </c>
      <c r="BC205">
        <f t="shared" si="224"/>
        <v>480</v>
      </c>
      <c r="BD205" s="604">
        <f t="shared" si="182"/>
        <v>0.91113028328735235</v>
      </c>
      <c r="BE205" s="614">
        <f t="shared" si="225"/>
        <v>239.69243025891734</v>
      </c>
      <c r="BF205" s="614">
        <f t="shared" si="226"/>
        <v>105.12648287484765</v>
      </c>
      <c r="BG205" s="9"/>
      <c r="BH205" s="4">
        <f t="shared" si="183"/>
        <v>91.11302832873524</v>
      </c>
      <c r="BI205" s="386">
        <f t="shared" si="184"/>
        <v>10.626164279820246</v>
      </c>
      <c r="BJ205" s="386">
        <f t="shared" si="185"/>
        <v>32.908550852248162</v>
      </c>
      <c r="BK205" s="386">
        <f t="shared" si="186"/>
        <v>0.31363199999999997</v>
      </c>
      <c r="BL205" s="386">
        <f t="shared" si="187"/>
        <v>1.3146902958106865</v>
      </c>
    </row>
    <row r="206" spans="7:64" x14ac:dyDescent="0.3">
      <c r="G206">
        <v>197</v>
      </c>
      <c r="H206" s="610">
        <f t="shared" si="188"/>
        <v>19.774999999999999</v>
      </c>
      <c r="I206" s="4" t="str">
        <f t="shared" si="189"/>
        <v>BOOST</v>
      </c>
      <c r="J206">
        <f t="shared" si="227"/>
        <v>2</v>
      </c>
      <c r="K206">
        <f t="shared" si="190"/>
        <v>10</v>
      </c>
      <c r="L206" s="4">
        <f t="shared" si="191"/>
        <v>26.970080067425201</v>
      </c>
      <c r="M206" s="4">
        <f t="shared" si="192"/>
        <v>24.631927472369185</v>
      </c>
      <c r="N206" s="386">
        <f t="shared" si="193"/>
        <v>1</v>
      </c>
      <c r="O206" s="386">
        <f t="shared" si="228"/>
        <v>0.59402283839876191</v>
      </c>
      <c r="P206" s="4">
        <f t="shared" si="194"/>
        <v>5.8364412078408794</v>
      </c>
      <c r="Q206" s="386">
        <f t="shared" si="195"/>
        <v>27.022655112720539</v>
      </c>
      <c r="R206" s="386">
        <f t="shared" si="173"/>
        <v>8.6479219973264758</v>
      </c>
      <c r="S206" s="386">
        <f t="shared" si="174"/>
        <v>1.8720275897825098</v>
      </c>
      <c r="T206" s="386">
        <f t="shared" si="175"/>
        <v>10.519949587108986</v>
      </c>
      <c r="U206" s="4">
        <f t="shared" si="196"/>
        <v>12.26673537693482</v>
      </c>
      <c r="V206" s="386">
        <f t="shared" si="176"/>
        <v>0.30094559361548845</v>
      </c>
      <c r="W206" s="386">
        <f t="shared" si="177"/>
        <v>0.30094559361548845</v>
      </c>
      <c r="X206" s="386">
        <f t="shared" si="197"/>
        <v>1.6848354512281782</v>
      </c>
      <c r="Y206" s="386">
        <f t="shared" si="178"/>
        <v>5.6773409954305179E-3</v>
      </c>
      <c r="Z206" s="603">
        <f t="shared" si="179"/>
        <v>5.6773409954305179E-3</v>
      </c>
      <c r="AA206" s="386">
        <f t="shared" si="198"/>
        <v>27.022655112720539</v>
      </c>
      <c r="AB206" s="386">
        <f t="shared" si="199"/>
        <v>4.1622761692439365</v>
      </c>
      <c r="AC206" s="386">
        <f t="shared" si="200"/>
        <v>0</v>
      </c>
      <c r="AD206">
        <f t="shared" si="201"/>
        <v>0</v>
      </c>
      <c r="AE206" s="386">
        <f t="shared" si="202"/>
        <v>24.842770471787798</v>
      </c>
      <c r="AF206" s="386">
        <f t="shared" si="203"/>
        <v>0</v>
      </c>
      <c r="AG206" s="386">
        <f t="shared" si="204"/>
        <v>0</v>
      </c>
      <c r="AH206" s="386">
        <f t="shared" si="205"/>
        <v>0</v>
      </c>
      <c r="AI206" s="386">
        <f t="shared" si="206"/>
        <v>0</v>
      </c>
      <c r="AJ206" s="386">
        <f t="shared" si="207"/>
        <v>20.827137763335337</v>
      </c>
      <c r="AK206" s="386">
        <f t="shared" si="208"/>
        <v>0.82416236808460286</v>
      </c>
      <c r="AL206" s="386">
        <f t="shared" si="209"/>
        <v>2.3617802214994454</v>
      </c>
      <c r="AM206">
        <f t="shared" si="210"/>
        <v>0</v>
      </c>
      <c r="AN206" s="386">
        <f t="shared" si="211"/>
        <v>3.8147347555305946</v>
      </c>
      <c r="AO206" s="386">
        <f t="shared" si="212"/>
        <v>17.217846030444477</v>
      </c>
      <c r="AP206" s="386">
        <f t="shared" si="213"/>
        <v>0.56326302166337605</v>
      </c>
      <c r="AQ206" s="386">
        <f t="shared" si="214"/>
        <v>1.2945638432364097</v>
      </c>
      <c r="AR206" s="386">
        <f t="shared" si="215"/>
        <v>2.0936860512253119</v>
      </c>
      <c r="AS206" s="386">
        <f t="shared" si="216"/>
        <v>4.1622761692439365</v>
      </c>
      <c r="AT206" s="386">
        <f t="shared" si="217"/>
        <v>0</v>
      </c>
      <c r="AU206" s="386">
        <f t="shared" si="218"/>
        <v>0.95039999999999991</v>
      </c>
      <c r="AV206" s="386">
        <f t="shared" si="219"/>
        <v>1.3013090022388467</v>
      </c>
      <c r="AW206" s="386">
        <f t="shared" si="220"/>
        <v>0.249</v>
      </c>
      <c r="AX206" s="386">
        <f t="shared" si="221"/>
        <v>0.14400000000000002</v>
      </c>
      <c r="AY206" s="386">
        <f t="shared" si="222"/>
        <v>1.2671999999999999</v>
      </c>
      <c r="AZ206" s="386">
        <f t="shared" si="223"/>
        <v>0.10439999999999998</v>
      </c>
      <c r="BA206" s="386">
        <f t="shared" si="180"/>
        <v>1.4112</v>
      </c>
      <c r="BB206" s="386">
        <f t="shared" si="181"/>
        <v>45.489672802502461</v>
      </c>
      <c r="BC206">
        <f t="shared" si="224"/>
        <v>480</v>
      </c>
      <c r="BD206" s="604">
        <f t="shared" si="182"/>
        <v>0.91343374540568922</v>
      </c>
      <c r="BE206" s="614">
        <f t="shared" si="225"/>
        <v>238.25673777652972</v>
      </c>
      <c r="BF206" s="614">
        <f t="shared" si="226"/>
        <v>104.6843025612656</v>
      </c>
      <c r="BG206" s="9"/>
      <c r="BH206" s="4">
        <f t="shared" si="183"/>
        <v>91.343374540568917</v>
      </c>
      <c r="BI206" s="386">
        <f t="shared" si="184"/>
        <v>10.519949587108986</v>
      </c>
      <c r="BJ206" s="386">
        <f t="shared" si="185"/>
        <v>31.701591278543702</v>
      </c>
      <c r="BK206" s="386">
        <f t="shared" si="186"/>
        <v>0.31363199999999997</v>
      </c>
      <c r="BL206" s="386">
        <f t="shared" si="187"/>
        <v>1.3013090022388467</v>
      </c>
    </row>
    <row r="207" spans="7:64" x14ac:dyDescent="0.3">
      <c r="G207">
        <v>198</v>
      </c>
      <c r="H207" s="610">
        <f t="shared" si="188"/>
        <v>19.850000000000001</v>
      </c>
      <c r="I207" s="4" t="str">
        <f t="shared" si="189"/>
        <v>BOOST</v>
      </c>
      <c r="J207">
        <f t="shared" si="227"/>
        <v>2</v>
      </c>
      <c r="K207">
        <f t="shared" si="190"/>
        <v>10</v>
      </c>
      <c r="L207" s="4">
        <f t="shared" si="191"/>
        <v>26.868178001679258</v>
      </c>
      <c r="M207" s="4">
        <f t="shared" si="192"/>
        <v>24.535963251083917</v>
      </c>
      <c r="N207" s="386">
        <f t="shared" si="193"/>
        <v>1</v>
      </c>
      <c r="O207" s="386">
        <f t="shared" si="228"/>
        <v>0.59243499439304736</v>
      </c>
      <c r="P207" s="4">
        <f t="shared" si="194"/>
        <v>5.8436437459520487</v>
      </c>
      <c r="Q207" s="386">
        <f t="shared" si="195"/>
        <v>26.921082261845548</v>
      </c>
      <c r="R207" s="386">
        <f t="shared" si="173"/>
        <v>8.5387067112537895</v>
      </c>
      <c r="S207" s="386">
        <f t="shared" si="174"/>
        <v>1.8773545752277507</v>
      </c>
      <c r="T207" s="386">
        <f t="shared" si="175"/>
        <v>10.41606128648154</v>
      </c>
      <c r="U207" s="4">
        <f t="shared" si="196"/>
        <v>12.226859939603571</v>
      </c>
      <c r="V207" s="386">
        <f t="shared" si="176"/>
        <v>0.2989922079653653</v>
      </c>
      <c r="W207" s="386">
        <f t="shared" si="177"/>
        <v>0.2989922079653653</v>
      </c>
      <c r="X207" s="386">
        <f t="shared" si="197"/>
        <v>1.6869146448868444</v>
      </c>
      <c r="Y207" s="386">
        <f t="shared" si="178"/>
        <v>5.6913620382674163E-3</v>
      </c>
      <c r="Z207" s="603">
        <f t="shared" si="179"/>
        <v>5.6913620382674163E-3</v>
      </c>
      <c r="AA207" s="386">
        <f t="shared" si="198"/>
        <v>26.921082261845548</v>
      </c>
      <c r="AB207" s="386">
        <f t="shared" si="199"/>
        <v>4.1310446198496136</v>
      </c>
      <c r="AC207" s="386">
        <f t="shared" si="200"/>
        <v>0</v>
      </c>
      <c r="AD207">
        <f t="shared" si="201"/>
        <v>0</v>
      </c>
      <c r="AE207" s="386">
        <f t="shared" si="202"/>
        <v>23.77017689409249</v>
      </c>
      <c r="AF207" s="386">
        <f t="shared" si="203"/>
        <v>0</v>
      </c>
      <c r="AG207" s="386">
        <f t="shared" si="204"/>
        <v>0</v>
      </c>
      <c r="AH207" s="386">
        <f t="shared" si="205"/>
        <v>0</v>
      </c>
      <c r="AI207" s="386">
        <f t="shared" si="206"/>
        <v>0</v>
      </c>
      <c r="AJ207" s="386">
        <f t="shared" si="207"/>
        <v>20.721102880786688</v>
      </c>
      <c r="AK207" s="386">
        <f t="shared" si="208"/>
        <v>0.81579179873267815</v>
      </c>
      <c r="AL207" s="386">
        <f t="shared" si="209"/>
        <v>2.3528566186474325</v>
      </c>
      <c r="AM207">
        <f t="shared" si="210"/>
        <v>0</v>
      </c>
      <c r="AN207" s="386">
        <f t="shared" si="211"/>
        <v>3.7864373197542887</v>
      </c>
      <c r="AO207" s="386">
        <f t="shared" si="212"/>
        <v>17.186639158163199</v>
      </c>
      <c r="AP207" s="386">
        <f t="shared" si="213"/>
        <v>0.56122307455052645</v>
      </c>
      <c r="AQ207" s="386">
        <f t="shared" si="214"/>
        <v>1.2896725440806045</v>
      </c>
      <c r="AR207" s="386">
        <f t="shared" si="215"/>
        <v>2.0849162389971965</v>
      </c>
      <c r="AS207" s="386">
        <f t="shared" si="216"/>
        <v>4.1310446198496136</v>
      </c>
      <c r="AT207" s="386">
        <f t="shared" si="217"/>
        <v>0</v>
      </c>
      <c r="AU207" s="386">
        <f t="shared" si="218"/>
        <v>0.95039999999999991</v>
      </c>
      <c r="AV207" s="386">
        <f t="shared" si="219"/>
        <v>1.2880923137884392</v>
      </c>
      <c r="AW207" s="386">
        <f t="shared" si="220"/>
        <v>0.249</v>
      </c>
      <c r="AX207" s="386">
        <f t="shared" si="221"/>
        <v>0.14400000000000002</v>
      </c>
      <c r="AY207" s="386">
        <f t="shared" si="222"/>
        <v>1.2671999999999999</v>
      </c>
      <c r="AZ207" s="386">
        <f t="shared" si="223"/>
        <v>0.10439999999999998</v>
      </c>
      <c r="BA207" s="386">
        <f t="shared" si="180"/>
        <v>1.4112</v>
      </c>
      <c r="BB207" s="386">
        <f t="shared" si="181"/>
        <v>44.260967623117594</v>
      </c>
      <c r="BC207">
        <f t="shared" si="224"/>
        <v>480</v>
      </c>
      <c r="BD207" s="604">
        <f t="shared" si="182"/>
        <v>0.9155745509268276</v>
      </c>
      <c r="BE207" s="614">
        <f t="shared" si="225"/>
        <v>236.84186598771441</v>
      </c>
      <c r="BF207" s="614">
        <f t="shared" si="226"/>
        <v>104.24581194985983</v>
      </c>
      <c r="BG207" s="9"/>
      <c r="BH207" s="4">
        <f t="shared" si="183"/>
        <v>91.557455092682758</v>
      </c>
      <c r="BI207" s="386">
        <f t="shared" si="184"/>
        <v>10.41606128648154</v>
      </c>
      <c r="BJ207" s="386">
        <f t="shared" si="185"/>
        <v>30.591930452843972</v>
      </c>
      <c r="BK207" s="386">
        <f t="shared" si="186"/>
        <v>0.31363199999999997</v>
      </c>
      <c r="BL207" s="386">
        <f t="shared" si="187"/>
        <v>1.2880923137884392</v>
      </c>
    </row>
    <row r="208" spans="7:64" x14ac:dyDescent="0.3">
      <c r="G208">
        <v>199</v>
      </c>
      <c r="H208" s="610">
        <f t="shared" si="188"/>
        <v>19.925000000000001</v>
      </c>
      <c r="I208" s="4" t="str">
        <f t="shared" si="189"/>
        <v>BOOST</v>
      </c>
      <c r="J208">
        <f t="shared" si="227"/>
        <v>2</v>
      </c>
      <c r="K208">
        <f t="shared" si="190"/>
        <v>10</v>
      </c>
      <c r="L208" s="4">
        <f t="shared" si="191"/>
        <v>26.767043078209952</v>
      </c>
      <c r="M208" s="4">
        <f t="shared" si="192"/>
        <v>24.440755283674008</v>
      </c>
      <c r="N208" s="386">
        <f t="shared" si="193"/>
        <v>1</v>
      </c>
      <c r="O208" s="386">
        <f t="shared" si="228"/>
        <v>0.59084734150258345</v>
      </c>
      <c r="P208" s="4">
        <f t="shared" si="194"/>
        <v>5.85072321623813</v>
      </c>
      <c r="Q208" s="386">
        <f t="shared" si="195"/>
        <v>26.820275452168016</v>
      </c>
      <c r="R208" s="386">
        <f t="shared" si="173"/>
        <v>8.4318251824970485</v>
      </c>
      <c r="S208" s="386">
        <f t="shared" si="174"/>
        <v>1.8825988901321868</v>
      </c>
      <c r="T208" s="386">
        <f t="shared" si="175"/>
        <v>10.314424072629235</v>
      </c>
      <c r="U208" s="4">
        <f t="shared" si="196"/>
        <v>12.18716103391372</v>
      </c>
      <c r="V208" s="386">
        <f t="shared" si="176"/>
        <v>0.29705378813308986</v>
      </c>
      <c r="W208" s="386">
        <f t="shared" si="177"/>
        <v>0.29705378813308986</v>
      </c>
      <c r="X208" s="386">
        <f t="shared" si="197"/>
        <v>1.6889583119245388</v>
      </c>
      <c r="Y208" s="386">
        <f t="shared" si="178"/>
        <v>5.7051603588379757E-3</v>
      </c>
      <c r="Z208" s="603">
        <f t="shared" si="179"/>
        <v>5.7051603588379757E-3</v>
      </c>
      <c r="AA208" s="386">
        <f t="shared" si="198"/>
        <v>26.820275452168016</v>
      </c>
      <c r="AB208" s="386">
        <f t="shared" si="199"/>
        <v>4.1001648993819479</v>
      </c>
      <c r="AC208" s="386">
        <f t="shared" si="200"/>
        <v>0</v>
      </c>
      <c r="AD208">
        <f t="shared" si="201"/>
        <v>0</v>
      </c>
      <c r="AE208" s="386">
        <f t="shared" si="202"/>
        <v>22.782868197549476</v>
      </c>
      <c r="AF208" s="386">
        <f t="shared" si="203"/>
        <v>0</v>
      </c>
      <c r="AG208" s="386">
        <f t="shared" si="204"/>
        <v>0</v>
      </c>
      <c r="AH208" s="386">
        <f t="shared" si="205"/>
        <v>0</v>
      </c>
      <c r="AI208" s="386">
        <f t="shared" si="206"/>
        <v>0</v>
      </c>
      <c r="AJ208" s="386">
        <f t="shared" si="207"/>
        <v>20.615832488997174</v>
      </c>
      <c r="AK208" s="386">
        <f t="shared" si="208"/>
        <v>0.80752384350734363</v>
      </c>
      <c r="AL208" s="386">
        <f t="shared" si="209"/>
        <v>2.3440001947378435</v>
      </c>
      <c r="AM208">
        <f t="shared" si="210"/>
        <v>0</v>
      </c>
      <c r="AN208" s="386">
        <f t="shared" si="211"/>
        <v>3.7585473603285684</v>
      </c>
      <c r="AO208" s="386">
        <f t="shared" si="212"/>
        <v>17.155600430057085</v>
      </c>
      <c r="AP208" s="386">
        <f t="shared" si="213"/>
        <v>0.55919778961997224</v>
      </c>
      <c r="AQ208" s="386">
        <f t="shared" si="214"/>
        <v>1.2848180677540777</v>
      </c>
      <c r="AR208" s="386">
        <f t="shared" si="215"/>
        <v>2.076219306799802</v>
      </c>
      <c r="AS208" s="386">
        <f t="shared" si="216"/>
        <v>4.1001648993819479</v>
      </c>
      <c r="AT208" s="386">
        <f t="shared" si="217"/>
        <v>0</v>
      </c>
      <c r="AU208" s="386">
        <f t="shared" si="218"/>
        <v>0.95039999999999991</v>
      </c>
      <c r="AV208" s="386">
        <f t="shared" si="219"/>
        <v>1.2750376476431742</v>
      </c>
      <c r="AW208" s="386">
        <f t="shared" si="220"/>
        <v>0.249</v>
      </c>
      <c r="AX208" s="386">
        <f t="shared" si="221"/>
        <v>0.14400000000000002</v>
      </c>
      <c r="AY208" s="386">
        <f t="shared" si="222"/>
        <v>1.2671999999999999</v>
      </c>
      <c r="AZ208" s="386">
        <f t="shared" si="223"/>
        <v>0.10439999999999998</v>
      </c>
      <c r="BA208" s="386">
        <f t="shared" si="180"/>
        <v>1.4112</v>
      </c>
      <c r="BB208" s="386">
        <f t="shared" si="181"/>
        <v>43.12045553344219</v>
      </c>
      <c r="BC208">
        <f t="shared" si="224"/>
        <v>480</v>
      </c>
      <c r="BD208" s="604">
        <f t="shared" si="182"/>
        <v>0.9175706950907303</v>
      </c>
      <c r="BE208" s="614">
        <f t="shared" si="225"/>
        <v>235.44736801642841</v>
      </c>
      <c r="BF208" s="614">
        <f t="shared" si="226"/>
        <v>103.8109653399901</v>
      </c>
      <c r="BG208" s="9"/>
      <c r="BH208" s="4">
        <f t="shared" si="183"/>
        <v>91.757069509073034</v>
      </c>
      <c r="BI208" s="386">
        <f t="shared" si="184"/>
        <v>10.314424072629235</v>
      </c>
      <c r="BJ208" s="386">
        <f t="shared" si="185"/>
        <v>29.568034864677845</v>
      </c>
      <c r="BK208" s="386">
        <f t="shared" si="186"/>
        <v>0.31363199999999997</v>
      </c>
      <c r="BL208" s="386">
        <f t="shared" si="187"/>
        <v>1.2750376476431742</v>
      </c>
    </row>
    <row r="209" spans="7:64" x14ac:dyDescent="0.3">
      <c r="G209">
        <v>200</v>
      </c>
      <c r="H209" s="610">
        <f t="shared" si="188"/>
        <v>20</v>
      </c>
      <c r="I209" s="4" t="str">
        <f t="shared" si="189"/>
        <v>BOOST</v>
      </c>
      <c r="J209">
        <f t="shared" si="227"/>
        <v>2</v>
      </c>
      <c r="K209">
        <f t="shared" si="190"/>
        <v>10</v>
      </c>
      <c r="L209" s="4">
        <f t="shared" si="191"/>
        <v>26.666666666666668</v>
      </c>
      <c r="M209" s="4">
        <f t="shared" si="192"/>
        <v>24.346294540035224</v>
      </c>
      <c r="N209" s="386">
        <f t="shared" si="193"/>
        <v>1</v>
      </c>
      <c r="O209" s="386">
        <f t="shared" si="228"/>
        <v>0.58925987757373399</v>
      </c>
      <c r="P209" s="4">
        <f t="shared" si="194"/>
        <v>5.8576796718811197</v>
      </c>
      <c r="Q209" s="386">
        <f t="shared" si="195"/>
        <v>26.720226022733701</v>
      </c>
      <c r="R209" s="386">
        <f t="shared" si="173"/>
        <v>8.3272055555302025</v>
      </c>
      <c r="S209" s="386">
        <f t="shared" si="174"/>
        <v>1.8877601452303181</v>
      </c>
      <c r="T209" s="386">
        <f t="shared" si="175"/>
        <v>10.214965700760521</v>
      </c>
      <c r="U209" s="4">
        <f t="shared" si="196"/>
        <v>12.147636740196321</v>
      </c>
      <c r="V209" s="386">
        <f t="shared" si="176"/>
        <v>0.29513015674353499</v>
      </c>
      <c r="W209" s="386">
        <f t="shared" si="177"/>
        <v>0.29513015674353499</v>
      </c>
      <c r="X209" s="386">
        <f t="shared" si="197"/>
        <v>1.6909664676935816</v>
      </c>
      <c r="Y209" s="386">
        <f t="shared" si="178"/>
        <v>5.7187351897282166E-3</v>
      </c>
      <c r="Z209" s="603">
        <f t="shared" si="179"/>
        <v>5.7187351897282166E-3</v>
      </c>
      <c r="AA209" s="386">
        <f t="shared" si="198"/>
        <v>26.720226022733701</v>
      </c>
      <c r="AB209" s="386">
        <f t="shared" si="199"/>
        <v>4.0696317286240591</v>
      </c>
      <c r="AC209" s="386">
        <f t="shared" si="200"/>
        <v>0</v>
      </c>
      <c r="AD209">
        <f t="shared" si="201"/>
        <v>0</v>
      </c>
      <c r="AE209" s="386">
        <f t="shared" si="202"/>
        <v>21.871079731714175</v>
      </c>
      <c r="AF209" s="386">
        <f t="shared" si="203"/>
        <v>0</v>
      </c>
      <c r="AG209" s="386">
        <f t="shared" si="204"/>
        <v>0</v>
      </c>
      <c r="AH209" s="386">
        <f t="shared" si="205"/>
        <v>0</v>
      </c>
      <c r="AI209" s="386">
        <f t="shared" si="206"/>
        <v>0</v>
      </c>
      <c r="AJ209" s="386">
        <f t="shared" si="207"/>
        <v>20.511317775158748</v>
      </c>
      <c r="AK209" s="386">
        <f t="shared" si="208"/>
        <v>0.79935689805973209</v>
      </c>
      <c r="AL209" s="386">
        <f t="shared" si="209"/>
        <v>2.3352101940075767</v>
      </c>
      <c r="AM209">
        <f t="shared" si="210"/>
        <v>0</v>
      </c>
      <c r="AN209" s="386">
        <f t="shared" si="211"/>
        <v>3.7310561930617947</v>
      </c>
      <c r="AO209" s="386">
        <f t="shared" si="212"/>
        <v>17.124728372515342</v>
      </c>
      <c r="AP209" s="386">
        <f t="shared" si="213"/>
        <v>0.55718701148162075</v>
      </c>
      <c r="AQ209" s="386">
        <f t="shared" si="214"/>
        <v>1.28</v>
      </c>
      <c r="AR209" s="386">
        <f t="shared" si="215"/>
        <v>2.0675943554562024</v>
      </c>
      <c r="AS209" s="386">
        <f t="shared" si="216"/>
        <v>4.0696317286240591</v>
      </c>
      <c r="AT209" s="386">
        <f t="shared" si="217"/>
        <v>0</v>
      </c>
      <c r="AU209" s="386">
        <f t="shared" si="218"/>
        <v>0.95039999999999991</v>
      </c>
      <c r="AV209" s="386">
        <f t="shared" si="219"/>
        <v>1.2621424706206297</v>
      </c>
      <c r="AW209" s="386">
        <f t="shared" si="220"/>
        <v>0.249</v>
      </c>
      <c r="AX209" s="386">
        <f t="shared" si="221"/>
        <v>0.14400000000000002</v>
      </c>
      <c r="AY209" s="386">
        <f t="shared" si="222"/>
        <v>1.2671999999999999</v>
      </c>
      <c r="AZ209" s="386">
        <f t="shared" si="223"/>
        <v>0.10439999999999998</v>
      </c>
      <c r="BA209" s="386">
        <f t="shared" si="180"/>
        <v>1.4112</v>
      </c>
      <c r="BB209" s="386">
        <f t="shared" si="181"/>
        <v>42.058287343546596</v>
      </c>
      <c r="BC209">
        <f t="shared" si="224"/>
        <v>480</v>
      </c>
      <c r="BD209" s="604">
        <f t="shared" si="182"/>
        <v>0.91943756403608312</v>
      </c>
      <c r="BE209" s="614">
        <f t="shared" si="225"/>
        <v>234.07280965308973</v>
      </c>
      <c r="BF209" s="614">
        <f t="shared" si="226"/>
        <v>103.37971777281012</v>
      </c>
      <c r="BG209" s="9"/>
      <c r="BH209" s="4">
        <f t="shared" si="183"/>
        <v>91.943756403608319</v>
      </c>
      <c r="BI209" s="386">
        <f t="shared" si="184"/>
        <v>10.214965700760521</v>
      </c>
      <c r="BJ209" s="386">
        <f t="shared" si="185"/>
        <v>28.620130280232171</v>
      </c>
      <c r="BK209" s="386">
        <f t="shared" si="186"/>
        <v>0.31363199999999997</v>
      </c>
      <c r="BL209" s="386">
        <f t="shared" si="187"/>
        <v>1.2621424706206297</v>
      </c>
    </row>
    <row r="224" spans="7:64" x14ac:dyDescent="0.3">
      <c r="H224"/>
      <c r="N224"/>
      <c r="O224"/>
      <c r="P224"/>
      <c r="Q224"/>
      <c r="R224"/>
      <c r="U224"/>
      <c r="X224"/>
      <c r="AS224"/>
      <c r="AU224"/>
      <c r="BB224"/>
      <c r="BD224"/>
      <c r="BE224"/>
      <c r="BF224"/>
      <c r="BH224"/>
      <c r="BI224"/>
      <c r="BJ224"/>
      <c r="BK224"/>
    </row>
    <row r="234" customFormat="1" x14ac:dyDescent="0.3"/>
    <row r="235" customFormat="1" x14ac:dyDescent="0.3"/>
  </sheetData>
  <sheetProtection selectLockedCells="1"/>
  <mergeCells count="13">
    <mergeCell ref="X7:Z7"/>
    <mergeCell ref="A1:D4"/>
    <mergeCell ref="A6:D7"/>
    <mergeCell ref="G7:P7"/>
    <mergeCell ref="Q7:T7"/>
    <mergeCell ref="U7:W7"/>
    <mergeCell ref="AA7:AE7"/>
    <mergeCell ref="AF7:AI7"/>
    <mergeCell ref="AX7:BA7"/>
    <mergeCell ref="BB7:BF7"/>
    <mergeCell ref="BH7:BL7"/>
    <mergeCell ref="AJ7:AN7"/>
    <mergeCell ref="AO7:AR7"/>
  </mergeCells>
  <phoneticPr fontId="98" type="noConversion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CE209"/>
  <sheetViews>
    <sheetView zoomScaleNormal="100" workbookViewId="0">
      <pane ySplit="8" topLeftCell="A9" activePane="bottomLeft" state="frozen"/>
      <selection activeCell="F1" sqref="F1"/>
      <selection pane="bottomLeft" activeCell="BH109" sqref="BH109"/>
    </sheetView>
  </sheetViews>
  <sheetFormatPr defaultRowHeight="12.45" x14ac:dyDescent="0.3"/>
  <cols>
    <col min="1" max="1" width="19.84375" customWidth="1"/>
    <col min="2" max="2" width="13.15234375" bestFit="1" customWidth="1"/>
    <col min="4" max="4" width="71.53515625" customWidth="1"/>
    <col min="6" max="6" width="9.15234375" customWidth="1"/>
    <col min="7" max="7" width="6.84375" customWidth="1"/>
    <col min="8" max="8" width="9.15234375" style="609"/>
    <col min="9" max="9" width="11" customWidth="1"/>
    <col min="10" max="10" width="6.69140625" customWidth="1"/>
    <col min="11" max="11" width="8.15234375" customWidth="1"/>
    <col min="12" max="12" width="7.3828125" customWidth="1"/>
    <col min="13" max="13" width="7.15234375" customWidth="1"/>
    <col min="14" max="14" width="10.69140625" style="386" customWidth="1"/>
    <col min="15" max="15" width="11.3828125" style="386" customWidth="1"/>
    <col min="16" max="16" width="8.84375" style="4" customWidth="1"/>
    <col min="17" max="17" width="8" style="4" customWidth="1"/>
    <col min="18" max="18" width="9.3828125" style="335" customWidth="1"/>
    <col min="19" max="19" width="8" customWidth="1"/>
    <col min="20" max="20" width="9.3046875" customWidth="1"/>
    <col min="21" max="21" width="8.84375" style="4" customWidth="1"/>
    <col min="22" max="22" width="9.84375" customWidth="1"/>
    <col min="23" max="23" width="10.69140625" customWidth="1"/>
    <col min="24" max="24" width="9.69140625" style="335" customWidth="1"/>
    <col min="25" max="25" width="10.53515625" customWidth="1"/>
    <col min="27" max="28" width="8.53515625" customWidth="1"/>
    <col min="29" max="29" width="10" customWidth="1"/>
    <col min="30" max="30" width="8" customWidth="1"/>
    <col min="31" max="31" width="9.84375" customWidth="1"/>
    <col min="32" max="33" width="8.84375" customWidth="1"/>
    <col min="34" max="34" width="10.53515625" customWidth="1"/>
    <col min="35" max="35" width="10.3046875" customWidth="1"/>
    <col min="36" max="37" width="8.53515625" customWidth="1"/>
    <col min="38" max="38" width="10" customWidth="1"/>
    <col min="39" max="39" width="8" customWidth="1"/>
    <col min="40" max="40" width="9.84375" customWidth="1"/>
    <col min="41" max="42" width="8.84375" customWidth="1"/>
    <col min="43" max="43" width="10.3828125" customWidth="1"/>
    <col min="44" max="44" width="10.3046875" customWidth="1"/>
    <col min="45" max="45" width="12.3046875" style="335" customWidth="1"/>
    <col min="46" max="46" width="13.69140625" customWidth="1"/>
    <col min="47" max="47" width="12" style="335" customWidth="1"/>
    <col min="48" max="48" width="11.53515625" customWidth="1"/>
    <col min="49" max="49" width="11" customWidth="1"/>
    <col min="50" max="50" width="9.3046875" customWidth="1"/>
    <col min="51" max="52" width="10.3828125" customWidth="1"/>
    <col min="54" max="54" width="8.3828125" style="4" customWidth="1"/>
    <col min="55" max="55" width="7.3046875" customWidth="1"/>
    <col min="56" max="56" width="10.15234375" style="9" customWidth="1"/>
    <col min="57" max="57" width="12.3828125" style="406" customWidth="1"/>
    <col min="58" max="58" width="11.3828125" style="406" customWidth="1"/>
    <col min="59" max="59" width="3.3046875" customWidth="1"/>
    <col min="60" max="60" width="7.84375" style="386" customWidth="1"/>
    <col min="61" max="61" width="9.15234375" style="335"/>
    <col min="62" max="62" width="10.3046875" style="335" customWidth="1"/>
    <col min="63" max="63" width="12.15234375" style="335" customWidth="1"/>
    <col min="64" max="64" width="8.84375" style="335" customWidth="1"/>
    <col min="65" max="65" width="7.84375" customWidth="1"/>
    <col min="69" max="69" width="28.3828125" customWidth="1"/>
    <col min="72" max="72" width="12.3828125" bestFit="1" customWidth="1"/>
  </cols>
  <sheetData>
    <row r="1" spans="1:83" ht="12.75" customHeight="1" x14ac:dyDescent="0.3">
      <c r="A1" s="718" t="s">
        <v>888</v>
      </c>
      <c r="B1" s="718"/>
      <c r="C1" s="718"/>
      <c r="D1" s="718"/>
    </row>
    <row r="2" spans="1:83" ht="12.75" customHeight="1" x14ac:dyDescent="0.3">
      <c r="A2" s="718"/>
      <c r="B2" s="718"/>
      <c r="C2" s="718"/>
      <c r="D2" s="718"/>
      <c r="H2" s="615">
        <f>BD19</f>
        <v>0.91172228834083457</v>
      </c>
      <c r="I2" s="118" t="s">
        <v>920</v>
      </c>
      <c r="AI2" s="118"/>
      <c r="AJ2" s="118"/>
    </row>
    <row r="3" spans="1:83" ht="12.75" customHeight="1" x14ac:dyDescent="0.3">
      <c r="A3" s="718"/>
      <c r="B3" s="718"/>
      <c r="C3" s="718"/>
      <c r="D3" s="718"/>
      <c r="H3" s="615">
        <f>BD59</f>
        <v>0.92072161790826412</v>
      </c>
      <c r="I3" s="118" t="s">
        <v>922</v>
      </c>
      <c r="AI3" s="118"/>
      <c r="AJ3" s="118"/>
    </row>
    <row r="4" spans="1:83" ht="12.75" customHeight="1" x14ac:dyDescent="0.3">
      <c r="A4" s="718"/>
      <c r="B4" s="718"/>
      <c r="C4" s="718"/>
      <c r="D4" s="718"/>
      <c r="H4" s="615">
        <f>BD109</f>
        <v>1.2974425467730533</v>
      </c>
      <c r="I4" s="118" t="s">
        <v>921</v>
      </c>
      <c r="AI4" s="118"/>
      <c r="AJ4" s="118"/>
    </row>
    <row r="5" spans="1:83" x14ac:dyDescent="0.3">
      <c r="A5" s="10"/>
      <c r="B5" s="11"/>
      <c r="C5" s="6"/>
      <c r="D5" s="6"/>
    </row>
    <row r="6" spans="1:83" ht="13.5" customHeight="1" thickBot="1" x14ac:dyDescent="0.35">
      <c r="A6" s="719" t="s">
        <v>682</v>
      </c>
      <c r="B6" s="719"/>
      <c r="C6" s="719"/>
      <c r="D6" s="719"/>
      <c r="BV6">
        <v>80</v>
      </c>
      <c r="BW6">
        <v>100</v>
      </c>
      <c r="BX6">
        <v>120</v>
      </c>
      <c r="BY6">
        <v>140</v>
      </c>
      <c r="BZ6">
        <v>160</v>
      </c>
      <c r="CA6">
        <v>180</v>
      </c>
      <c r="CB6">
        <v>20</v>
      </c>
      <c r="CC6">
        <v>30</v>
      </c>
      <c r="CD6">
        <v>40</v>
      </c>
      <c r="CE6">
        <v>50</v>
      </c>
    </row>
    <row r="7" spans="1:83" ht="12.9" thickBot="1" x14ac:dyDescent="0.35">
      <c r="A7" s="719"/>
      <c r="B7" s="719"/>
      <c r="C7" s="719"/>
      <c r="D7" s="719"/>
      <c r="G7" s="711" t="s">
        <v>903</v>
      </c>
      <c r="H7" s="712"/>
      <c r="I7" s="712"/>
      <c r="J7" s="712"/>
      <c r="K7" s="712"/>
      <c r="L7" s="712"/>
      <c r="M7" s="712"/>
      <c r="N7" s="712"/>
      <c r="O7" s="712"/>
      <c r="P7" s="713"/>
      <c r="Q7" s="711" t="s">
        <v>694</v>
      </c>
      <c r="R7" s="712"/>
      <c r="S7" s="712"/>
      <c r="T7" s="713"/>
      <c r="U7" s="720" t="s">
        <v>27</v>
      </c>
      <c r="V7" s="721"/>
      <c r="W7" s="722"/>
      <c r="X7" s="711" t="s">
        <v>61</v>
      </c>
      <c r="Y7" s="712"/>
      <c r="Z7" s="713"/>
      <c r="AA7" s="711" t="s">
        <v>898</v>
      </c>
      <c r="AB7" s="712"/>
      <c r="AC7" s="712"/>
      <c r="AD7" s="712"/>
      <c r="AE7" s="713"/>
      <c r="AF7" s="711" t="s">
        <v>899</v>
      </c>
      <c r="AG7" s="712"/>
      <c r="AH7" s="712"/>
      <c r="AI7" s="713"/>
      <c r="AJ7" s="711" t="s">
        <v>900</v>
      </c>
      <c r="AK7" s="712"/>
      <c r="AL7" s="712"/>
      <c r="AM7" s="712"/>
      <c r="AN7" s="713"/>
      <c r="AO7" s="711" t="s">
        <v>901</v>
      </c>
      <c r="AP7" s="712"/>
      <c r="AQ7" s="712"/>
      <c r="AR7" s="713"/>
      <c r="AS7" s="510" t="s">
        <v>893</v>
      </c>
      <c r="AT7" s="508" t="s">
        <v>237</v>
      </c>
      <c r="AU7" s="511" t="s">
        <v>656</v>
      </c>
      <c r="AV7" s="509" t="s">
        <v>714</v>
      </c>
      <c r="AW7" s="509" t="s">
        <v>711</v>
      </c>
      <c r="AX7" s="714" t="s">
        <v>701</v>
      </c>
      <c r="AY7" s="715"/>
      <c r="AZ7" s="715"/>
      <c r="BA7" s="716"/>
      <c r="BB7" s="711" t="s">
        <v>709</v>
      </c>
      <c r="BC7" s="712"/>
      <c r="BD7" s="712"/>
      <c r="BE7" s="712"/>
      <c r="BF7" s="712"/>
      <c r="BG7" s="605"/>
      <c r="BH7" s="717" t="s">
        <v>710</v>
      </c>
      <c r="BI7" s="717"/>
      <c r="BJ7" s="717"/>
      <c r="BK7" s="717"/>
      <c r="BL7" s="717"/>
      <c r="BM7" s="717"/>
    </row>
    <row r="8" spans="1:83" ht="50.15" thickBot="1" x14ac:dyDescent="0.75">
      <c r="A8" s="13" t="s">
        <v>112</v>
      </c>
      <c r="B8" s="13"/>
      <c r="C8" s="13"/>
      <c r="D8" s="6"/>
      <c r="G8" s="493" t="s">
        <v>57</v>
      </c>
      <c r="H8" s="608" t="s">
        <v>4</v>
      </c>
      <c r="I8" s="600" t="s">
        <v>902</v>
      </c>
      <c r="J8" s="600" t="s">
        <v>904</v>
      </c>
      <c r="K8" s="494" t="s">
        <v>6</v>
      </c>
      <c r="L8" s="494" t="s">
        <v>412</v>
      </c>
      <c r="M8" s="494" t="s">
        <v>912</v>
      </c>
      <c r="N8" s="505" t="s">
        <v>908</v>
      </c>
      <c r="O8" s="611" t="s">
        <v>907</v>
      </c>
      <c r="P8" s="602" t="s">
        <v>695</v>
      </c>
      <c r="Q8" s="601" t="s">
        <v>897</v>
      </c>
      <c r="R8" s="507" t="s">
        <v>91</v>
      </c>
      <c r="S8" s="494" t="s">
        <v>896</v>
      </c>
      <c r="T8" s="495" t="s">
        <v>747</v>
      </c>
      <c r="U8" s="601" t="s">
        <v>697</v>
      </c>
      <c r="V8" s="496" t="s">
        <v>696</v>
      </c>
      <c r="W8" s="495" t="s">
        <v>746</v>
      </c>
      <c r="X8" s="506" t="s">
        <v>698</v>
      </c>
      <c r="Y8" s="494" t="s">
        <v>699</v>
      </c>
      <c r="Z8" s="495" t="s">
        <v>744</v>
      </c>
      <c r="AA8" s="493" t="s">
        <v>88</v>
      </c>
      <c r="AB8" s="494" t="s">
        <v>700</v>
      </c>
      <c r="AC8" s="494" t="s">
        <v>889</v>
      </c>
      <c r="AD8" s="497" t="s">
        <v>238</v>
      </c>
      <c r="AE8" s="495" t="s">
        <v>890</v>
      </c>
      <c r="AF8" s="493" t="s">
        <v>88</v>
      </c>
      <c r="AG8" s="494" t="s">
        <v>700</v>
      </c>
      <c r="AH8" s="494" t="s">
        <v>703</v>
      </c>
      <c r="AI8" s="498" t="s">
        <v>891</v>
      </c>
      <c r="AJ8" s="493" t="s">
        <v>88</v>
      </c>
      <c r="AK8" s="494" t="s">
        <v>700</v>
      </c>
      <c r="AL8" s="494" t="s">
        <v>889</v>
      </c>
      <c r="AM8" s="497" t="s">
        <v>238</v>
      </c>
      <c r="AN8" s="495" t="s">
        <v>890</v>
      </c>
      <c r="AO8" s="493" t="s">
        <v>88</v>
      </c>
      <c r="AP8" s="494" t="s">
        <v>700</v>
      </c>
      <c r="AQ8" s="494" t="s">
        <v>703</v>
      </c>
      <c r="AR8" s="498" t="s">
        <v>891</v>
      </c>
      <c r="AS8" s="507" t="s">
        <v>892</v>
      </c>
      <c r="AT8" s="495" t="s">
        <v>703</v>
      </c>
      <c r="AU8" s="512" t="s">
        <v>97</v>
      </c>
      <c r="AV8" s="513" t="s">
        <v>713</v>
      </c>
      <c r="AW8" s="513" t="s">
        <v>712</v>
      </c>
      <c r="AX8" s="499" t="s">
        <v>704</v>
      </c>
      <c r="AY8" s="500" t="s">
        <v>166</v>
      </c>
      <c r="AZ8" s="501" t="s">
        <v>240</v>
      </c>
      <c r="BA8" s="502" t="s">
        <v>702</v>
      </c>
      <c r="BB8" s="503" t="s">
        <v>58</v>
      </c>
      <c r="BC8" s="494" t="s">
        <v>394</v>
      </c>
      <c r="BD8" s="504" t="s">
        <v>706</v>
      </c>
      <c r="BE8" s="613" t="str">
        <f>IF(Vin&gt;Vout, "Buck ''CONTROL'' MOSFET Temp Rise", "Boost ''CONTROL'' MOSFET Temp Rise")</f>
        <v>Boost ''CONTROL'' MOSFET Temp Rise</v>
      </c>
      <c r="BF8" s="613" t="str">
        <f>IF(Vin&gt;Vout, "Buck ''SYNC'' MOSFET Temp Rise", "Boost ''SYNC'' MOSFET Temp Rise")</f>
        <v>Boost ''SYNC'' MOSFET Temp Rise</v>
      </c>
      <c r="BH8" s="606" t="s">
        <v>705</v>
      </c>
      <c r="BI8" s="607" t="s">
        <v>745</v>
      </c>
      <c r="BJ8" s="607" t="s">
        <v>914</v>
      </c>
      <c r="BK8" s="607" t="str">
        <f>IF(Vin&gt;Vout, "Buck ''Control'' MOSFET Loss", "Boost ''Control'' MOSFET Loss")</f>
        <v>Boost ''Control'' MOSFET Loss</v>
      </c>
      <c r="BL8" s="607" t="str">
        <f>IF(Vin&gt;Vout, "Buck ''SYNC'' MOSFET Loss", "Boost ''SYNC'' MOSFET Loss")</f>
        <v>Boost ''SYNC'' MOSFET Loss</v>
      </c>
      <c r="BM8" s="607" t="s">
        <v>870</v>
      </c>
      <c r="BN8" s="607"/>
      <c r="BT8" t="s">
        <v>132</v>
      </c>
      <c r="BV8" t="s">
        <v>124</v>
      </c>
      <c r="BW8" t="s">
        <v>125</v>
      </c>
      <c r="BX8" t="s">
        <v>126</v>
      </c>
      <c r="BY8" t="s">
        <v>127</v>
      </c>
      <c r="BZ8" t="s">
        <v>128</v>
      </c>
      <c r="CA8" t="s">
        <v>129</v>
      </c>
      <c r="CB8" t="s">
        <v>133</v>
      </c>
      <c r="CC8" t="s">
        <v>134</v>
      </c>
      <c r="CD8" t="s">
        <v>135</v>
      </c>
      <c r="CE8" t="s">
        <v>136</v>
      </c>
    </row>
    <row r="9" spans="1:83" x14ac:dyDescent="0.3">
      <c r="A9" s="14" t="s">
        <v>59</v>
      </c>
      <c r="B9" s="15" t="s">
        <v>115</v>
      </c>
      <c r="C9" s="16" t="s">
        <v>80</v>
      </c>
      <c r="D9" s="17" t="s">
        <v>111</v>
      </c>
      <c r="G9">
        <v>0</v>
      </c>
      <c r="H9" s="610">
        <f t="shared" ref="H9:H40" si="0">Vin</f>
        <v>12</v>
      </c>
      <c r="I9" s="4" t="str">
        <f t="shared" ref="I9:I40" si="1">IF(H9&gt;VIN_BB_to_buck, "BUCK", IF(H9&lt;VIN_boost_to_BB,"BOOST","BUCK-BST"))</f>
        <v>BOOST</v>
      </c>
      <c r="J9">
        <f>IF(I9="BOOST",2, IF(I9="BUCK", 1,3))</f>
        <v>2</v>
      </c>
      <c r="K9">
        <v>0</v>
      </c>
      <c r="L9" s="4">
        <f t="shared" ref="L9:L40" si="2">Vout*K9/(Vin*Efficiency)</f>
        <v>0</v>
      </c>
      <c r="M9" s="4">
        <f>K9/(1-O9)</f>
        <v>0</v>
      </c>
      <c r="N9" s="386">
        <f t="shared" ref="N9:N40" si="3">CHOOSE(J9,(Vout+(Rdson2+Rs+Rdcr)*K9)/(Vin+(Rs+Rdson2-Rdson1)*K9), 1, IF(Vin&lt;Vout, D_max_buck_BB, Vout/Vin*(1-D_min_boost_exitBB_to_buck)))</f>
        <v>1</v>
      </c>
      <c r="O9" s="386">
        <f t="shared" ref="O9:O40" si="4">CHOOSE(J9,0,(Vout+(Rdson3+Rdcr)*L9-Vin)/(Vout+(Rdson3-Rdson4-Rs)*L9), IF(Vin&gt;Vout,D_min_boost_exitBB_to_buck, (Vout-Vin*D_max_buck_BB)/Vout))</f>
        <v>0.75</v>
      </c>
      <c r="P9" s="4">
        <f t="shared" ref="P9:P40" si="5">MAX(0, CHOOSE(J9, (Vin-(Rdson1+Rdcr)*K9-Vout)*N9/(Fsw*Lf), (Vin-(Rdson4+Rdcr+Rs)*L9)*O9/(Fsw*Lf), IF(Vin&lt;Vout, (Vin-(Rdson4+Rdcr+Rs)*L9)*O9/(0.5*Fsw*Lf),(Vin-(Rdson1+Rdcr)*K9-Vout)*N9/(0.5*Fsw*Lf))))</f>
        <v>4.5454545454545459</v>
      </c>
      <c r="Q9" s="4">
        <f t="shared" ref="Q9:Q40" si="6">CHOOSE(J9, SQRT(K9^2+(P9^2)/12), SQRT(L9^2+(P9^2)/12), SQRT(M9^2+(P9^2)/12))</f>
        <v>1.3121597027036951</v>
      </c>
      <c r="R9" s="386">
        <f t="shared" ref="R9:R73" si="7">(Q9^2*Rdcr*(1+Ltc*Ta-Ltc*25))/(1-Q9^2*Rdcr*Ltc*ThetaCa)</f>
        <v>1.2063973528195233E-2</v>
      </c>
      <c r="S9" s="386">
        <f>ABS(7.759*10^-3*Fsw^0.9458*(0.00787*P9)^2.304)</f>
        <v>1.0523619359609957</v>
      </c>
      <c r="T9" s="386">
        <f>R9+S9</f>
        <v>1.064425909489191</v>
      </c>
      <c r="U9" s="4">
        <f t="shared" ref="U9:U40" si="8">IF(Vin&gt;Vout, P9/SQRT(12), SQRT(O9/(1-O9))*SQRT(K9^2+(P9^2)/12))</f>
        <v>2.2727272727272729</v>
      </c>
      <c r="V9" s="386">
        <f t="shared" ref="V9:V73" si="9">RCoutEsr*U9^2</f>
        <v>1.0330578512396696E-2</v>
      </c>
      <c r="W9" s="386">
        <f>V9</f>
        <v>1.0330578512396696E-2</v>
      </c>
      <c r="X9" s="4">
        <f t="shared" ref="X9:X40" si="10">IF(Vin&gt;Vout, SQRT(N9*(1-N9))*SQRT(K9^2+(P9^2)/12), P9/SQRT(12))</f>
        <v>1.3121597027036951</v>
      </c>
      <c r="Y9" s="386">
        <f t="shared" ref="Y9:Y73" si="11">RCinEsr*X9^2</f>
        <v>3.443526170798899E-3</v>
      </c>
      <c r="Z9" s="603">
        <f>Y9</f>
        <v>3.443526170798899E-3</v>
      </c>
      <c r="AA9" s="386">
        <f t="shared" ref="AA9:AA40" si="12">CHOOSE(J9, SQRT(N9)*SQRT(K9^2+(P9^2)/12), SQRT(L9^2+(P9^2)/12), SQRT(N9)*SQRT(M9^2+(P9^2)/12))</f>
        <v>1.3121597027036951</v>
      </c>
      <c r="AB9" s="386">
        <f t="shared" ref="AB9:AB40" si="13">Rdson1*AA9^2</f>
        <v>9.8140495867768615E-3</v>
      </c>
      <c r="AC9" s="386">
        <f t="shared" ref="AC9:AC40" si="14">CHOOSE(J9, (Vin*K9/2)*(Fsw)*(Tr_buck+Tf_buck), 0, (Vin*K9/2)*(Fsw/2)*(Tr_buck+Tf_buck))</f>
        <v>0</v>
      </c>
      <c r="AD9" s="386">
        <f t="shared" ref="AD9:AD40" si="15">CHOOSE(J9, IF(K9&gt;P9/2,0,ABS(K9-P9/2)*Vsd_Q1*Deadtime*Fsw),0, IF(K9&gt;P9/2,0,ABS(K9-P9/2)*Vsd_Q1*Deadtime*Fsw/2))</f>
        <v>0</v>
      </c>
      <c r="AE9" s="386">
        <f t="shared" ref="AE9:AE40" si="16">(AD9+AC9+AB9*(1+RdsonTopTc*Ta-RdsonTopTc*25))/(1-AB9*RdsonTopTc*ThetaJA_Q1)</f>
        <v>9.8333505848255901E-3</v>
      </c>
      <c r="AF9" s="386">
        <f t="shared" ref="AF9:AF40" si="17">CHOOSE(J9, SQRT((1-N9))*SQRT(K9^2+(P9^2)/12), 0, SQRT((1-N9))*SQRT(M9^2+(P9^2)/12))</f>
        <v>0</v>
      </c>
      <c r="AG9" s="386">
        <f t="shared" ref="AG9:AG40" si="18">Rdson2*AF9^2</f>
        <v>0</v>
      </c>
      <c r="AH9" s="386">
        <f t="shared" ref="AH9:AH40" si="19">CHOOSE(J9, IF(K9&lt;P9/2,Deadtime*Fsw*IF(VfdSky_Q2&gt;0,0,Vsd_Q2)*(K9+P9/2),2*Deadtime*Fsw*IF(VfdSky_Q2&gt;0,0,Vsd_Q2)*K9),0, IF(K9&lt;P9/2,Deadtime*Fsw/2*IF(VfdSky_Q2&gt;0,0,Vsd_Q2)*(K9+P9/2),2*Deadtime*Fsw/2*IF(VfdSky_Q2&gt;0,0,Vsd_Q2)*K9))</f>
        <v>0</v>
      </c>
      <c r="AI9" s="386">
        <f t="shared" ref="AI9:AI40" si="20">(AH9+AG9*(1+RdsonBotTc*Ta-RdsonBotTc*25))/(1-AG9*RdsonBotTc*ThetaJA_Q2)</f>
        <v>0</v>
      </c>
      <c r="AJ9" s="386">
        <f t="shared" ref="AJ9:AJ40" si="21">CHOOSE(J9, 0, SQRT(O9)*SQRT(L9^2+(P9^2)/12), SQRT(O9)*SQRT(M9^2+(P9^2)/12))</f>
        <v>1.1363636363636365</v>
      </c>
      <c r="AK9" s="386">
        <f t="shared" ref="AK9:AK40" si="22">Rdson4*AJ9^2</f>
        <v>2.4535123966942154E-3</v>
      </c>
      <c r="AL9" s="386">
        <f t="shared" ref="AL9:AL40" si="23">CHOOSE(J9, 0, (Vout*L9/2)*(Fsw)*(Tr_boost+Tf_boost), (Vout*Iout/2)*(Fsw/2)*(Tr_boost+Tf_boost))</f>
        <v>0</v>
      </c>
      <c r="AM9" s="386">
        <f t="shared" ref="AM9:AM40" si="24">IF(H9&gt;Vout, 0, IF(L9&gt;P9/2,0,ABS(L9-P9/2)*Vsd_Q4*Deadtime*Fsw))</f>
        <v>5.454545454545455E-2</v>
      </c>
      <c r="AN9" s="386">
        <f t="shared" ref="AN9:AN40" si="25">(AM9+AL9+AK9*(1+RdsonTopTc*Ta-RdsonTopTc*25))/(1-AK9*RdsonTopTc*ThetaJA_Q4)</f>
        <v>5.7026950208004967E-2</v>
      </c>
      <c r="AO9" s="386">
        <f>CHOOSE(J9, SQRT(K9^2+(P9^2)/12), SQRT(1-O9)*SQRT(L9^2+(P9^2)/12), SQRT(1-O9)*SQRT(M9^2+(P9^2)/12))</f>
        <v>0.65607985135184754</v>
      </c>
      <c r="AP9" s="386">
        <f t="shared" ref="AP9:AP40" si="26">Rdson3*AO9^2</f>
        <v>8.1783746556473853E-4</v>
      </c>
      <c r="AQ9" s="386">
        <f t="shared" ref="AQ9:AQ40" si="27">CHOOSE(J9, 0, IF(L9&lt;P9/2,Deadtime*Fsw*IF(VfdSky_Q3&gt;0,0,Vsd_Q3)*(L9+P9/2), 2*Deadtime*Fsw*IF(VfdSky_Q3&gt;0,0,Vsd_Q3)*L9), IF(L9&lt;P9/2,Deadtime*Fsw/2*IF(VfdSky_Q3&gt;0,0,Vsd_Q3)*(L9+P9/2), 2*Deadtime*Fsw/2*IF(VfdSky_Q3&gt;0,0,Vsd_Q3)*L9))</f>
        <v>5.454545454545455E-2</v>
      </c>
      <c r="AR9" s="386">
        <f t="shared" ref="AR9:AR40" si="28">(AQ9+AP9*(1+RdsonBotTc*Ta-RdsonBotTc*25))/(1-AP9*RdsonBotTc*ThetaJA_Q3)</f>
        <v>5.537234912735383E-2</v>
      </c>
      <c r="AS9" s="386">
        <f t="shared" ref="AS9:AS40" si="29">CHOOSE(J9, Rdson3*Q9^2, Rdson1*Q9^2, 0)</f>
        <v>9.8140495867768615E-3</v>
      </c>
      <c r="AT9" s="386">
        <f t="shared" ref="AT9:AT40" si="30">CHOOSE(J9, 2*Deadtime*Fsw*IF(VfdSky_Q2&gt;0,VfdSky_Q2,0)*K9, 2*Deadtime*Fsw*IF(VfdSky_Q3&gt;0,VfdSky_Q3,0)*L9, 2*Deadtime*Fsw/2*IF(VfdSky_Q2&gt;0,VfdSky_Q2,0)*K9+2*Deadtime*Fsw/2*IF(VfdSky_Q3&gt;0,VfdSky_Q3,0)*L9)</f>
        <v>0</v>
      </c>
      <c r="AU9" s="386">
        <f t="shared" ref="AU9:AU40" si="31">CHOOSE(J9, IF(QrrSky_Q2&gt;0,QrrSky_Q2,Qrr_Q2*K9/Iout)*Fsw*(Vin-K9*Rdson1), IF(QrrSky_Q3&gt;0,QrrSky_Q3,Qrr_Q3)*Fsw*Vout,  IF(QrrSky_Q2&gt;0,QrrSky_Q2,Qrr_Q2*K9/Iout)*Fsw/2*(Vin-K9*Rdson1)+IF(QrrSky_Q3&gt;0,QrrSky_Q3,Qrr_Q3)*Fsw/2*Vout)</f>
        <v>0.95039999999999991</v>
      </c>
      <c r="AV9" s="386">
        <f t="shared" ref="AV9:AV40" si="32">CHOOSE(J9, Rs*AF9^2, Rs*AJ9^2, Rs*(AF9^2+AJ9^2))</f>
        <v>3.8739669421487613E-3</v>
      </c>
      <c r="AW9" s="386">
        <f t="shared" ref="AW9:AW72" si="33">Rshunt_std/1000*Iout^2</f>
        <v>0.249</v>
      </c>
      <c r="AX9" s="386">
        <f t="shared" ref="AX9:AX40" si="34">IF(Vout&gt;8, Iq*Vout, Iq*Vin)</f>
        <v>0.14400000000000002</v>
      </c>
      <c r="AY9" s="386">
        <f t="shared" ref="AY9:AY40" si="35">CHOOSE(J9, (Qg_Q1+Qg_Q2)*Fsw, (Qg_Q3+Qg_Q4)*Fsw, (Qg_Q1+Qg_Q2+Qg_Q3+Qg_Q4)*Fsw/2)*IF(Vout&gt;8, Vout, Vin)</f>
        <v>1.2671999999999999</v>
      </c>
      <c r="AZ9" s="386">
        <f t="shared" ref="AZ9:AZ72" si="36">(Vin-Vdd)*Fsw*(Qg_Q1+Qg_Q2)+(RdsonDRT+RdsonDRT2)*Fsw*Qg_Q1*Vdd/(RdsonDRT+2*Rgate1+RdsonDRT2)+(RdsonDRB+RdsonDRB2)*Fsw*Qg_Q2*Vdd/(RdsonDRB+2*Rgate2+RdsonDRB2)</f>
        <v>0.10439999999999998</v>
      </c>
      <c r="BA9" s="386">
        <f>SUM(AX9:AY9)</f>
        <v>1.4112</v>
      </c>
      <c r="BB9" s="386">
        <f>SUM(T9,W9,Z9,AE9,AI9,AN9,AR9, AT9,AU9,BA9,AV9,AW9)</f>
        <v>3.8149066310347193</v>
      </c>
      <c r="BC9">
        <f t="shared" ref="BC9:BC40" si="37">Vout*K9</f>
        <v>0</v>
      </c>
      <c r="BD9" s="604">
        <f>BC9/(BC9+BB9)</f>
        <v>0</v>
      </c>
      <c r="BE9" s="614">
        <f t="shared" ref="BE9:BE40" si="38">IF(Vin&gt;Vout,ThetaJA_Q1*BK9,ThetaJA_Q4*BK9)</f>
        <v>34.214547510400244</v>
      </c>
      <c r="BF9" s="614">
        <f t="shared" ref="BF9:BF40" si="39">IF(Vin&gt;Vout, ThetaJA_Q2*BL9, ThetaJA_Q3*BL9)</f>
        <v>18.450217456367689</v>
      </c>
      <c r="BH9" s="4">
        <f>BD9*100</f>
        <v>0</v>
      </c>
      <c r="BI9" s="386">
        <f>T9</f>
        <v>1.064425909489191</v>
      </c>
      <c r="BJ9" s="386">
        <f>AE9+AI9+AN9+AR9+AU9</f>
        <v>1.0726326499201844</v>
      </c>
      <c r="BK9" s="386">
        <f t="shared" ref="BK9:BK40" si="40">IF(Vin&gt;Vout, AE9+AU9*0.66, AN9+AU9*0.66)</f>
        <v>0.6842909502080049</v>
      </c>
      <c r="BL9" s="386">
        <f t="shared" ref="BL9:BL40" si="41">IF(Vin&gt;Vout, AI9+AU9*0.33, AR9+AU9*0.33)</f>
        <v>0.3690043491273538</v>
      </c>
      <c r="BM9" s="386">
        <f>AV9</f>
        <v>3.8739669421487613E-3</v>
      </c>
      <c r="BQ9" t="s">
        <v>137</v>
      </c>
      <c r="BR9" s="18">
        <v>70</v>
      </c>
      <c r="BS9" s="18">
        <v>70</v>
      </c>
      <c r="BT9" s="18">
        <v>70</v>
      </c>
      <c r="BU9" s="19">
        <f>250000*(5-Vdd)*BT9/1000000000+((250000*BT9/1000000000*Vdd)*2.5/(2*4))</f>
        <v>-2.7343749999999972E-3</v>
      </c>
      <c r="BV9">
        <f t="shared" ref="BV9:CE17" si="42">BV$6*$BU9</f>
        <v>-0.21874999999999978</v>
      </c>
      <c r="BW9">
        <f t="shared" si="42"/>
        <v>-0.27343749999999972</v>
      </c>
      <c r="BX9">
        <f t="shared" si="42"/>
        <v>-0.32812499999999967</v>
      </c>
      <c r="BY9">
        <f t="shared" si="42"/>
        <v>-0.38281249999999961</v>
      </c>
      <c r="BZ9">
        <f t="shared" si="42"/>
        <v>-0.43749999999999956</v>
      </c>
      <c r="CA9">
        <f t="shared" si="42"/>
        <v>-0.4921874999999995</v>
      </c>
      <c r="CB9">
        <f t="shared" si="42"/>
        <v>-5.4687499999999944E-2</v>
      </c>
      <c r="CC9">
        <f t="shared" si="42"/>
        <v>-8.2031249999999917E-2</v>
      </c>
      <c r="CD9">
        <f t="shared" si="42"/>
        <v>-0.10937499999999989</v>
      </c>
      <c r="CE9">
        <f t="shared" si="42"/>
        <v>-0.13671874999999986</v>
      </c>
    </row>
    <row r="10" spans="1:83" x14ac:dyDescent="0.3">
      <c r="A10" s="547"/>
      <c r="B10" s="24"/>
      <c r="C10" s="16"/>
      <c r="D10" s="17"/>
      <c r="G10">
        <v>1</v>
      </c>
      <c r="H10" s="610">
        <f t="shared" si="0"/>
        <v>12</v>
      </c>
      <c r="I10" s="4" t="str">
        <f t="shared" si="1"/>
        <v>BOOST</v>
      </c>
      <c r="J10">
        <f t="shared" ref="J10:J73" si="43">IF(I10="BOOST",2, IF(I10="BUCK", 1,3))</f>
        <v>2</v>
      </c>
      <c r="K10" s="386">
        <f t="shared" ref="K10:K41" si="44">Iout*G10/100</f>
        <v>0.1</v>
      </c>
      <c r="L10" s="4">
        <f t="shared" si="2"/>
        <v>0.44444444444444448</v>
      </c>
      <c r="M10" s="4">
        <f>K10/(1-O10)</f>
        <v>0.4001652580211279</v>
      </c>
      <c r="N10" s="386">
        <f t="shared" si="3"/>
        <v>1</v>
      </c>
      <c r="O10" s="386">
        <f t="shared" si="4"/>
        <v>0.7501032436086188</v>
      </c>
      <c r="P10" s="4">
        <f t="shared" si="5"/>
        <v>4.5440766215115085</v>
      </c>
      <c r="Q10" s="4">
        <f t="shared" si="6"/>
        <v>1.3850091068454453</v>
      </c>
      <c r="R10" s="386">
        <f t="shared" si="7"/>
        <v>1.3442191454920014E-2</v>
      </c>
      <c r="S10" s="386">
        <f t="shared" ref="S10:S73" si="45">7.759*10^-3*Fsw^0.9458*(0.00787*P10)^2.304</f>
        <v>1.0516270673634462</v>
      </c>
      <c r="T10" s="386">
        <f t="shared" ref="T10:T73" si="46">R10+S10</f>
        <v>1.0650692588183663</v>
      </c>
      <c r="U10" s="4">
        <f t="shared" si="8"/>
        <v>2.2792582648990281</v>
      </c>
      <c r="V10" s="386">
        <f t="shared" si="9"/>
        <v>1.0390036476221056E-2</v>
      </c>
      <c r="W10" s="386">
        <f t="shared" ref="W10:W73" si="47">V10</f>
        <v>1.0390036476221056E-2</v>
      </c>
      <c r="X10" s="4">
        <f t="shared" si="10"/>
        <v>1.3117619303239774</v>
      </c>
      <c r="Y10" s="386">
        <f t="shared" si="11"/>
        <v>3.441438723694575E-3</v>
      </c>
      <c r="Z10" s="603">
        <f t="shared" ref="Z10:Z73" si="48">Y10</f>
        <v>3.441438723694575E-3</v>
      </c>
      <c r="AA10" s="386">
        <f t="shared" si="12"/>
        <v>1.3850091068454453</v>
      </c>
      <c r="AB10" s="386">
        <f t="shared" si="13"/>
        <v>1.0934026288455464E-2</v>
      </c>
      <c r="AC10" s="386">
        <f t="shared" si="14"/>
        <v>0</v>
      </c>
      <c r="AD10" s="386">
        <f t="shared" si="15"/>
        <v>0</v>
      </c>
      <c r="AE10" s="386">
        <f t="shared" si="16"/>
        <v>1.0957989277020174E-2</v>
      </c>
      <c r="AF10" s="386">
        <f t="shared" si="17"/>
        <v>0</v>
      </c>
      <c r="AG10" s="386">
        <f t="shared" si="18"/>
        <v>0</v>
      </c>
      <c r="AH10" s="386">
        <f t="shared" si="19"/>
        <v>0</v>
      </c>
      <c r="AI10" s="386">
        <f t="shared" si="20"/>
        <v>0</v>
      </c>
      <c r="AJ10" s="386">
        <f t="shared" si="21"/>
        <v>1.1995356254022573</v>
      </c>
      <c r="AK10" s="386">
        <f t="shared" si="22"/>
        <v>2.7338828615574508E-3</v>
      </c>
      <c r="AL10" s="386">
        <f t="shared" si="23"/>
        <v>3.8920169900126284E-2</v>
      </c>
      <c r="AM10" s="386">
        <f t="shared" si="24"/>
        <v>4.3862252791471441E-2</v>
      </c>
      <c r="AN10" s="386">
        <f t="shared" si="25"/>
        <v>8.5563089445918797E-2</v>
      </c>
      <c r="AO10" s="386">
        <f t="shared" ref="AO10:AO73" si="49">CHOOSE(J10, SQRT(K10^2+(P10^2)/12), SQRT(1-O10)*SQRT(L10^2+(P10^2)/12), SQRT(1-O10)*SQRT(M10^2+(P10^2)/12))</f>
        <v>0.69236154531836458</v>
      </c>
      <c r="AP10" s="386">
        <f t="shared" si="26"/>
        <v>9.1079256792770422E-4</v>
      </c>
      <c r="AQ10" s="386">
        <f t="shared" si="27"/>
        <v>6.5195586124804777E-2</v>
      </c>
      <c r="AR10" s="386">
        <f t="shared" si="28"/>
        <v>6.6118422726336917E-2</v>
      </c>
      <c r="AS10" s="386">
        <f t="shared" si="29"/>
        <v>1.0934026288455464E-2</v>
      </c>
      <c r="AT10" s="386">
        <f t="shared" si="30"/>
        <v>0</v>
      </c>
      <c r="AU10" s="386">
        <f t="shared" si="31"/>
        <v>0.95039999999999991</v>
      </c>
      <c r="AV10" s="386">
        <f t="shared" si="32"/>
        <v>4.3166571498275538E-3</v>
      </c>
      <c r="AW10" s="386">
        <f t="shared" si="33"/>
        <v>0.249</v>
      </c>
      <c r="AX10" s="386">
        <f t="shared" si="34"/>
        <v>0.14400000000000002</v>
      </c>
      <c r="AY10" s="386">
        <f t="shared" si="35"/>
        <v>1.2671999999999999</v>
      </c>
      <c r="AZ10" s="386">
        <f t="shared" si="36"/>
        <v>0.10439999999999998</v>
      </c>
      <c r="BA10" s="386">
        <f t="shared" ref="BA10" si="50">SUM(AX10:AY10)</f>
        <v>1.4112</v>
      </c>
      <c r="BB10" s="386">
        <f>SUM(T10,W10,Z10,AE10,AI10,AN10,AR10, AT10,AU10,BA10,AV10,AW10)</f>
        <v>3.8564568926173854</v>
      </c>
      <c r="BC10">
        <f t="shared" si="37"/>
        <v>4.8000000000000007</v>
      </c>
      <c r="BD10" s="604">
        <f t="shared" ref="BD10:BD73" si="51">BC10/(BC10+BB10)</f>
        <v>0.55449938231583584</v>
      </c>
      <c r="BE10" s="614">
        <f t="shared" si="38"/>
        <v>35.641354472295937</v>
      </c>
      <c r="BF10" s="614">
        <f t="shared" si="39"/>
        <v>18.987521136316843</v>
      </c>
      <c r="BG10" s="9"/>
      <c r="BH10" s="4">
        <f t="shared" ref="BH10:BH73" si="52">BD10*100</f>
        <v>55.449938231583587</v>
      </c>
      <c r="BI10" s="386">
        <f t="shared" ref="BI10:BI73" si="53">T10</f>
        <v>1.0650692588183663</v>
      </c>
      <c r="BJ10" s="386">
        <f t="shared" ref="BJ10:BJ73" si="54">AE10+AI10+AN10+AR10+AU10</f>
        <v>1.1130395014492758</v>
      </c>
      <c r="BK10" s="386">
        <f t="shared" si="40"/>
        <v>0.71282708944591877</v>
      </c>
      <c r="BL10" s="386">
        <f t="shared" si="41"/>
        <v>0.37975042272633686</v>
      </c>
      <c r="BM10" s="386">
        <f t="shared" ref="BM10:BM73" si="55">AV10</f>
        <v>4.3166571498275538E-3</v>
      </c>
      <c r="BR10" s="18"/>
      <c r="BS10" s="18"/>
      <c r="BT10" s="18"/>
      <c r="BU10" s="19"/>
    </row>
    <row r="11" spans="1:83" x14ac:dyDescent="0.3">
      <c r="A11" s="20" t="s">
        <v>4</v>
      </c>
      <c r="B11" s="5">
        <f>Vin</f>
        <v>12</v>
      </c>
      <c r="C11" s="482" t="s">
        <v>0</v>
      </c>
      <c r="D11" s="21" t="s">
        <v>4</v>
      </c>
      <c r="G11">
        <v>2</v>
      </c>
      <c r="H11" s="610">
        <f t="shared" si="0"/>
        <v>12</v>
      </c>
      <c r="I11" s="4" t="str">
        <f t="shared" si="1"/>
        <v>BOOST</v>
      </c>
      <c r="J11">
        <f t="shared" si="43"/>
        <v>2</v>
      </c>
      <c r="K11" s="386">
        <f t="shared" si="44"/>
        <v>0.2</v>
      </c>
      <c r="L11" s="4">
        <f t="shared" si="2"/>
        <v>0.88888888888888895</v>
      </c>
      <c r="M11" s="4">
        <f t="shared" ref="M11:M74" si="56">K11/(1-O11)</f>
        <v>0.80066132368532295</v>
      </c>
      <c r="N11" s="386">
        <f t="shared" si="3"/>
        <v>1</v>
      </c>
      <c r="O11" s="386">
        <f t="shared" si="4"/>
        <v>0.75020649295331232</v>
      </c>
      <c r="P11" s="4">
        <f t="shared" si="5"/>
        <v>4.5426981807423443</v>
      </c>
      <c r="Q11" s="4">
        <f t="shared" si="6"/>
        <v>1.5842345218538323</v>
      </c>
      <c r="R11" s="386">
        <f t="shared" si="7"/>
        <v>1.7593320332588782E-2</v>
      </c>
      <c r="S11" s="386">
        <f t="shared" si="45"/>
        <v>1.0508922138211685</v>
      </c>
      <c r="T11" s="386">
        <f t="shared" si="46"/>
        <v>1.0684855341537574</v>
      </c>
      <c r="U11" s="4">
        <f t="shared" si="8"/>
        <v>2.2988791325280453</v>
      </c>
      <c r="V11" s="386">
        <f t="shared" si="9"/>
        <v>1.0569690531945796E-2</v>
      </c>
      <c r="W11" s="386">
        <f t="shared" si="47"/>
        <v>1.0569690531945796E-2</v>
      </c>
      <c r="X11" s="4">
        <f t="shared" si="10"/>
        <v>1.3113640087494078</v>
      </c>
      <c r="Y11" s="386">
        <f t="shared" si="11"/>
        <v>3.4393511268866338E-3</v>
      </c>
      <c r="Z11" s="603">
        <f t="shared" si="48"/>
        <v>3.4393511268866338E-3</v>
      </c>
      <c r="AA11" s="386">
        <f t="shared" si="12"/>
        <v>1.5842345218538323</v>
      </c>
      <c r="AB11" s="386">
        <f t="shared" si="13"/>
        <v>1.4305854415330613E-2</v>
      </c>
      <c r="AC11" s="386">
        <f t="shared" si="14"/>
        <v>0</v>
      </c>
      <c r="AD11" s="386">
        <f t="shared" si="15"/>
        <v>0</v>
      </c>
      <c r="AE11" s="386">
        <f t="shared" si="16"/>
        <v>1.4346903357479197E-2</v>
      </c>
      <c r="AF11" s="386">
        <f t="shared" si="17"/>
        <v>0</v>
      </c>
      <c r="AG11" s="386">
        <f t="shared" si="18"/>
        <v>0</v>
      </c>
      <c r="AH11" s="386">
        <f t="shared" si="19"/>
        <v>0</v>
      </c>
      <c r="AI11" s="386">
        <f t="shared" si="20"/>
        <v>0</v>
      </c>
      <c r="AJ11" s="386">
        <f t="shared" si="21"/>
        <v>1.3721761989580599</v>
      </c>
      <c r="AK11" s="386">
        <f t="shared" si="22"/>
        <v>3.5774482898752796E-3</v>
      </c>
      <c r="AL11" s="386">
        <f t="shared" si="23"/>
        <v>7.7840339800252567E-2</v>
      </c>
      <c r="AM11" s="386">
        <f t="shared" si="24"/>
        <v>3.3179044835574802E-2</v>
      </c>
      <c r="AN11" s="386">
        <f t="shared" si="25"/>
        <v>0.11467888448153729</v>
      </c>
      <c r="AO11" s="386">
        <f t="shared" si="49"/>
        <v>0.79179006008313324</v>
      </c>
      <c r="AP11" s="386">
        <f t="shared" si="26"/>
        <v>1.1911698485682584E-3</v>
      </c>
      <c r="AQ11" s="386">
        <f t="shared" si="27"/>
        <v>7.5845711502241467E-2</v>
      </c>
      <c r="AR11" s="386">
        <f t="shared" si="28"/>
        <v>7.7055238526171049E-2</v>
      </c>
      <c r="AS11" s="386">
        <f t="shared" si="29"/>
        <v>1.4305854415330613E-2</v>
      </c>
      <c r="AT11" s="386">
        <f t="shared" si="30"/>
        <v>0</v>
      </c>
      <c r="AU11" s="386">
        <f t="shared" si="31"/>
        <v>0.95039999999999991</v>
      </c>
      <c r="AV11" s="386">
        <f t="shared" si="32"/>
        <v>5.6486025629609677E-3</v>
      </c>
      <c r="AW11" s="386">
        <f t="shared" si="33"/>
        <v>0.249</v>
      </c>
      <c r="AX11" s="386">
        <f t="shared" si="34"/>
        <v>0.14400000000000002</v>
      </c>
      <c r="AY11" s="386">
        <f t="shared" si="35"/>
        <v>1.2671999999999999</v>
      </c>
      <c r="AZ11" s="386">
        <f t="shared" si="36"/>
        <v>0.10439999999999998</v>
      </c>
      <c r="BA11" s="386">
        <f t="shared" ref="BA11:BA74" si="57">SUM(AX11:AY11)</f>
        <v>1.4112</v>
      </c>
      <c r="BB11" s="386">
        <f t="shared" ref="BB11:BB74" si="58">SUM(T11,W11,Z11,AE11,AI11,AN11,AR11, AT11,AU11,BA11,AV11,AW11)</f>
        <v>3.9048242047407387</v>
      </c>
      <c r="BC11">
        <f t="shared" si="37"/>
        <v>9.6000000000000014</v>
      </c>
      <c r="BD11" s="604">
        <f t="shared" si="51"/>
        <v>0.71085708739770292</v>
      </c>
      <c r="BE11" s="614">
        <f t="shared" si="38"/>
        <v>37.097144224076864</v>
      </c>
      <c r="BF11" s="614">
        <f t="shared" si="39"/>
        <v>19.534361926308552</v>
      </c>
      <c r="BG11" s="9"/>
      <c r="BH11" s="4">
        <f t="shared" si="52"/>
        <v>71.085708739770297</v>
      </c>
      <c r="BI11" s="386">
        <f t="shared" si="53"/>
        <v>1.0684855341537574</v>
      </c>
      <c r="BJ11" s="386">
        <f t="shared" si="54"/>
        <v>1.1564810263651875</v>
      </c>
      <c r="BK11" s="386">
        <f t="shared" si="40"/>
        <v>0.74194288448153722</v>
      </c>
      <c r="BL11" s="386">
        <f t="shared" si="41"/>
        <v>0.39068723852617104</v>
      </c>
      <c r="BM11" s="386">
        <f t="shared" si="55"/>
        <v>5.6486025629609677E-3</v>
      </c>
      <c r="BQ11" t="s">
        <v>138</v>
      </c>
      <c r="BR11" s="18">
        <v>90</v>
      </c>
      <c r="BS11" s="18">
        <v>90</v>
      </c>
      <c r="BT11" s="18">
        <v>90</v>
      </c>
      <c r="BU11" s="19">
        <f>250000*(12-Vdd)*BT11/1000000000+((250000*BT9/1000000000*Vdd)*2.5/(2*4))</f>
        <v>0.14226562500000001</v>
      </c>
      <c r="BV11">
        <f t="shared" si="42"/>
        <v>11.381250000000001</v>
      </c>
      <c r="BW11">
        <f t="shared" si="42"/>
        <v>14.2265625</v>
      </c>
      <c r="BX11">
        <f t="shared" si="42"/>
        <v>17.071875000000002</v>
      </c>
      <c r="BY11">
        <f t="shared" si="42"/>
        <v>19.917187500000001</v>
      </c>
      <c r="BZ11">
        <f t="shared" si="42"/>
        <v>22.762500000000003</v>
      </c>
      <c r="CA11">
        <f t="shared" si="42"/>
        <v>25.607812500000001</v>
      </c>
      <c r="CB11">
        <f t="shared" si="42"/>
        <v>2.8453125000000004</v>
      </c>
      <c r="CC11">
        <f t="shared" si="42"/>
        <v>4.2679687500000005</v>
      </c>
      <c r="CD11">
        <f t="shared" si="42"/>
        <v>5.6906250000000007</v>
      </c>
      <c r="CE11">
        <f t="shared" si="42"/>
        <v>7.11328125</v>
      </c>
    </row>
    <row r="12" spans="1:83" x14ac:dyDescent="0.3">
      <c r="A12" s="22" t="s">
        <v>5</v>
      </c>
      <c r="B12" s="5">
        <f>Vout</f>
        <v>48</v>
      </c>
      <c r="C12" s="482" t="s">
        <v>0</v>
      </c>
      <c r="D12" s="21" t="s">
        <v>5</v>
      </c>
      <c r="G12">
        <v>3</v>
      </c>
      <c r="H12" s="610">
        <f t="shared" si="0"/>
        <v>12</v>
      </c>
      <c r="I12" s="4" t="str">
        <f t="shared" si="1"/>
        <v>BOOST</v>
      </c>
      <c r="J12">
        <f t="shared" si="43"/>
        <v>2</v>
      </c>
      <c r="K12" s="386">
        <f t="shared" si="44"/>
        <v>0.3</v>
      </c>
      <c r="L12" s="4">
        <f t="shared" si="2"/>
        <v>1.333333333333333</v>
      </c>
      <c r="M12" s="4">
        <f t="shared" si="56"/>
        <v>1.201488634972909</v>
      </c>
      <c r="N12" s="386">
        <f t="shared" si="3"/>
        <v>1</v>
      </c>
      <c r="O12" s="386">
        <f t="shared" si="4"/>
        <v>0.75030974803455852</v>
      </c>
      <c r="P12" s="4">
        <f t="shared" si="5"/>
        <v>4.5413192231039847</v>
      </c>
      <c r="Q12" s="4">
        <f t="shared" si="6"/>
        <v>1.8698688371885674</v>
      </c>
      <c r="R12" s="386">
        <f t="shared" si="7"/>
        <v>2.4522881818282816E-2</v>
      </c>
      <c r="S12" s="386">
        <f t="shared" si="45"/>
        <v>1.0501573756114138</v>
      </c>
      <c r="T12" s="386">
        <f t="shared" si="46"/>
        <v>1.0746802574296965</v>
      </c>
      <c r="U12" s="4">
        <f t="shared" si="8"/>
        <v>2.3312807022805013</v>
      </c>
      <c r="V12" s="386">
        <f t="shared" si="9"/>
        <v>1.0869739425650934E-2</v>
      </c>
      <c r="W12" s="386">
        <f t="shared" si="47"/>
        <v>1.0869739425650934E-2</v>
      </c>
      <c r="X12" s="4">
        <f t="shared" si="10"/>
        <v>1.310965937967554</v>
      </c>
      <c r="Y12" s="386">
        <f t="shared" si="11"/>
        <v>3.4372633810222973E-3</v>
      </c>
      <c r="Z12" s="603">
        <f t="shared" si="48"/>
        <v>3.4372633810222973E-3</v>
      </c>
      <c r="AA12" s="386">
        <f t="shared" si="12"/>
        <v>1.8698688371885674</v>
      </c>
      <c r="AB12" s="386">
        <f t="shared" si="13"/>
        <v>1.9929533969246876E-2</v>
      </c>
      <c r="AC12" s="386">
        <f t="shared" si="14"/>
        <v>0</v>
      </c>
      <c r="AD12" s="386">
        <f t="shared" si="15"/>
        <v>0</v>
      </c>
      <c r="AE12" s="386">
        <f t="shared" si="16"/>
        <v>2.0009289130733163E-2</v>
      </c>
      <c r="AF12" s="386">
        <f t="shared" si="17"/>
        <v>0</v>
      </c>
      <c r="AG12" s="386">
        <f t="shared" si="18"/>
        <v>0</v>
      </c>
      <c r="AH12" s="386">
        <f t="shared" si="19"/>
        <v>0</v>
      </c>
      <c r="AI12" s="386">
        <f t="shared" si="20"/>
        <v>0</v>
      </c>
      <c r="AJ12" s="386">
        <f t="shared" si="21"/>
        <v>1.6196882746928523</v>
      </c>
      <c r="AK12" s="386">
        <f t="shared" si="22"/>
        <v>4.9844412036372659E-3</v>
      </c>
      <c r="AL12" s="386">
        <f t="shared" si="23"/>
        <v>0.11676050970037882</v>
      </c>
      <c r="AM12" s="386">
        <f t="shared" si="24"/>
        <v>2.2495830677247822E-2</v>
      </c>
      <c r="AN12" s="386">
        <f t="shared" si="25"/>
        <v>0.14438471700778974</v>
      </c>
      <c r="AO12" s="386">
        <f t="shared" si="49"/>
        <v>0.93435505088345139</v>
      </c>
      <c r="AP12" s="386">
        <f t="shared" si="26"/>
        <v>1.6587367861116923E-3</v>
      </c>
      <c r="AQ12" s="386">
        <f t="shared" si="27"/>
        <v>8.6495830677247809E-2</v>
      </c>
      <c r="AR12" s="386">
        <f t="shared" si="28"/>
        <v>8.8183822213328544E-2</v>
      </c>
      <c r="AS12" s="386">
        <f t="shared" si="29"/>
        <v>1.9929533969246876E-2</v>
      </c>
      <c r="AT12" s="386">
        <f t="shared" si="30"/>
        <v>0</v>
      </c>
      <c r="AU12" s="386">
        <f t="shared" si="31"/>
        <v>0.95039999999999991</v>
      </c>
      <c r="AV12" s="386">
        <f t="shared" si="32"/>
        <v>7.8701703215325255E-3</v>
      </c>
      <c r="AW12" s="386">
        <f t="shared" si="33"/>
        <v>0.249</v>
      </c>
      <c r="AX12" s="386">
        <f t="shared" si="34"/>
        <v>0.14400000000000002</v>
      </c>
      <c r="AY12" s="386">
        <f t="shared" si="35"/>
        <v>1.2671999999999999</v>
      </c>
      <c r="AZ12" s="386">
        <f t="shared" si="36"/>
        <v>0.10439999999999998</v>
      </c>
      <c r="BA12" s="386">
        <f t="shared" si="57"/>
        <v>1.4112</v>
      </c>
      <c r="BB12" s="386">
        <f t="shared" si="58"/>
        <v>3.9600352589097532</v>
      </c>
      <c r="BC12">
        <f t="shared" si="37"/>
        <v>14.399999999999999</v>
      </c>
      <c r="BD12" s="604">
        <f t="shared" si="51"/>
        <v>0.78431221928138573</v>
      </c>
      <c r="BE12" s="614">
        <f t="shared" si="38"/>
        <v>38.582435850389487</v>
      </c>
      <c r="BF12" s="614">
        <f t="shared" si="39"/>
        <v>20.090791110666427</v>
      </c>
      <c r="BG12" s="9"/>
      <c r="BH12" s="4">
        <f t="shared" si="52"/>
        <v>78.431221928138569</v>
      </c>
      <c r="BI12" s="386">
        <f t="shared" si="53"/>
        <v>1.0746802574296965</v>
      </c>
      <c r="BJ12" s="386">
        <f t="shared" si="54"/>
        <v>1.2029778283518513</v>
      </c>
      <c r="BK12" s="386">
        <f t="shared" si="40"/>
        <v>0.7716487170077897</v>
      </c>
      <c r="BL12" s="386">
        <f t="shared" si="41"/>
        <v>0.40181582221332851</v>
      </c>
      <c r="BM12" s="386">
        <f t="shared" si="55"/>
        <v>7.8701703215325255E-3</v>
      </c>
      <c r="BQ12" t="s">
        <v>143</v>
      </c>
      <c r="BR12" s="18">
        <v>60</v>
      </c>
      <c r="BS12" s="18">
        <v>60</v>
      </c>
      <c r="BT12" s="18">
        <v>60</v>
      </c>
      <c r="BU12" s="19">
        <f>250000*(18-Vdd)*BT12/1000000000+((250000*BT9/1000000000*Vdd)*2.5/(2*4))</f>
        <v>0.198515625</v>
      </c>
      <c r="BV12">
        <f t="shared" si="42"/>
        <v>15.88125</v>
      </c>
      <c r="BW12">
        <f t="shared" si="42"/>
        <v>19.8515625</v>
      </c>
      <c r="BX12">
        <f t="shared" si="42"/>
        <v>23.821874999999999</v>
      </c>
      <c r="BY12">
        <f t="shared" si="42"/>
        <v>27.792187500000001</v>
      </c>
      <c r="BZ12">
        <f t="shared" si="42"/>
        <v>31.762499999999999</v>
      </c>
      <c r="CA12">
        <f t="shared" si="42"/>
        <v>35.732812500000001</v>
      </c>
      <c r="CB12">
        <f t="shared" si="42"/>
        <v>3.9703124999999999</v>
      </c>
      <c r="CC12">
        <f t="shared" si="42"/>
        <v>5.9554687499999996</v>
      </c>
      <c r="CD12">
        <f t="shared" si="42"/>
        <v>7.9406249999999998</v>
      </c>
      <c r="CE12">
        <f t="shared" si="42"/>
        <v>9.92578125</v>
      </c>
    </row>
    <row r="13" spans="1:83" x14ac:dyDescent="0.3">
      <c r="A13" s="22" t="s">
        <v>7</v>
      </c>
      <c r="B13" s="5">
        <f>Fsw/1000</f>
        <v>600</v>
      </c>
      <c r="C13" s="482" t="s">
        <v>3</v>
      </c>
      <c r="D13" s="21" t="s">
        <v>98</v>
      </c>
      <c r="G13">
        <v>4</v>
      </c>
      <c r="H13" s="610">
        <f t="shared" si="0"/>
        <v>12</v>
      </c>
      <c r="I13" s="4" t="str">
        <f t="shared" si="1"/>
        <v>BOOST</v>
      </c>
      <c r="J13">
        <f t="shared" si="43"/>
        <v>2</v>
      </c>
      <c r="K13" s="386">
        <f t="shared" si="44"/>
        <v>0.4</v>
      </c>
      <c r="L13" s="4">
        <f t="shared" si="2"/>
        <v>1.7777777777777779</v>
      </c>
      <c r="M13" s="4">
        <f t="shared" si="56"/>
        <v>1.6026476306377166</v>
      </c>
      <c r="N13" s="386">
        <f t="shared" si="3"/>
        <v>1</v>
      </c>
      <c r="O13" s="386">
        <f t="shared" si="4"/>
        <v>0.75041300885283546</v>
      </c>
      <c r="P13" s="4">
        <f t="shared" si="5"/>
        <v>4.5399397485533477</v>
      </c>
      <c r="Q13" s="4">
        <f t="shared" si="6"/>
        <v>2.2086379446471183</v>
      </c>
      <c r="R13" s="386">
        <f t="shared" si="7"/>
        <v>3.4240105569398036E-2</v>
      </c>
      <c r="S13" s="386">
        <f t="shared" si="45"/>
        <v>1.0494225530115184</v>
      </c>
      <c r="T13" s="386">
        <f t="shared" si="46"/>
        <v>1.0836626585809164</v>
      </c>
      <c r="U13" s="4">
        <f t="shared" si="8"/>
        <v>2.3759610954747465</v>
      </c>
      <c r="V13" s="386">
        <f t="shared" si="9"/>
        <v>1.1290382254419116E-2</v>
      </c>
      <c r="W13" s="386">
        <f t="shared" si="47"/>
        <v>1.1290382254419116E-2</v>
      </c>
      <c r="X13" s="4">
        <f t="shared" si="10"/>
        <v>1.3105677179659787</v>
      </c>
      <c r="Y13" s="386">
        <f t="shared" si="11"/>
        <v>3.4351754867491062E-3</v>
      </c>
      <c r="Z13" s="603">
        <f t="shared" si="48"/>
        <v>3.4351754867491062E-3</v>
      </c>
      <c r="AA13" s="386">
        <f t="shared" si="12"/>
        <v>2.2086379446471183</v>
      </c>
      <c r="AB13" s="386">
        <f t="shared" si="13"/>
        <v>2.7805064952049766E-2</v>
      </c>
      <c r="AC13" s="386">
        <f t="shared" si="14"/>
        <v>0</v>
      </c>
      <c r="AD13" s="386">
        <f t="shared" si="15"/>
        <v>0</v>
      </c>
      <c r="AE13" s="386">
        <f t="shared" si="16"/>
        <v>2.7960553955817126E-2</v>
      </c>
      <c r="AF13" s="386">
        <f t="shared" si="17"/>
        <v>0</v>
      </c>
      <c r="AG13" s="386">
        <f t="shared" si="18"/>
        <v>0</v>
      </c>
      <c r="AH13" s="386">
        <f t="shared" si="19"/>
        <v>0</v>
      </c>
      <c r="AI13" s="386">
        <f t="shared" si="20"/>
        <v>0</v>
      </c>
      <c r="AJ13" s="386">
        <f t="shared" si="21"/>
        <v>1.9132631467664789</v>
      </c>
      <c r="AK13" s="386">
        <f t="shared" si="22"/>
        <v>6.955094150672061E-3</v>
      </c>
      <c r="AL13" s="386">
        <f t="shared" si="23"/>
        <v>0.15568067960050513</v>
      </c>
      <c r="AM13" s="386">
        <f t="shared" si="24"/>
        <v>1.1812610315973504E-2</v>
      </c>
      <c r="AN13" s="386">
        <f t="shared" si="25"/>
        <v>0.17469138307046392</v>
      </c>
      <c r="AO13" s="386">
        <f t="shared" si="49"/>
        <v>1.1034064082468784</v>
      </c>
      <c r="AP13" s="386">
        <f t="shared" si="26"/>
        <v>2.3132608333445259E-3</v>
      </c>
      <c r="AQ13" s="386">
        <f t="shared" si="27"/>
        <v>9.7145943649306843E-2</v>
      </c>
      <c r="AR13" s="386">
        <f t="shared" si="28"/>
        <v>9.9505240797901434E-2</v>
      </c>
      <c r="AS13" s="386">
        <f t="shared" si="29"/>
        <v>2.7805064952049766E-2</v>
      </c>
      <c r="AT13" s="386">
        <f t="shared" si="30"/>
        <v>0</v>
      </c>
      <c r="AU13" s="386">
        <f t="shared" si="31"/>
        <v>0.95039999999999991</v>
      </c>
      <c r="AV13" s="386">
        <f t="shared" si="32"/>
        <v>1.0981727606324307E-2</v>
      </c>
      <c r="AW13" s="386">
        <f t="shared" si="33"/>
        <v>0.249</v>
      </c>
      <c r="AX13" s="386">
        <f t="shared" si="34"/>
        <v>0.14400000000000002</v>
      </c>
      <c r="AY13" s="386">
        <f t="shared" si="35"/>
        <v>1.2671999999999999</v>
      </c>
      <c r="AZ13" s="386">
        <f t="shared" si="36"/>
        <v>0.10439999999999998</v>
      </c>
      <c r="BA13" s="386">
        <f t="shared" si="57"/>
        <v>1.4112</v>
      </c>
      <c r="BB13" s="386">
        <f t="shared" si="58"/>
        <v>4.0221271217525913</v>
      </c>
      <c r="BC13">
        <f t="shared" si="37"/>
        <v>19.200000000000003</v>
      </c>
      <c r="BD13" s="604">
        <f t="shared" si="51"/>
        <v>0.82679764430429847</v>
      </c>
      <c r="BE13" s="614">
        <f t="shared" si="38"/>
        <v>40.097769153523195</v>
      </c>
      <c r="BF13" s="614">
        <f t="shared" si="39"/>
        <v>20.656862039895067</v>
      </c>
      <c r="BG13" s="9"/>
      <c r="BH13" s="4">
        <f t="shared" si="52"/>
        <v>82.679764430429842</v>
      </c>
      <c r="BI13" s="386">
        <f t="shared" si="53"/>
        <v>1.0836626585809164</v>
      </c>
      <c r="BJ13" s="386">
        <f t="shared" si="54"/>
        <v>1.2525571778241824</v>
      </c>
      <c r="BK13" s="386">
        <f t="shared" si="40"/>
        <v>0.80195538307046388</v>
      </c>
      <c r="BL13" s="386">
        <f t="shared" si="41"/>
        <v>0.41313724079790137</v>
      </c>
      <c r="BM13" s="386">
        <f t="shared" si="55"/>
        <v>1.0981727606324307E-2</v>
      </c>
      <c r="BQ13" t="s">
        <v>139</v>
      </c>
      <c r="BR13" s="18">
        <v>30</v>
      </c>
      <c r="BS13" s="18">
        <v>30</v>
      </c>
      <c r="BT13" s="18">
        <v>30</v>
      </c>
      <c r="BU13" s="19">
        <f>500000*(5-Vdd)*BT13/1000000000+((500000*BT9/1000000000*Vdd)*2.5/(2*4))</f>
        <v>4.4531250000000001E-2</v>
      </c>
      <c r="BV13">
        <f t="shared" si="42"/>
        <v>3.5625</v>
      </c>
      <c r="BW13">
        <f t="shared" si="42"/>
        <v>4.453125</v>
      </c>
      <c r="BX13">
        <f t="shared" si="42"/>
        <v>5.34375</v>
      </c>
      <c r="BY13">
        <f t="shared" si="42"/>
        <v>6.234375</v>
      </c>
      <c r="BZ13">
        <f t="shared" si="42"/>
        <v>7.125</v>
      </c>
      <c r="CA13">
        <f t="shared" si="42"/>
        <v>8.015625</v>
      </c>
      <c r="CB13">
        <f t="shared" si="42"/>
        <v>0.890625</v>
      </c>
      <c r="CC13">
        <f t="shared" si="42"/>
        <v>1.3359375</v>
      </c>
      <c r="CD13">
        <f t="shared" si="42"/>
        <v>1.78125</v>
      </c>
      <c r="CE13">
        <f t="shared" si="42"/>
        <v>2.2265625</v>
      </c>
    </row>
    <row r="14" spans="1:83" x14ac:dyDescent="0.3">
      <c r="A14" s="22" t="s">
        <v>6</v>
      </c>
      <c r="B14" s="5">
        <f>Iout</f>
        <v>10</v>
      </c>
      <c r="C14" s="482" t="s">
        <v>2</v>
      </c>
      <c r="D14" s="21" t="s">
        <v>99</v>
      </c>
      <c r="G14">
        <v>5</v>
      </c>
      <c r="H14" s="610">
        <f t="shared" si="0"/>
        <v>12</v>
      </c>
      <c r="I14" s="4" t="str">
        <f t="shared" si="1"/>
        <v>BOOST</v>
      </c>
      <c r="J14">
        <f t="shared" si="43"/>
        <v>2</v>
      </c>
      <c r="K14" s="386">
        <f t="shared" si="44"/>
        <v>0.5</v>
      </c>
      <c r="L14" s="4">
        <f t="shared" si="2"/>
        <v>2.2222222222222219</v>
      </c>
      <c r="M14" s="4">
        <f t="shared" si="56"/>
        <v>2.0041387502087931</v>
      </c>
      <c r="N14" s="386">
        <f t="shared" si="3"/>
        <v>1</v>
      </c>
      <c r="O14" s="386">
        <f t="shared" si="4"/>
        <v>0.75051627540862154</v>
      </c>
      <c r="P14" s="4">
        <f t="shared" si="5"/>
        <v>4.5385597570473566</v>
      </c>
      <c r="Q14" s="4">
        <f t="shared" si="6"/>
        <v>2.5796928746065393</v>
      </c>
      <c r="R14" s="386">
        <f t="shared" si="7"/>
        <v>4.675796002092162E-2</v>
      </c>
      <c r="S14" s="386">
        <f t="shared" si="45"/>
        <v>1.0486877462989166</v>
      </c>
      <c r="T14" s="386">
        <f t="shared" si="46"/>
        <v>1.0954457063198382</v>
      </c>
      <c r="U14" s="4">
        <f t="shared" si="8"/>
        <v>2.4322642195196345</v>
      </c>
      <c r="V14" s="386">
        <f t="shared" si="9"/>
        <v>1.1831818467110913E-2</v>
      </c>
      <c r="W14" s="386">
        <f t="shared" si="47"/>
        <v>1.1831818467110913E-2</v>
      </c>
      <c r="X14" s="4">
        <f t="shared" si="10"/>
        <v>1.310169348732247</v>
      </c>
      <c r="Y14" s="386">
        <f t="shared" si="11"/>
        <v>3.4330874447149606E-3</v>
      </c>
      <c r="Z14" s="603">
        <f t="shared" si="48"/>
        <v>3.4330874447149606E-3</v>
      </c>
      <c r="AA14" s="386">
        <f t="shared" si="12"/>
        <v>2.5796928746065393</v>
      </c>
      <c r="AB14" s="386">
        <f t="shared" si="13"/>
        <v>3.7932447365585778E-2</v>
      </c>
      <c r="AC14" s="386">
        <f t="shared" si="14"/>
        <v>0</v>
      </c>
      <c r="AD14" s="386">
        <f t="shared" si="15"/>
        <v>0</v>
      </c>
      <c r="AE14" s="386">
        <f t="shared" si="16"/>
        <v>3.822242136289241E-2</v>
      </c>
      <c r="AF14" s="386">
        <f t="shared" si="17"/>
        <v>0</v>
      </c>
      <c r="AG14" s="386">
        <f t="shared" si="18"/>
        <v>0</v>
      </c>
      <c r="AH14" s="386">
        <f t="shared" si="19"/>
        <v>0</v>
      </c>
      <c r="AI14" s="386">
        <f t="shared" si="20"/>
        <v>0</v>
      </c>
      <c r="AJ14" s="386">
        <f t="shared" si="21"/>
        <v>2.2348483646489785</v>
      </c>
      <c r="AK14" s="386">
        <f t="shared" si="22"/>
        <v>9.4896397046510053E-3</v>
      </c>
      <c r="AL14" s="386">
        <f t="shared" si="23"/>
        <v>0.19460084950063139</v>
      </c>
      <c r="AM14" s="386">
        <f t="shared" si="24"/>
        <v>1.1293837512349541E-3</v>
      </c>
      <c r="AN14" s="386">
        <f t="shared" si="25"/>
        <v>0.20561010612186364</v>
      </c>
      <c r="AO14" s="386">
        <f t="shared" si="49"/>
        <v>1.2885139170073163</v>
      </c>
      <c r="AP14" s="386">
        <f t="shared" si="26"/>
        <v>3.1545094172109205E-3</v>
      </c>
      <c r="AQ14" s="386">
        <f t="shared" si="27"/>
        <v>0.10779605041790161</v>
      </c>
      <c r="AR14" s="386">
        <f t="shared" si="28"/>
        <v>0.1110206029426099</v>
      </c>
      <c r="AS14" s="386">
        <f t="shared" si="29"/>
        <v>3.7932447365585778E-2</v>
      </c>
      <c r="AT14" s="386">
        <f t="shared" si="30"/>
        <v>0</v>
      </c>
      <c r="AU14" s="386">
        <f t="shared" si="31"/>
        <v>0.95039999999999991</v>
      </c>
      <c r="AV14" s="386">
        <f t="shared" si="32"/>
        <v>1.4983641638922639E-2</v>
      </c>
      <c r="AW14" s="386">
        <f t="shared" si="33"/>
        <v>0.249</v>
      </c>
      <c r="AX14" s="386">
        <f t="shared" si="34"/>
        <v>0.14400000000000002</v>
      </c>
      <c r="AY14" s="386">
        <f t="shared" si="35"/>
        <v>1.2671999999999999</v>
      </c>
      <c r="AZ14" s="386">
        <f t="shared" si="36"/>
        <v>0.10439999999999998</v>
      </c>
      <c r="BA14" s="386">
        <f t="shared" si="57"/>
        <v>1.4112</v>
      </c>
      <c r="BB14" s="386">
        <f t="shared" si="58"/>
        <v>4.0911473842979529</v>
      </c>
      <c r="BC14">
        <f t="shared" si="37"/>
        <v>24</v>
      </c>
      <c r="BD14" s="604">
        <f t="shared" si="51"/>
        <v>0.85436168454319616</v>
      </c>
      <c r="BE14" s="614">
        <f t="shared" si="38"/>
        <v>41.643705306093182</v>
      </c>
      <c r="BF14" s="614">
        <f t="shared" si="39"/>
        <v>21.232630147130493</v>
      </c>
      <c r="BG14" s="9"/>
      <c r="BH14" s="4">
        <f t="shared" si="52"/>
        <v>85.436168454319613</v>
      </c>
      <c r="BI14" s="386">
        <f t="shared" si="53"/>
        <v>1.0954457063198382</v>
      </c>
      <c r="BJ14" s="386">
        <f t="shared" si="54"/>
        <v>1.3052531304273658</v>
      </c>
      <c r="BK14" s="386">
        <f t="shared" si="40"/>
        <v>0.83287410612186363</v>
      </c>
      <c r="BL14" s="386">
        <f t="shared" si="41"/>
        <v>0.42465260294260987</v>
      </c>
      <c r="BM14" s="386">
        <f t="shared" si="55"/>
        <v>1.4983641638922639E-2</v>
      </c>
      <c r="BQ14" t="s">
        <v>142</v>
      </c>
      <c r="BR14" s="18">
        <v>45</v>
      </c>
      <c r="BS14" s="18">
        <v>45</v>
      </c>
      <c r="BT14" s="18">
        <v>45</v>
      </c>
      <c r="BU14" s="19">
        <f>500000*(12-Vdd)*BT14/1000000000+((500000*BT9/1000000000*Vdd)*2.5/(2*4))</f>
        <v>0.18328125000000001</v>
      </c>
      <c r="BV14">
        <f t="shared" si="42"/>
        <v>14.662500000000001</v>
      </c>
      <c r="BW14">
        <f t="shared" si="42"/>
        <v>18.328125</v>
      </c>
      <c r="BX14">
        <f t="shared" si="42"/>
        <v>21.993750000000002</v>
      </c>
      <c r="BY14">
        <f t="shared" si="42"/>
        <v>25.659375000000001</v>
      </c>
      <c r="BZ14">
        <f t="shared" si="42"/>
        <v>29.325000000000003</v>
      </c>
      <c r="CA14">
        <f t="shared" si="42"/>
        <v>32.990625000000001</v>
      </c>
      <c r="CB14">
        <f t="shared" si="42"/>
        <v>3.6656250000000004</v>
      </c>
      <c r="CC14">
        <f t="shared" si="42"/>
        <v>5.4984375000000005</v>
      </c>
      <c r="CD14">
        <f t="shared" si="42"/>
        <v>7.3312500000000007</v>
      </c>
      <c r="CE14">
        <f t="shared" si="42"/>
        <v>9.1640625</v>
      </c>
    </row>
    <row r="15" spans="1:83" x14ac:dyDescent="0.3">
      <c r="A15" s="23" t="s">
        <v>87</v>
      </c>
      <c r="B15" s="5">
        <f>Ta</f>
        <v>25</v>
      </c>
      <c r="C15" s="482" t="s">
        <v>673</v>
      </c>
      <c r="D15" s="21" t="s">
        <v>100</v>
      </c>
      <c r="G15">
        <v>6</v>
      </c>
      <c r="H15" s="610">
        <f t="shared" si="0"/>
        <v>12</v>
      </c>
      <c r="I15" s="4" t="str">
        <f t="shared" si="1"/>
        <v>BOOST</v>
      </c>
      <c r="J15">
        <f t="shared" si="43"/>
        <v>2</v>
      </c>
      <c r="K15" s="386">
        <f t="shared" si="44"/>
        <v>0.6</v>
      </c>
      <c r="L15" s="4">
        <f t="shared" si="2"/>
        <v>2.6666666666666661</v>
      </c>
      <c r="M15" s="4">
        <f t="shared" si="56"/>
        <v>2.4059624339921131</v>
      </c>
      <c r="N15" s="386">
        <f t="shared" si="3"/>
        <v>1</v>
      </c>
      <c r="O15" s="386">
        <f t="shared" si="4"/>
        <v>0.75061954770239492</v>
      </c>
      <c r="P15" s="4">
        <f t="shared" si="5"/>
        <v>4.5371792485429214</v>
      </c>
      <c r="Q15" s="4">
        <f t="shared" si="6"/>
        <v>2.9709612482991341</v>
      </c>
      <c r="R15" s="386">
        <f t="shared" si="7"/>
        <v>6.2093195754603599E-2</v>
      </c>
      <c r="S15" s="386">
        <f t="shared" si="45"/>
        <v>1.0479529557511271</v>
      </c>
      <c r="T15" s="386">
        <f t="shared" si="46"/>
        <v>1.1100461515057307</v>
      </c>
      <c r="U15" s="4">
        <f t="shared" si="8"/>
        <v>2.4994247203248574</v>
      </c>
      <c r="V15" s="386">
        <f t="shared" si="9"/>
        <v>1.2494247865141982E-2</v>
      </c>
      <c r="W15" s="386">
        <f t="shared" si="47"/>
        <v>1.2494247865141982E-2</v>
      </c>
      <c r="X15" s="4">
        <f t="shared" si="10"/>
        <v>1.3097708302539199</v>
      </c>
      <c r="Y15" s="386">
        <f t="shared" si="11"/>
        <v>3.4309992555680859E-3</v>
      </c>
      <c r="Z15" s="603">
        <f t="shared" si="48"/>
        <v>3.4309992555680859E-3</v>
      </c>
      <c r="AA15" s="386">
        <f t="shared" si="12"/>
        <v>2.9709612482991341</v>
      </c>
      <c r="AB15" s="386">
        <f t="shared" si="13"/>
        <v>5.0311681211702354E-2</v>
      </c>
      <c r="AC15" s="386">
        <f t="shared" si="14"/>
        <v>0</v>
      </c>
      <c r="AD15" s="386">
        <f t="shared" si="15"/>
        <v>0</v>
      </c>
      <c r="AE15" s="386">
        <f t="shared" si="16"/>
        <v>5.0823080132870714E-2</v>
      </c>
      <c r="AF15" s="386">
        <f t="shared" si="17"/>
        <v>0</v>
      </c>
      <c r="AG15" s="386">
        <f t="shared" si="18"/>
        <v>0</v>
      </c>
      <c r="AH15" s="386">
        <f t="shared" si="19"/>
        <v>0</v>
      </c>
      <c r="AI15" s="386">
        <f t="shared" si="20"/>
        <v>0</v>
      </c>
      <c r="AJ15" s="386">
        <f t="shared" si="21"/>
        <v>2.5739903963640924</v>
      </c>
      <c r="AK15" s="386">
        <f t="shared" si="22"/>
        <v>1.2588310465091698E-2</v>
      </c>
      <c r="AL15" s="386">
        <f t="shared" si="23"/>
        <v>0.23352101940075765</v>
      </c>
      <c r="AM15" s="386">
        <f t="shared" si="24"/>
        <v>0</v>
      </c>
      <c r="AN15" s="386">
        <f t="shared" si="25"/>
        <v>0.2467305139279567</v>
      </c>
      <c r="AO15" s="386">
        <f t="shared" si="49"/>
        <v>1.4836388301472061</v>
      </c>
      <c r="AP15" s="386">
        <f t="shared" si="26"/>
        <v>4.1822499388090833E-3</v>
      </c>
      <c r="AQ15" s="386">
        <f t="shared" si="27"/>
        <v>0.12799999999999997</v>
      </c>
      <c r="AR15" s="386">
        <f t="shared" si="28"/>
        <v>0.13229290633869703</v>
      </c>
      <c r="AS15" s="386">
        <f t="shared" si="29"/>
        <v>5.0311681211702354E-2</v>
      </c>
      <c r="AT15" s="386">
        <f t="shared" si="30"/>
        <v>0</v>
      </c>
      <c r="AU15" s="386">
        <f t="shared" si="31"/>
        <v>0.95039999999999991</v>
      </c>
      <c r="AV15" s="386">
        <f t="shared" si="32"/>
        <v>1.9876279681723733E-2</v>
      </c>
      <c r="AW15" s="386">
        <f t="shared" si="33"/>
        <v>0.249</v>
      </c>
      <c r="AX15" s="386">
        <f t="shared" si="34"/>
        <v>0.14400000000000002</v>
      </c>
      <c r="AY15" s="386">
        <f t="shared" si="35"/>
        <v>1.2671999999999999</v>
      </c>
      <c r="AZ15" s="386">
        <f t="shared" si="36"/>
        <v>0.10439999999999998</v>
      </c>
      <c r="BA15" s="386">
        <f t="shared" si="57"/>
        <v>1.4112</v>
      </c>
      <c r="BB15" s="386">
        <f t="shared" si="58"/>
        <v>4.1862941787076888</v>
      </c>
      <c r="BC15">
        <f t="shared" si="37"/>
        <v>28.799999999999997</v>
      </c>
      <c r="BD15" s="604">
        <f t="shared" si="51"/>
        <v>0.87308989133402259</v>
      </c>
      <c r="BE15" s="614">
        <f t="shared" si="38"/>
        <v>43.699725696397827</v>
      </c>
      <c r="BF15" s="614">
        <f t="shared" si="39"/>
        <v>22.296245316934847</v>
      </c>
      <c r="BG15" s="9"/>
      <c r="BH15" s="4">
        <f t="shared" si="52"/>
        <v>87.308989133402264</v>
      </c>
      <c r="BI15" s="386">
        <f t="shared" si="53"/>
        <v>1.1100461515057307</v>
      </c>
      <c r="BJ15" s="386">
        <f t="shared" si="54"/>
        <v>1.3802465003995243</v>
      </c>
      <c r="BK15" s="386">
        <f t="shared" si="40"/>
        <v>0.87399451392795657</v>
      </c>
      <c r="BL15" s="386">
        <f t="shared" si="41"/>
        <v>0.44592490633869697</v>
      </c>
      <c r="BM15" s="386">
        <f t="shared" si="55"/>
        <v>1.9876279681723733E-2</v>
      </c>
      <c r="BQ15" t="s">
        <v>140</v>
      </c>
      <c r="BR15" s="18">
        <v>20</v>
      </c>
      <c r="BS15" s="18">
        <v>20</v>
      </c>
      <c r="BT15" s="18">
        <v>20</v>
      </c>
      <c r="BU15" s="19">
        <f>1000000*(5-Vdd)*BT15/1000000000+((1000000*BT9/1000000000*Vdd)*2.5/(2*4))</f>
        <v>0.1140625</v>
      </c>
      <c r="BV15">
        <f t="shared" si="42"/>
        <v>9.125</v>
      </c>
      <c r="BW15">
        <f t="shared" si="42"/>
        <v>11.40625</v>
      </c>
      <c r="BX15">
        <f t="shared" si="42"/>
        <v>13.6875</v>
      </c>
      <c r="BY15">
        <f t="shared" si="42"/>
        <v>15.96875</v>
      </c>
      <c r="BZ15">
        <f t="shared" si="42"/>
        <v>18.25</v>
      </c>
      <c r="CA15">
        <f t="shared" si="42"/>
        <v>20.53125</v>
      </c>
      <c r="CB15">
        <f t="shared" si="42"/>
        <v>2.28125</v>
      </c>
      <c r="CC15">
        <f t="shared" si="42"/>
        <v>3.421875</v>
      </c>
      <c r="CD15">
        <f t="shared" si="42"/>
        <v>4.5625</v>
      </c>
      <c r="CE15">
        <f t="shared" si="42"/>
        <v>5.703125</v>
      </c>
    </row>
    <row r="16" spans="1:83" x14ac:dyDescent="0.3">
      <c r="A16" s="490" t="s">
        <v>684</v>
      </c>
      <c r="B16" s="5">
        <f>Vdd</f>
        <v>7.5</v>
      </c>
      <c r="C16" s="482" t="s">
        <v>0</v>
      </c>
      <c r="D16" s="482" t="s">
        <v>683</v>
      </c>
      <c r="G16">
        <v>7</v>
      </c>
      <c r="H16" s="610">
        <f t="shared" si="0"/>
        <v>12</v>
      </c>
      <c r="I16" s="4" t="str">
        <f t="shared" si="1"/>
        <v>BOOST</v>
      </c>
      <c r="J16">
        <f t="shared" si="43"/>
        <v>2</v>
      </c>
      <c r="K16" s="386">
        <f t="shared" si="44"/>
        <v>0.7</v>
      </c>
      <c r="L16" s="4">
        <f t="shared" si="2"/>
        <v>3.1111111111111103</v>
      </c>
      <c r="M16" s="4">
        <f t="shared" si="56"/>
        <v>2.8081191230722928</v>
      </c>
      <c r="N16" s="386">
        <f t="shared" si="3"/>
        <v>1</v>
      </c>
      <c r="O16" s="386">
        <f t="shared" si="4"/>
        <v>0.75072282573463356</v>
      </c>
      <c r="P16" s="4">
        <f t="shared" si="5"/>
        <v>4.5357982229969505</v>
      </c>
      <c r="Q16" s="4">
        <f t="shared" si="6"/>
        <v>3.3754211301195487</v>
      </c>
      <c r="R16" s="386">
        <f t="shared" si="7"/>
        <v>8.0266401731444503E-2</v>
      </c>
      <c r="S16" s="386">
        <f t="shared" si="45"/>
        <v>1.0472181816457589</v>
      </c>
      <c r="T16" s="386">
        <f t="shared" si="46"/>
        <v>1.1274845833772034</v>
      </c>
      <c r="U16" s="4">
        <f t="shared" si="8"/>
        <v>2.5766131455131607</v>
      </c>
      <c r="V16" s="386">
        <f t="shared" si="9"/>
        <v>1.3277870603262448E-2</v>
      </c>
      <c r="W16" s="386">
        <f t="shared" si="47"/>
        <v>1.3277870603262448E-2</v>
      </c>
      <c r="X16" s="4">
        <f t="shared" si="10"/>
        <v>1.3093721625185579</v>
      </c>
      <c r="Y16" s="386">
        <f t="shared" si="11"/>
        <v>3.4289109199570496E-3</v>
      </c>
      <c r="Z16" s="603">
        <f t="shared" si="48"/>
        <v>3.4289109199570496E-3</v>
      </c>
      <c r="AA16" s="386">
        <f t="shared" si="12"/>
        <v>3.3754211301195487</v>
      </c>
      <c r="AB16" s="386">
        <f t="shared" si="13"/>
        <v>6.4942766492247936E-2</v>
      </c>
      <c r="AC16" s="386">
        <f t="shared" si="14"/>
        <v>0</v>
      </c>
      <c r="AD16" s="386">
        <f t="shared" si="15"/>
        <v>0</v>
      </c>
      <c r="AE16" s="386">
        <f t="shared" si="16"/>
        <v>6.5797379259660338E-2</v>
      </c>
      <c r="AF16" s="386">
        <f t="shared" si="17"/>
        <v>0</v>
      </c>
      <c r="AG16" s="386">
        <f t="shared" si="18"/>
        <v>0</v>
      </c>
      <c r="AH16" s="386">
        <f t="shared" si="19"/>
        <v>0</v>
      </c>
      <c r="AI16" s="386">
        <f t="shared" si="20"/>
        <v>0</v>
      </c>
      <c r="AJ16" s="386">
        <f t="shared" si="21"/>
        <v>2.9246087509237535</v>
      </c>
      <c r="AK16" s="386">
        <f t="shared" si="22"/>
        <v>1.6251339057361616E-2</v>
      </c>
      <c r="AL16" s="386">
        <f t="shared" si="23"/>
        <v>0.2724411893008839</v>
      </c>
      <c r="AM16" s="386">
        <f t="shared" si="24"/>
        <v>0</v>
      </c>
      <c r="AN16" s="386">
        <f t="shared" si="25"/>
        <v>0.28963391615302836</v>
      </c>
      <c r="AO16" s="386">
        <f t="shared" si="49"/>
        <v>1.6852689576675097</v>
      </c>
      <c r="AP16" s="386">
        <f t="shared" si="26"/>
        <v>5.3962497733876956E-3</v>
      </c>
      <c r="AQ16" s="386">
        <f t="shared" si="27"/>
        <v>0.14933333333333329</v>
      </c>
      <c r="AR16" s="386">
        <f t="shared" si="28"/>
        <v>0.15489675542299097</v>
      </c>
      <c r="AS16" s="386">
        <f t="shared" si="29"/>
        <v>6.4942766492247936E-2</v>
      </c>
      <c r="AT16" s="386">
        <f t="shared" si="30"/>
        <v>0</v>
      </c>
      <c r="AU16" s="386">
        <f t="shared" si="31"/>
        <v>0.95039999999999991</v>
      </c>
      <c r="AV16" s="386">
        <f t="shared" si="32"/>
        <v>2.5660009037939392E-2</v>
      </c>
      <c r="AW16" s="386">
        <f t="shared" si="33"/>
        <v>0.249</v>
      </c>
      <c r="AX16" s="386">
        <f t="shared" si="34"/>
        <v>0.14400000000000002</v>
      </c>
      <c r="AY16" s="386">
        <f t="shared" si="35"/>
        <v>1.2671999999999999</v>
      </c>
      <c r="AZ16" s="386">
        <f t="shared" si="36"/>
        <v>0.10439999999999998</v>
      </c>
      <c r="BA16" s="386">
        <f t="shared" si="57"/>
        <v>1.4112</v>
      </c>
      <c r="BB16" s="386">
        <f t="shared" si="58"/>
        <v>4.2907794247740414</v>
      </c>
      <c r="BC16">
        <f t="shared" si="37"/>
        <v>33.599999999999994</v>
      </c>
      <c r="BD16" s="604">
        <f t="shared" si="51"/>
        <v>0.88675927257467246</v>
      </c>
      <c r="BE16" s="614">
        <f t="shared" si="38"/>
        <v>45.844895807651412</v>
      </c>
      <c r="BF16" s="614">
        <f t="shared" si="39"/>
        <v>23.426437771149548</v>
      </c>
      <c r="BG16" s="9"/>
      <c r="BH16" s="4">
        <f t="shared" si="52"/>
        <v>88.675927257467251</v>
      </c>
      <c r="BI16" s="386">
        <f t="shared" si="53"/>
        <v>1.1274845833772034</v>
      </c>
      <c r="BJ16" s="386">
        <f t="shared" si="54"/>
        <v>1.4607280508356797</v>
      </c>
      <c r="BK16" s="386">
        <f t="shared" si="40"/>
        <v>0.91689791615302829</v>
      </c>
      <c r="BL16" s="386">
        <f t="shared" si="41"/>
        <v>0.46852875542299094</v>
      </c>
      <c r="BM16" s="386">
        <f t="shared" si="55"/>
        <v>2.5660009037939392E-2</v>
      </c>
      <c r="BQ16" t="s">
        <v>141</v>
      </c>
      <c r="BR16" s="18">
        <v>25</v>
      </c>
      <c r="BS16" s="18">
        <v>25</v>
      </c>
      <c r="BT16" s="18">
        <v>25</v>
      </c>
      <c r="BU16" s="19">
        <f>1000000*(12-Vdd)*BT16/1000000000+((1000000*BT9/1000000000*Vdd)*2.5/(2*4))</f>
        <v>0.27656249999999999</v>
      </c>
      <c r="BV16">
        <f t="shared" si="42"/>
        <v>22.125</v>
      </c>
      <c r="BW16">
        <f t="shared" si="42"/>
        <v>27.65625</v>
      </c>
      <c r="BX16">
        <f t="shared" si="42"/>
        <v>33.1875</v>
      </c>
      <c r="BY16">
        <f t="shared" si="42"/>
        <v>38.71875</v>
      </c>
      <c r="BZ16">
        <f t="shared" si="42"/>
        <v>44.25</v>
      </c>
      <c r="CA16">
        <f t="shared" si="42"/>
        <v>49.78125</v>
      </c>
      <c r="CB16">
        <f t="shared" si="42"/>
        <v>5.53125</v>
      </c>
      <c r="CC16">
        <f t="shared" si="42"/>
        <v>8.296875</v>
      </c>
      <c r="CD16">
        <f t="shared" si="42"/>
        <v>11.0625</v>
      </c>
      <c r="CE16">
        <f t="shared" si="42"/>
        <v>13.828125</v>
      </c>
    </row>
    <row r="17" spans="1:83" x14ac:dyDescent="0.3">
      <c r="A17" s="24" t="s">
        <v>62</v>
      </c>
      <c r="B17" s="16" t="s">
        <v>115</v>
      </c>
      <c r="C17" s="24" t="s">
        <v>80</v>
      </c>
      <c r="D17" s="17" t="s">
        <v>111</v>
      </c>
      <c r="G17">
        <v>8</v>
      </c>
      <c r="H17" s="610">
        <f t="shared" si="0"/>
        <v>12</v>
      </c>
      <c r="I17" s="4" t="str">
        <f t="shared" si="1"/>
        <v>BOOST</v>
      </c>
      <c r="J17">
        <f t="shared" si="43"/>
        <v>2</v>
      </c>
      <c r="K17" s="386">
        <f t="shared" si="44"/>
        <v>0.8</v>
      </c>
      <c r="L17" s="4">
        <f t="shared" si="2"/>
        <v>3.5555555555555558</v>
      </c>
      <c r="M17" s="4">
        <f t="shared" si="56"/>
        <v>3.2106092593143227</v>
      </c>
      <c r="N17" s="386">
        <f t="shared" si="3"/>
        <v>1</v>
      </c>
      <c r="O17" s="386">
        <f t="shared" si="4"/>
        <v>0.75082610950581608</v>
      </c>
      <c r="P17" s="4">
        <f t="shared" si="5"/>
        <v>4.5344166803663484</v>
      </c>
      <c r="Q17" s="4">
        <f t="shared" si="6"/>
        <v>3.7888502910391377</v>
      </c>
      <c r="R17" s="386">
        <f t="shared" si="7"/>
        <v>0.10130207474118516</v>
      </c>
      <c r="S17" s="386">
        <f t="shared" si="45"/>
        <v>1.0464834242605179</v>
      </c>
      <c r="T17" s="386">
        <f t="shared" si="46"/>
        <v>1.1477854990017031</v>
      </c>
      <c r="U17" s="4">
        <f t="shared" si="8"/>
        <v>2.6629764541146761</v>
      </c>
      <c r="V17" s="386">
        <f t="shared" si="9"/>
        <v>1.4182887190338347E-2</v>
      </c>
      <c r="W17" s="386">
        <f t="shared" si="47"/>
        <v>1.4182887190338347E-2</v>
      </c>
      <c r="X17" s="4">
        <f t="shared" si="10"/>
        <v>1.3089733455137202</v>
      </c>
      <c r="Y17" s="386">
        <f t="shared" si="11"/>
        <v>3.4268224385307624E-3</v>
      </c>
      <c r="Z17" s="603">
        <f t="shared" si="48"/>
        <v>3.4268224385307624E-3</v>
      </c>
      <c r="AA17" s="386">
        <f t="shared" si="12"/>
        <v>3.7888502910391377</v>
      </c>
      <c r="AB17" s="386">
        <f t="shared" si="13"/>
        <v>8.182570320907194E-2</v>
      </c>
      <c r="AC17" s="386">
        <f t="shared" si="14"/>
        <v>0</v>
      </c>
      <c r="AD17" s="386">
        <f t="shared" si="15"/>
        <v>0</v>
      </c>
      <c r="AE17" s="386">
        <f t="shared" si="16"/>
        <v>8.3187071330984144E-2</v>
      </c>
      <c r="AF17" s="386">
        <f t="shared" si="17"/>
        <v>0</v>
      </c>
      <c r="AG17" s="386">
        <f t="shared" si="18"/>
        <v>0</v>
      </c>
      <c r="AH17" s="386">
        <f t="shared" si="19"/>
        <v>0</v>
      </c>
      <c r="AI17" s="386">
        <f t="shared" si="20"/>
        <v>0</v>
      </c>
      <c r="AJ17" s="386">
        <f t="shared" si="21"/>
        <v>3.2830472151951891</v>
      </c>
      <c r="AK17" s="386">
        <f t="shared" si="22"/>
        <v>2.0478958132681684E-2</v>
      </c>
      <c r="AL17" s="386">
        <f t="shared" si="23"/>
        <v>0.31136135920101027</v>
      </c>
      <c r="AM17" s="386">
        <f t="shared" si="24"/>
        <v>0</v>
      </c>
      <c r="AN17" s="386">
        <f t="shared" si="25"/>
        <v>0.33320505581120302</v>
      </c>
      <c r="AO17" s="386">
        <f t="shared" si="49"/>
        <v>1.8912925502699129</v>
      </c>
      <c r="AP17" s="386">
        <f t="shared" si="26"/>
        <v>6.796276270342295E-3</v>
      </c>
      <c r="AQ17" s="386">
        <f t="shared" si="27"/>
        <v>0.17066666666666669</v>
      </c>
      <c r="AR17" s="386">
        <f t="shared" si="28"/>
        <v>0.17770448869694186</v>
      </c>
      <c r="AS17" s="386">
        <f t="shared" si="29"/>
        <v>8.182570320907194E-2</v>
      </c>
      <c r="AT17" s="386">
        <f t="shared" si="30"/>
        <v>0</v>
      </c>
      <c r="AU17" s="386">
        <f t="shared" si="31"/>
        <v>0.95039999999999991</v>
      </c>
      <c r="AV17" s="386">
        <f t="shared" si="32"/>
        <v>3.2335197051602663E-2</v>
      </c>
      <c r="AW17" s="386">
        <f t="shared" si="33"/>
        <v>0.249</v>
      </c>
      <c r="AX17" s="386">
        <f t="shared" si="34"/>
        <v>0.14400000000000002</v>
      </c>
      <c r="AY17" s="386">
        <f t="shared" si="35"/>
        <v>1.2671999999999999</v>
      </c>
      <c r="AZ17" s="386">
        <f t="shared" si="36"/>
        <v>0.10439999999999998</v>
      </c>
      <c r="BA17" s="386">
        <f t="shared" si="57"/>
        <v>1.4112</v>
      </c>
      <c r="BB17" s="386">
        <f t="shared" si="58"/>
        <v>4.4024270215213033</v>
      </c>
      <c r="BC17">
        <f t="shared" si="37"/>
        <v>38.400000000000006</v>
      </c>
      <c r="BD17" s="604">
        <f t="shared" si="51"/>
        <v>0.89714538805690291</v>
      </c>
      <c r="BE17" s="614">
        <f t="shared" si="38"/>
        <v>48.02345279056015</v>
      </c>
      <c r="BF17" s="614">
        <f t="shared" si="39"/>
        <v>24.566824434847089</v>
      </c>
      <c r="BG17" s="9"/>
      <c r="BH17" s="4">
        <f t="shared" si="52"/>
        <v>89.714538805690296</v>
      </c>
      <c r="BI17" s="386">
        <f t="shared" si="53"/>
        <v>1.1477854990017031</v>
      </c>
      <c r="BJ17" s="386">
        <f t="shared" si="54"/>
        <v>1.5444966158391289</v>
      </c>
      <c r="BK17" s="386">
        <f t="shared" si="40"/>
        <v>0.96046905581120301</v>
      </c>
      <c r="BL17" s="386">
        <f t="shared" si="41"/>
        <v>0.4913364886969418</v>
      </c>
      <c r="BM17" s="386">
        <f t="shared" si="55"/>
        <v>3.2335197051602663E-2</v>
      </c>
      <c r="BQ17" t="s">
        <v>144</v>
      </c>
      <c r="BR17" s="18">
        <v>50</v>
      </c>
      <c r="BS17" s="18">
        <v>50</v>
      </c>
      <c r="BT17" s="18">
        <v>50</v>
      </c>
      <c r="BU17" s="19">
        <f>500000*(18-Vdd)*BT17/1000000000+((500000*BT15/1000000000*Vdd)*2.5/(2*4))</f>
        <v>0.28593750000000001</v>
      </c>
      <c r="BV17">
        <f t="shared" si="42"/>
        <v>22.875</v>
      </c>
      <c r="BW17">
        <f t="shared" si="42"/>
        <v>28.59375</v>
      </c>
      <c r="BX17">
        <f t="shared" si="42"/>
        <v>34.3125</v>
      </c>
      <c r="BY17">
        <f t="shared" si="42"/>
        <v>40.03125</v>
      </c>
      <c r="BZ17">
        <f t="shared" si="42"/>
        <v>45.75</v>
      </c>
      <c r="CA17">
        <f t="shared" si="42"/>
        <v>51.46875</v>
      </c>
      <c r="CB17">
        <f t="shared" si="42"/>
        <v>5.71875</v>
      </c>
      <c r="CC17">
        <f t="shared" si="42"/>
        <v>8.578125</v>
      </c>
      <c r="CD17">
        <f t="shared" si="42"/>
        <v>11.4375</v>
      </c>
      <c r="CE17">
        <f t="shared" si="42"/>
        <v>14.296875</v>
      </c>
    </row>
    <row r="18" spans="1:83" x14ac:dyDescent="0.3">
      <c r="A18" s="35" t="s">
        <v>60</v>
      </c>
      <c r="B18" s="38">
        <f>Lf*1000000</f>
        <v>3.3</v>
      </c>
      <c r="C18" s="483" t="s">
        <v>11</v>
      </c>
      <c r="D18" s="482" t="s">
        <v>676</v>
      </c>
      <c r="G18">
        <v>9</v>
      </c>
      <c r="H18" s="610">
        <f t="shared" si="0"/>
        <v>12</v>
      </c>
      <c r="I18" s="4" t="str">
        <f t="shared" si="1"/>
        <v>BOOST</v>
      </c>
      <c r="J18">
        <f t="shared" si="43"/>
        <v>2</v>
      </c>
      <c r="K18" s="386">
        <f t="shared" si="44"/>
        <v>0.9</v>
      </c>
      <c r="L18" s="4">
        <f t="shared" si="2"/>
        <v>4</v>
      </c>
      <c r="M18" s="4">
        <f t="shared" si="56"/>
        <v>3.6134332853652835</v>
      </c>
      <c r="N18" s="386">
        <f t="shared" si="3"/>
        <v>1</v>
      </c>
      <c r="O18" s="386">
        <f t="shared" si="4"/>
        <v>0.75092939901642086</v>
      </c>
      <c r="P18" s="4">
        <f t="shared" si="5"/>
        <v>4.5330346206080154</v>
      </c>
      <c r="Q18" s="4">
        <f t="shared" si="6"/>
        <v>4.2086062902069177</v>
      </c>
      <c r="R18" s="386">
        <f t="shared" si="7"/>
        <v>0.12522870250833687</v>
      </c>
      <c r="S18" s="386">
        <f t="shared" si="45"/>
        <v>1.0457486838731906</v>
      </c>
      <c r="T18" s="386">
        <f t="shared" si="46"/>
        <v>1.1709773863815276</v>
      </c>
      <c r="U18" s="4">
        <f t="shared" si="8"/>
        <v>2.7576709820186176</v>
      </c>
      <c r="V18" s="386">
        <f t="shared" si="9"/>
        <v>1.5209498490135054E-2</v>
      </c>
      <c r="W18" s="386">
        <f t="shared" si="47"/>
        <v>1.5209498490135054E-2</v>
      </c>
      <c r="X18" s="4">
        <f t="shared" si="10"/>
        <v>1.3085743792269655</v>
      </c>
      <c r="Y18" s="386">
        <f t="shared" si="11"/>
        <v>3.4247338119384762E-3</v>
      </c>
      <c r="Z18" s="603">
        <f t="shared" si="48"/>
        <v>3.4247338119384762E-3</v>
      </c>
      <c r="AA18" s="386">
        <f t="shared" si="12"/>
        <v>4.2086062902069177</v>
      </c>
      <c r="AB18" s="386">
        <f t="shared" si="13"/>
        <v>0.10096049136402463</v>
      </c>
      <c r="AC18" s="386">
        <f t="shared" si="14"/>
        <v>0</v>
      </c>
      <c r="AD18" s="386">
        <f t="shared" si="15"/>
        <v>0</v>
      </c>
      <c r="AE18" s="386">
        <f t="shared" si="16"/>
        <v>0.1030411075334793</v>
      </c>
      <c r="AF18" s="386">
        <f t="shared" si="17"/>
        <v>0</v>
      </c>
      <c r="AG18" s="386">
        <f t="shared" si="18"/>
        <v>0</v>
      </c>
      <c r="AH18" s="386">
        <f t="shared" si="19"/>
        <v>0</v>
      </c>
      <c r="AI18" s="386">
        <f t="shared" si="20"/>
        <v>0</v>
      </c>
      <c r="AJ18" s="386">
        <f t="shared" si="21"/>
        <v>3.6470175535439666</v>
      </c>
      <c r="AK18" s="386">
        <f t="shared" si="22"/>
        <v>2.5271400368129856E-2</v>
      </c>
      <c r="AL18" s="386">
        <f t="shared" si="23"/>
        <v>0.35028152910113652</v>
      </c>
      <c r="AM18" s="386">
        <f t="shared" si="24"/>
        <v>0</v>
      </c>
      <c r="AN18" s="386">
        <f t="shared" si="25"/>
        <v>0.37746072167339673</v>
      </c>
      <c r="AO18" s="386">
        <f t="shared" si="49"/>
        <v>2.1003880284631733</v>
      </c>
      <c r="AP18" s="386">
        <f t="shared" si="26"/>
        <v>8.3820967532116913E-3</v>
      </c>
      <c r="AQ18" s="386">
        <f t="shared" si="27"/>
        <v>0.192</v>
      </c>
      <c r="AR18" s="386">
        <f t="shared" si="28"/>
        <v>0.2007185852735979</v>
      </c>
      <c r="AS18" s="386">
        <f t="shared" si="29"/>
        <v>0.10096049136402463</v>
      </c>
      <c r="AT18" s="386">
        <f t="shared" si="30"/>
        <v>0</v>
      </c>
      <c r="AU18" s="386">
        <f t="shared" si="31"/>
        <v>0.95039999999999991</v>
      </c>
      <c r="AV18" s="386">
        <f t="shared" si="32"/>
        <v>3.9902211107573457E-2</v>
      </c>
      <c r="AW18" s="386">
        <f t="shared" si="33"/>
        <v>0.249</v>
      </c>
      <c r="AX18" s="386">
        <f t="shared" si="34"/>
        <v>0.14400000000000002</v>
      </c>
      <c r="AY18" s="386">
        <f t="shared" si="35"/>
        <v>1.2671999999999999</v>
      </c>
      <c r="AZ18" s="386">
        <f t="shared" si="36"/>
        <v>0.10439999999999998</v>
      </c>
      <c r="BA18" s="386">
        <f t="shared" si="57"/>
        <v>1.4112</v>
      </c>
      <c r="BB18" s="386">
        <f t="shared" si="58"/>
        <v>4.5213342442716487</v>
      </c>
      <c r="BC18">
        <f t="shared" si="37"/>
        <v>43.2</v>
      </c>
      <c r="BD18" s="604">
        <f t="shared" si="51"/>
        <v>0.90525549388187154</v>
      </c>
      <c r="BE18" s="614">
        <f t="shared" si="38"/>
        <v>50.23623608366983</v>
      </c>
      <c r="BF18" s="614">
        <f t="shared" si="39"/>
        <v>25.717529263679893</v>
      </c>
      <c r="BG18" s="9"/>
      <c r="BH18" s="4">
        <f t="shared" si="52"/>
        <v>90.525549388187159</v>
      </c>
      <c r="BI18" s="386">
        <f t="shared" si="53"/>
        <v>1.1709773863815276</v>
      </c>
      <c r="BJ18" s="386">
        <f t="shared" si="54"/>
        <v>1.6316204144804738</v>
      </c>
      <c r="BK18" s="386">
        <f t="shared" si="40"/>
        <v>1.0047247216733965</v>
      </c>
      <c r="BL18" s="386">
        <f t="shared" si="41"/>
        <v>0.51435058527359789</v>
      </c>
      <c r="BM18" s="386">
        <f t="shared" si="55"/>
        <v>3.9902211107573457E-2</v>
      </c>
      <c r="BQ18" t="s">
        <v>145</v>
      </c>
      <c r="BS18" s="18"/>
      <c r="BT18" s="19"/>
    </row>
    <row r="19" spans="1:83" x14ac:dyDescent="0.3">
      <c r="A19" s="35" t="s">
        <v>12</v>
      </c>
      <c r="B19" s="39">
        <f>Rdcr*1000</f>
        <v>7</v>
      </c>
      <c r="C19" s="484" t="s">
        <v>674</v>
      </c>
      <c r="D19" s="482" t="s">
        <v>677</v>
      </c>
      <c r="G19">
        <v>10</v>
      </c>
      <c r="H19" s="610">
        <f t="shared" si="0"/>
        <v>12</v>
      </c>
      <c r="I19" s="4" t="str">
        <f t="shared" si="1"/>
        <v>BOOST</v>
      </c>
      <c r="J19">
        <f t="shared" si="43"/>
        <v>2</v>
      </c>
      <c r="K19" s="386">
        <f t="shared" si="44"/>
        <v>1</v>
      </c>
      <c r="L19" s="4">
        <f t="shared" si="2"/>
        <v>4.4444444444444438</v>
      </c>
      <c r="M19" s="4">
        <f t="shared" si="56"/>
        <v>4.0165916446560779</v>
      </c>
      <c r="N19" s="386">
        <f t="shared" si="3"/>
        <v>1</v>
      </c>
      <c r="O19" s="386">
        <f t="shared" si="4"/>
        <v>0.75103269426692609</v>
      </c>
      <c r="P19" s="4">
        <f t="shared" si="5"/>
        <v>4.531652043678843</v>
      </c>
      <c r="Q19" s="4">
        <f t="shared" si="6"/>
        <v>4.6329697754429571</v>
      </c>
      <c r="R19" s="386">
        <f t="shared" si="7"/>
        <v>0.15207886098464016</v>
      </c>
      <c r="S19" s="386">
        <f t="shared" si="45"/>
        <v>1.045013960761662</v>
      </c>
      <c r="T19" s="386">
        <f t="shared" si="46"/>
        <v>1.1970928217463022</v>
      </c>
      <c r="U19" s="4">
        <f t="shared" si="8"/>
        <v>2.8598868615823605</v>
      </c>
      <c r="V19" s="386">
        <f t="shared" si="9"/>
        <v>1.6357905722102807E-2</v>
      </c>
      <c r="W19" s="386">
        <f t="shared" si="47"/>
        <v>1.6357905722102807E-2</v>
      </c>
      <c r="X19" s="4">
        <f t="shared" si="10"/>
        <v>1.308175263645849</v>
      </c>
      <c r="Y19" s="386">
        <f t="shared" si="11"/>
        <v>3.4226450408297729E-3</v>
      </c>
      <c r="Z19" s="603">
        <f t="shared" si="48"/>
        <v>3.4226450408297729E-3</v>
      </c>
      <c r="AA19" s="386">
        <f t="shared" si="12"/>
        <v>4.6329697754429571</v>
      </c>
      <c r="AB19" s="386">
        <f t="shared" si="13"/>
        <v>0.1223471309589574</v>
      </c>
      <c r="AC19" s="386">
        <f t="shared" si="14"/>
        <v>0</v>
      </c>
      <c r="AD19" s="386">
        <f t="shared" si="15"/>
        <v>0</v>
      </c>
      <c r="AE19" s="386">
        <f t="shared" si="16"/>
        <v>0.12541598822612721</v>
      </c>
      <c r="AF19" s="386">
        <f t="shared" si="17"/>
        <v>0</v>
      </c>
      <c r="AG19" s="386">
        <f t="shared" si="18"/>
        <v>0</v>
      </c>
      <c r="AH19" s="386">
        <f t="shared" si="19"/>
        <v>0</v>
      </c>
      <c r="AI19" s="386">
        <f t="shared" si="20"/>
        <v>0</v>
      </c>
      <c r="AJ19" s="386">
        <f t="shared" si="21"/>
        <v>4.0150308687706797</v>
      </c>
      <c r="AK19" s="386">
        <f t="shared" si="22"/>
        <v>3.0628898466644731E-2</v>
      </c>
      <c r="AL19" s="386">
        <f t="shared" si="23"/>
        <v>0.38920169900126278</v>
      </c>
      <c r="AM19" s="386">
        <f t="shared" si="24"/>
        <v>0</v>
      </c>
      <c r="AN19" s="386">
        <f t="shared" si="25"/>
        <v>0.42241823853562083</v>
      </c>
      <c r="AO19" s="386">
        <f t="shared" si="49"/>
        <v>2.3116954952991802</v>
      </c>
      <c r="AP19" s="386">
        <f t="shared" si="26"/>
        <v>1.0153478519674393E-2</v>
      </c>
      <c r="AQ19" s="386">
        <f t="shared" si="27"/>
        <v>0.21333333333333329</v>
      </c>
      <c r="AR19" s="386">
        <f t="shared" si="28"/>
        <v>0.22394156903517984</v>
      </c>
      <c r="AS19" s="386">
        <f t="shared" si="29"/>
        <v>0.1223471309589574</v>
      </c>
      <c r="AT19" s="386">
        <f t="shared" si="30"/>
        <v>0</v>
      </c>
      <c r="AU19" s="386">
        <f t="shared" si="31"/>
        <v>0.95039999999999991</v>
      </c>
      <c r="AV19" s="386">
        <f t="shared" si="32"/>
        <v>4.8361418631544313E-2</v>
      </c>
      <c r="AW19" s="386">
        <f t="shared" si="33"/>
        <v>0.249</v>
      </c>
      <c r="AX19" s="386">
        <f t="shared" si="34"/>
        <v>0.14400000000000002</v>
      </c>
      <c r="AY19" s="386">
        <f t="shared" si="35"/>
        <v>1.2671999999999999</v>
      </c>
      <c r="AZ19" s="386">
        <f t="shared" si="36"/>
        <v>0.10439999999999998</v>
      </c>
      <c r="BA19" s="386">
        <f t="shared" si="57"/>
        <v>1.4112</v>
      </c>
      <c r="BB19" s="386">
        <f t="shared" si="58"/>
        <v>4.6476105869377067</v>
      </c>
      <c r="BC19">
        <f t="shared" si="37"/>
        <v>48</v>
      </c>
      <c r="BD19" s="604">
        <f t="shared" si="51"/>
        <v>0.91172228834083457</v>
      </c>
      <c r="BE19" s="614">
        <f t="shared" si="38"/>
        <v>52.48411192678104</v>
      </c>
      <c r="BF19" s="614">
        <f t="shared" si="39"/>
        <v>26.87867845175899</v>
      </c>
      <c r="BG19" s="9"/>
      <c r="BH19" s="4">
        <f t="shared" si="52"/>
        <v>91.172228834083455</v>
      </c>
      <c r="BI19" s="386">
        <f t="shared" si="53"/>
        <v>1.1970928217463022</v>
      </c>
      <c r="BJ19" s="386">
        <f t="shared" si="54"/>
        <v>1.7221757957969277</v>
      </c>
      <c r="BK19" s="386">
        <f t="shared" si="40"/>
        <v>1.0496822385356208</v>
      </c>
      <c r="BL19" s="386">
        <f t="shared" si="41"/>
        <v>0.53757356903517983</v>
      </c>
      <c r="BM19" s="386">
        <f t="shared" si="55"/>
        <v>4.8361418631544313E-2</v>
      </c>
      <c r="BQ19" t="s">
        <v>146</v>
      </c>
      <c r="BS19" s="18"/>
      <c r="BT19" s="19"/>
    </row>
    <row r="20" spans="1:83" x14ac:dyDescent="0.3">
      <c r="A20" s="35" t="s">
        <v>86</v>
      </c>
      <c r="B20" s="39">
        <f>Ltc*1000000</f>
        <v>4000</v>
      </c>
      <c r="C20" s="483" t="s">
        <v>85</v>
      </c>
      <c r="D20" s="21" t="s">
        <v>101</v>
      </c>
      <c r="G20">
        <v>11</v>
      </c>
      <c r="H20" s="610">
        <f t="shared" si="0"/>
        <v>12</v>
      </c>
      <c r="I20" s="4" t="str">
        <f t="shared" si="1"/>
        <v>BOOST</v>
      </c>
      <c r="J20">
        <f t="shared" si="43"/>
        <v>2</v>
      </c>
      <c r="K20" s="386">
        <f t="shared" si="44"/>
        <v>1.1000000000000001</v>
      </c>
      <c r="L20" s="4">
        <f t="shared" si="2"/>
        <v>4.8888888888888893</v>
      </c>
      <c r="M20" s="4">
        <f t="shared" si="56"/>
        <v>4.4200847814031716</v>
      </c>
      <c r="N20" s="386">
        <f t="shared" si="3"/>
        <v>1</v>
      </c>
      <c r="O20" s="386">
        <f t="shared" si="4"/>
        <v>0.75113599525781016</v>
      </c>
      <c r="P20" s="4">
        <f t="shared" si="5"/>
        <v>4.5302689495357198</v>
      </c>
      <c r="Q20" s="4">
        <f t="shared" si="6"/>
        <v>5.0607818201171773</v>
      </c>
      <c r="R20" s="386">
        <f t="shared" si="7"/>
        <v>0.18188932645365283</v>
      </c>
      <c r="S20" s="386">
        <f t="shared" si="45"/>
        <v>1.0442792552038989</v>
      </c>
      <c r="T20" s="386">
        <f t="shared" si="46"/>
        <v>1.2261685816575516</v>
      </c>
      <c r="U20" s="4">
        <f t="shared" si="8"/>
        <v>2.9688642998766728</v>
      </c>
      <c r="V20" s="386">
        <f t="shared" si="9"/>
        <v>1.7628310462164416E-2</v>
      </c>
      <c r="W20" s="386">
        <f t="shared" si="47"/>
        <v>1.7628310462164416E-2</v>
      </c>
      <c r="X20" s="4">
        <f t="shared" si="10"/>
        <v>1.3077759987579256</v>
      </c>
      <c r="Y20" s="386">
        <f t="shared" si="11"/>
        <v>3.4205561258545797E-3</v>
      </c>
      <c r="Z20" s="603">
        <f t="shared" si="48"/>
        <v>3.4205561258545797E-3</v>
      </c>
      <c r="AA20" s="386">
        <f t="shared" si="12"/>
        <v>5.0607818201171773</v>
      </c>
      <c r="AB20" s="386">
        <f t="shared" si="13"/>
        <v>0.14598562199572263</v>
      </c>
      <c r="AC20" s="386">
        <f t="shared" si="14"/>
        <v>0</v>
      </c>
      <c r="AD20" s="386">
        <f t="shared" si="15"/>
        <v>0</v>
      </c>
      <c r="AE20" s="386">
        <f t="shared" si="16"/>
        <v>0.15037617385029714</v>
      </c>
      <c r="AF20" s="386">
        <f t="shared" si="17"/>
        <v>0</v>
      </c>
      <c r="AG20" s="386">
        <f t="shared" si="18"/>
        <v>0</v>
      </c>
      <c r="AH20" s="386">
        <f t="shared" si="19"/>
        <v>0</v>
      </c>
      <c r="AI20" s="386">
        <f t="shared" si="20"/>
        <v>0</v>
      </c>
      <c r="AJ20" s="386">
        <f t="shared" si="21"/>
        <v>4.3860835639571851</v>
      </c>
      <c r="AK20" s="386">
        <f t="shared" si="22"/>
        <v>3.6551685157029189E-2</v>
      </c>
      <c r="AL20" s="386">
        <f t="shared" si="23"/>
        <v>0.42812186890138909</v>
      </c>
      <c r="AM20" s="386">
        <f t="shared" si="24"/>
        <v>0</v>
      </c>
      <c r="AN20" s="386">
        <f t="shared" si="25"/>
        <v>0.46809548985211824</v>
      </c>
      <c r="AO20" s="386">
        <f t="shared" si="49"/>
        <v>2.5246353401656183</v>
      </c>
      <c r="AP20" s="386">
        <f t="shared" si="26"/>
        <v>1.2110188841545019E-2</v>
      </c>
      <c r="AQ20" s="386">
        <f t="shared" si="27"/>
        <v>0.23466666666666669</v>
      </c>
      <c r="AR20" s="386">
        <f t="shared" si="28"/>
        <v>0.24737600954630642</v>
      </c>
      <c r="AS20" s="386">
        <f t="shared" si="29"/>
        <v>0.14598562199572263</v>
      </c>
      <c r="AT20" s="386">
        <f t="shared" si="30"/>
        <v>0</v>
      </c>
      <c r="AU20" s="386">
        <f t="shared" si="31"/>
        <v>0.95039999999999991</v>
      </c>
      <c r="AV20" s="386">
        <f t="shared" si="32"/>
        <v>5.7713187090046088E-2</v>
      </c>
      <c r="AW20" s="386">
        <f t="shared" si="33"/>
        <v>0.249</v>
      </c>
      <c r="AX20" s="386">
        <f t="shared" si="34"/>
        <v>0.14400000000000002</v>
      </c>
      <c r="AY20" s="386">
        <f t="shared" si="35"/>
        <v>1.2671999999999999</v>
      </c>
      <c r="AZ20" s="386">
        <f t="shared" si="36"/>
        <v>0.10439999999999998</v>
      </c>
      <c r="BA20" s="386">
        <f t="shared" si="57"/>
        <v>1.4112</v>
      </c>
      <c r="BB20" s="386">
        <f t="shared" si="58"/>
        <v>4.7813783085843387</v>
      </c>
      <c r="BC20">
        <f t="shared" si="37"/>
        <v>52.800000000000004</v>
      </c>
      <c r="BD20" s="604">
        <f t="shared" si="51"/>
        <v>0.91696311465556701</v>
      </c>
      <c r="BE20" s="614">
        <f t="shared" si="38"/>
        <v>54.767974492605909</v>
      </c>
      <c r="BF20" s="614">
        <f t="shared" si="39"/>
        <v>28.050400477315318</v>
      </c>
      <c r="BG20" s="9"/>
      <c r="BH20" s="4">
        <f t="shared" si="52"/>
        <v>91.696311465556704</v>
      </c>
      <c r="BI20" s="386">
        <f t="shared" si="53"/>
        <v>1.2261685816575516</v>
      </c>
      <c r="BJ20" s="386">
        <f t="shared" si="54"/>
        <v>1.8162476732487218</v>
      </c>
      <c r="BK20" s="386">
        <f t="shared" si="40"/>
        <v>1.0953594898521182</v>
      </c>
      <c r="BL20" s="386">
        <f t="shared" si="41"/>
        <v>0.56100800954630636</v>
      </c>
      <c r="BM20" s="386">
        <f t="shared" si="55"/>
        <v>5.7713187090046088E-2</v>
      </c>
      <c r="BS20" s="18"/>
      <c r="BT20" s="19"/>
    </row>
    <row r="21" spans="1:83" x14ac:dyDescent="0.3">
      <c r="A21" s="25" t="s">
        <v>159</v>
      </c>
      <c r="B21" s="39">
        <f>ThetaCa</f>
        <v>20</v>
      </c>
      <c r="C21" s="483" t="s">
        <v>241</v>
      </c>
      <c r="D21" s="26" t="s">
        <v>160</v>
      </c>
      <c r="G21">
        <v>12</v>
      </c>
      <c r="H21" s="610">
        <f t="shared" si="0"/>
        <v>12</v>
      </c>
      <c r="I21" s="4" t="str">
        <f t="shared" si="1"/>
        <v>BOOST</v>
      </c>
      <c r="J21">
        <f t="shared" si="43"/>
        <v>2</v>
      </c>
      <c r="K21" s="386">
        <f t="shared" si="44"/>
        <v>1.2</v>
      </c>
      <c r="L21" s="4">
        <f t="shared" si="2"/>
        <v>5.3333333333333321</v>
      </c>
      <c r="M21" s="4">
        <f t="shared" si="56"/>
        <v>4.8239131406103377</v>
      </c>
      <c r="N21" s="386">
        <f t="shared" si="3"/>
        <v>1</v>
      </c>
      <c r="O21" s="386">
        <f t="shared" si="4"/>
        <v>0.75123930198955202</v>
      </c>
      <c r="P21" s="4">
        <f t="shared" si="5"/>
        <v>4.5288853381355327</v>
      </c>
      <c r="Q21" s="4">
        <f t="shared" si="6"/>
        <v>5.4912364708029111</v>
      </c>
      <c r="R21" s="386">
        <f t="shared" si="7"/>
        <v>0.21470120317550961</v>
      </c>
      <c r="S21" s="386">
        <f t="shared" si="45"/>
        <v>1.0435445674779651</v>
      </c>
      <c r="T21" s="386">
        <f t="shared" si="46"/>
        <v>1.2582457706534746</v>
      </c>
      <c r="U21" s="4">
        <f t="shared" si="8"/>
        <v>3.0839029364998671</v>
      </c>
      <c r="V21" s="386">
        <f t="shared" si="9"/>
        <v>1.902091464350501E-2</v>
      </c>
      <c r="W21" s="386">
        <f t="shared" si="47"/>
        <v>1.902091464350501E-2</v>
      </c>
      <c r="X21" s="4">
        <f t="shared" si="10"/>
        <v>1.3073765845507497</v>
      </c>
      <c r="Y21" s="386">
        <f t="shared" si="11"/>
        <v>3.4184670676631673E-3</v>
      </c>
      <c r="Z21" s="603">
        <f t="shared" si="48"/>
        <v>3.4184670676631673E-3</v>
      </c>
      <c r="AA21" s="386">
        <f t="shared" si="12"/>
        <v>5.4912364708029111</v>
      </c>
      <c r="AB21" s="386">
        <f t="shared" si="13"/>
        <v>0.17187596447617326</v>
      </c>
      <c r="AC21" s="386">
        <f t="shared" si="14"/>
        <v>0</v>
      </c>
      <c r="AD21" s="386">
        <f t="shared" si="15"/>
        <v>0</v>
      </c>
      <c r="AE21" s="386">
        <f t="shared" si="16"/>
        <v>0.17799456187492663</v>
      </c>
      <c r="AF21" s="386">
        <f t="shared" si="17"/>
        <v>0</v>
      </c>
      <c r="AG21" s="386">
        <f t="shared" si="18"/>
        <v>0</v>
      </c>
      <c r="AH21" s="386">
        <f t="shared" si="19"/>
        <v>0</v>
      </c>
      <c r="AI21" s="386">
        <f t="shared" si="20"/>
        <v>0</v>
      </c>
      <c r="AJ21" s="386">
        <f t="shared" si="21"/>
        <v>4.7594777021032248</v>
      </c>
      <c r="AK21" s="386">
        <f t="shared" si="22"/>
        <v>4.303999319395381E-2</v>
      </c>
      <c r="AL21" s="386">
        <f t="shared" si="23"/>
        <v>0.46704203880151529</v>
      </c>
      <c r="AM21" s="386">
        <f t="shared" si="24"/>
        <v>0</v>
      </c>
      <c r="AN21" s="386">
        <f t="shared" si="25"/>
        <v>0.51451094147936649</v>
      </c>
      <c r="AO21" s="386">
        <f t="shared" si="49"/>
        <v>2.7388044803268112</v>
      </c>
      <c r="AP21" s="386">
        <f t="shared" si="26"/>
        <v>1.4251994964770608E-2</v>
      </c>
      <c r="AQ21" s="386">
        <f t="shared" si="27"/>
        <v>0.25599999999999995</v>
      </c>
      <c r="AR21" s="386">
        <f t="shared" si="28"/>
        <v>0.27102452299217328</v>
      </c>
      <c r="AS21" s="386">
        <f t="shared" si="29"/>
        <v>0.17187596447617326</v>
      </c>
      <c r="AT21" s="386">
        <f t="shared" si="30"/>
        <v>0</v>
      </c>
      <c r="AU21" s="386">
        <f t="shared" si="31"/>
        <v>0.95039999999999991</v>
      </c>
      <c r="AV21" s="386">
        <f t="shared" si="32"/>
        <v>6.7957883990453383E-2</v>
      </c>
      <c r="AW21" s="386">
        <f t="shared" si="33"/>
        <v>0.249</v>
      </c>
      <c r="AX21" s="386">
        <f t="shared" si="34"/>
        <v>0.14400000000000002</v>
      </c>
      <c r="AY21" s="386">
        <f t="shared" si="35"/>
        <v>1.2671999999999999</v>
      </c>
      <c r="AZ21" s="386">
        <f t="shared" si="36"/>
        <v>0.10439999999999998</v>
      </c>
      <c r="BA21" s="386">
        <f t="shared" si="57"/>
        <v>1.4112</v>
      </c>
      <c r="BB21" s="386">
        <f t="shared" si="58"/>
        <v>4.9227730627015616</v>
      </c>
      <c r="BC21">
        <f t="shared" si="37"/>
        <v>57.599999999999994</v>
      </c>
      <c r="BD21" s="604">
        <f t="shared" si="51"/>
        <v>0.92126431983807389</v>
      </c>
      <c r="BE21" s="614">
        <f t="shared" si="38"/>
        <v>57.088747073968314</v>
      </c>
      <c r="BF21" s="614">
        <f t="shared" si="39"/>
        <v>29.232826149608659</v>
      </c>
      <c r="BG21" s="9"/>
      <c r="BH21" s="4">
        <f t="shared" si="52"/>
        <v>92.126431983807393</v>
      </c>
      <c r="BI21" s="386">
        <f t="shared" si="53"/>
        <v>1.2582457706534746</v>
      </c>
      <c r="BJ21" s="386">
        <f t="shared" si="54"/>
        <v>1.9139300263464663</v>
      </c>
      <c r="BK21" s="386">
        <f t="shared" si="40"/>
        <v>1.1417749414793663</v>
      </c>
      <c r="BL21" s="386">
        <f t="shared" si="41"/>
        <v>0.58465652299217319</v>
      </c>
      <c r="BM21" s="386">
        <f t="shared" si="55"/>
        <v>6.7957883990453383E-2</v>
      </c>
      <c r="BS21" s="18"/>
      <c r="BT21" s="19"/>
    </row>
    <row r="22" spans="1:83" x14ac:dyDescent="0.3">
      <c r="A22" s="36" t="s">
        <v>61</v>
      </c>
      <c r="B22" s="39">
        <f>Cin*1000000</f>
        <v>100</v>
      </c>
      <c r="C22" s="485" t="s">
        <v>675</v>
      </c>
      <c r="D22" s="482" t="s">
        <v>693</v>
      </c>
      <c r="G22">
        <v>13</v>
      </c>
      <c r="H22" s="610">
        <f t="shared" si="0"/>
        <v>12</v>
      </c>
      <c r="I22" s="445" t="str">
        <f t="shared" si="1"/>
        <v>BOOST</v>
      </c>
      <c r="J22">
        <f t="shared" si="43"/>
        <v>2</v>
      </c>
      <c r="K22" s="386">
        <f t="shared" si="44"/>
        <v>1.3</v>
      </c>
      <c r="L22" s="4">
        <f t="shared" si="2"/>
        <v>5.7777777777777777</v>
      </c>
      <c r="M22" s="4">
        <f t="shared" si="56"/>
        <v>5.2280771680703868</v>
      </c>
      <c r="N22" s="386">
        <f t="shared" si="3"/>
        <v>1</v>
      </c>
      <c r="O22" s="386">
        <f t="shared" si="4"/>
        <v>0.75134261446262995</v>
      </c>
      <c r="P22" s="4">
        <f t="shared" si="5"/>
        <v>4.5275012094351617</v>
      </c>
      <c r="Q22" s="4">
        <f t="shared" si="6"/>
        <v>5.9237576742162394</v>
      </c>
      <c r="R22" s="386">
        <f t="shared" si="7"/>
        <v>0.2505600674099161</v>
      </c>
      <c r="S22" s="386">
        <f t="shared" si="45"/>
        <v>1.0428098978620133</v>
      </c>
      <c r="T22" s="386">
        <f t="shared" si="46"/>
        <v>1.2933699652719293</v>
      </c>
      <c r="U22" s="4">
        <f t="shared" si="8"/>
        <v>3.2043658153653274</v>
      </c>
      <c r="V22" s="386">
        <f t="shared" si="9"/>
        <v>2.05359205573638E-2</v>
      </c>
      <c r="W22" s="386">
        <f t="shared" si="47"/>
        <v>2.05359205573638E-2</v>
      </c>
      <c r="X22" s="4">
        <f t="shared" si="10"/>
        <v>1.3069770210118734</v>
      </c>
      <c r="Y22" s="386">
        <f t="shared" si="11"/>
        <v>3.4163778669061419E-3</v>
      </c>
      <c r="Z22" s="603">
        <f t="shared" si="48"/>
        <v>3.4163778669061419E-3</v>
      </c>
      <c r="AA22" s="386">
        <f t="shared" si="12"/>
        <v>5.9237576742162394</v>
      </c>
      <c r="AB22" s="386">
        <f t="shared" si="13"/>
        <v>0.200018158402164</v>
      </c>
      <c r="AC22" s="386">
        <f t="shared" si="14"/>
        <v>0</v>
      </c>
      <c r="AD22" s="386">
        <f t="shared" si="15"/>
        <v>0</v>
      </c>
      <c r="AE22" s="386">
        <f t="shared" si="16"/>
        <v>0.20835303653521864</v>
      </c>
      <c r="AF22" s="386">
        <f t="shared" si="17"/>
        <v>0</v>
      </c>
      <c r="AG22" s="386">
        <f t="shared" si="18"/>
        <v>0</v>
      </c>
      <c r="AH22" s="386">
        <f t="shared" si="19"/>
        <v>0</v>
      </c>
      <c r="AI22" s="386">
        <f t="shared" si="20"/>
        <v>0</v>
      </c>
      <c r="AJ22" s="386">
        <f t="shared" si="21"/>
        <v>5.1347144315593214</v>
      </c>
      <c r="AK22" s="386">
        <f t="shared" si="22"/>
        <v>5.0094055357960771E-2</v>
      </c>
      <c r="AL22" s="386">
        <f t="shared" si="23"/>
        <v>0.50596220870164166</v>
      </c>
      <c r="AM22" s="386">
        <f t="shared" si="24"/>
        <v>0</v>
      </c>
      <c r="AN22" s="386">
        <f t="shared" si="25"/>
        <v>0.56168366659723934</v>
      </c>
      <c r="AO22" s="386">
        <f t="shared" si="49"/>
        <v>2.953914807365341</v>
      </c>
      <c r="AP22" s="386">
        <f t="shared" si="26"/>
        <v>1.6578664109427217E-2</v>
      </c>
      <c r="AQ22" s="386">
        <f t="shared" si="27"/>
        <v>0.27733333333333332</v>
      </c>
      <c r="AR22" s="386">
        <f t="shared" si="28"/>
        <v>0.29488977314240716</v>
      </c>
      <c r="AS22" s="386">
        <f t="shared" si="29"/>
        <v>0.200018158402164</v>
      </c>
      <c r="AT22" s="386">
        <f t="shared" si="30"/>
        <v>0</v>
      </c>
      <c r="AU22" s="386">
        <f t="shared" si="31"/>
        <v>0.95039999999999991</v>
      </c>
      <c r="AV22" s="386">
        <f t="shared" si="32"/>
        <v>7.9095876880990693E-2</v>
      </c>
      <c r="AW22" s="386">
        <f t="shared" si="33"/>
        <v>0.249</v>
      </c>
      <c r="AX22" s="386">
        <f t="shared" si="34"/>
        <v>0.14400000000000002</v>
      </c>
      <c r="AY22" s="386">
        <f t="shared" si="35"/>
        <v>1.2671999999999999</v>
      </c>
      <c r="AZ22" s="386">
        <f t="shared" si="36"/>
        <v>0.10439999999999998</v>
      </c>
      <c r="BA22" s="386">
        <f t="shared" si="57"/>
        <v>1.4112</v>
      </c>
      <c r="BB22" s="386">
        <f t="shared" si="58"/>
        <v>5.071944616852055</v>
      </c>
      <c r="BC22">
        <f t="shared" si="37"/>
        <v>62.400000000000006</v>
      </c>
      <c r="BD22" s="604">
        <f t="shared" si="51"/>
        <v>0.92482883596057996</v>
      </c>
      <c r="BE22" s="614">
        <f t="shared" si="38"/>
        <v>59.447383329861971</v>
      </c>
      <c r="BF22" s="614">
        <f t="shared" si="39"/>
        <v>30.426088657120353</v>
      </c>
      <c r="BG22" s="9"/>
      <c r="BH22" s="4">
        <f t="shared" si="52"/>
        <v>92.482883596058002</v>
      </c>
      <c r="BI22" s="386">
        <f t="shared" si="53"/>
        <v>1.2933699652719293</v>
      </c>
      <c r="BJ22" s="386">
        <f t="shared" si="54"/>
        <v>2.0153264762748648</v>
      </c>
      <c r="BK22" s="386">
        <f t="shared" si="40"/>
        <v>1.1889476665972394</v>
      </c>
      <c r="BL22" s="386">
        <f t="shared" si="41"/>
        <v>0.60852177314240707</v>
      </c>
      <c r="BM22" s="386">
        <f t="shared" si="55"/>
        <v>7.9095876880990693E-2</v>
      </c>
      <c r="BS22" s="18"/>
      <c r="BT22" s="19"/>
    </row>
    <row r="23" spans="1:83" x14ac:dyDescent="0.3">
      <c r="A23" s="36" t="s">
        <v>90</v>
      </c>
      <c r="B23" s="39">
        <f>RCinEsr*1000</f>
        <v>2</v>
      </c>
      <c r="C23" s="484" t="s">
        <v>674</v>
      </c>
      <c r="D23" s="482" t="s">
        <v>689</v>
      </c>
      <c r="G23">
        <v>14</v>
      </c>
      <c r="H23" s="610">
        <f t="shared" si="0"/>
        <v>12</v>
      </c>
      <c r="I23" s="445" t="str">
        <f t="shared" si="1"/>
        <v>BOOST</v>
      </c>
      <c r="J23">
        <f t="shared" si="43"/>
        <v>2</v>
      </c>
      <c r="K23" s="386">
        <f t="shared" si="44"/>
        <v>1.4</v>
      </c>
      <c r="L23" s="4">
        <f t="shared" si="2"/>
        <v>6.2222222222222205</v>
      </c>
      <c r="M23" s="4">
        <f t="shared" si="56"/>
        <v>5.6325773103669317</v>
      </c>
      <c r="N23" s="386">
        <f t="shared" si="3"/>
        <v>1</v>
      </c>
      <c r="O23" s="386">
        <f t="shared" si="4"/>
        <v>0.7514459326775228</v>
      </c>
      <c r="P23" s="4">
        <f t="shared" si="5"/>
        <v>4.5261165633914802</v>
      </c>
      <c r="Q23" s="4">
        <f t="shared" si="6"/>
        <v>6.3579236897617175</v>
      </c>
      <c r="R23" s="386">
        <f t="shared" si="7"/>
        <v>0.28951612877441313</v>
      </c>
      <c r="S23" s="386">
        <f t="shared" si="45"/>
        <v>1.0420752466342826</v>
      </c>
      <c r="T23" s="386">
        <f t="shared" si="46"/>
        <v>1.3315913754086957</v>
      </c>
      <c r="U23" s="4">
        <f t="shared" si="8"/>
        <v>3.329679478105068</v>
      </c>
      <c r="V23" s="386">
        <f t="shared" si="9"/>
        <v>2.2173530853828078E-2</v>
      </c>
      <c r="W23" s="386">
        <f t="shared" si="47"/>
        <v>2.2173530853828078E-2</v>
      </c>
      <c r="X23" s="4">
        <f t="shared" si="10"/>
        <v>1.3065773081288476</v>
      </c>
      <c r="Y23" s="386">
        <f t="shared" si="11"/>
        <v>3.4142885242344516E-3</v>
      </c>
      <c r="Z23" s="603">
        <f t="shared" si="48"/>
        <v>3.4142885242344516E-3</v>
      </c>
      <c r="AA23" s="386">
        <f t="shared" si="12"/>
        <v>6.3579236897617175</v>
      </c>
      <c r="AB23" s="386">
        <f t="shared" si="13"/>
        <v>0.23041220377554955</v>
      </c>
      <c r="AC23" s="386">
        <f t="shared" si="14"/>
        <v>0</v>
      </c>
      <c r="AD23" s="386">
        <f t="shared" si="15"/>
        <v>0</v>
      </c>
      <c r="AE23" s="386">
        <f t="shared" si="16"/>
        <v>0.2415430993407241</v>
      </c>
      <c r="AF23" s="386">
        <f t="shared" si="17"/>
        <v>0</v>
      </c>
      <c r="AG23" s="386">
        <f t="shared" si="18"/>
        <v>0</v>
      </c>
      <c r="AH23" s="386">
        <f t="shared" si="19"/>
        <v>0</v>
      </c>
      <c r="AI23" s="386">
        <f t="shared" si="20"/>
        <v>0</v>
      </c>
      <c r="AJ23" s="386">
        <f t="shared" si="21"/>
        <v>5.5114285308117568</v>
      </c>
      <c r="AK23" s="386">
        <f t="shared" si="22"/>
        <v>5.7714104455467097E-2</v>
      </c>
      <c r="AL23" s="386">
        <f t="shared" si="23"/>
        <v>0.5448823786017678</v>
      </c>
      <c r="AM23" s="386">
        <f t="shared" si="24"/>
        <v>0</v>
      </c>
      <c r="AN23" s="386">
        <f t="shared" si="25"/>
        <v>0.60963337187805666</v>
      </c>
      <c r="AO23" s="386">
        <f t="shared" si="49"/>
        <v>3.1697553840300388</v>
      </c>
      <c r="AP23" s="386">
        <f t="shared" si="26"/>
        <v>1.9089963469716094E-2</v>
      </c>
      <c r="AQ23" s="386">
        <f t="shared" si="27"/>
        <v>0.29866666666666658</v>
      </c>
      <c r="AR23" s="386">
        <f t="shared" si="28"/>
        <v>0.3189744723413363</v>
      </c>
      <c r="AS23" s="386">
        <f t="shared" si="29"/>
        <v>0.23041220377554955</v>
      </c>
      <c r="AT23" s="386">
        <f t="shared" si="30"/>
        <v>0</v>
      </c>
      <c r="AU23" s="386">
        <f t="shared" si="31"/>
        <v>0.95039999999999991</v>
      </c>
      <c r="AV23" s="386">
        <f t="shared" si="32"/>
        <v>9.1127533350737519E-2</v>
      </c>
      <c r="AW23" s="386">
        <f t="shared" si="33"/>
        <v>0.249</v>
      </c>
      <c r="AX23" s="386">
        <f t="shared" si="34"/>
        <v>0.14400000000000002</v>
      </c>
      <c r="AY23" s="386">
        <f t="shared" si="35"/>
        <v>1.2671999999999999</v>
      </c>
      <c r="AZ23" s="386">
        <f t="shared" si="36"/>
        <v>0.10439999999999998</v>
      </c>
      <c r="BA23" s="386">
        <f t="shared" si="57"/>
        <v>1.4112</v>
      </c>
      <c r="BB23" s="386">
        <f t="shared" si="58"/>
        <v>5.2290576716976114</v>
      </c>
      <c r="BC23">
        <f t="shared" si="37"/>
        <v>67.199999999999989</v>
      </c>
      <c r="BD23" s="604">
        <f t="shared" si="51"/>
        <v>0.9278044221505739</v>
      </c>
      <c r="BE23" s="614">
        <f t="shared" si="38"/>
        <v>61.844868593902838</v>
      </c>
      <c r="BF23" s="614">
        <f t="shared" si="39"/>
        <v>31.630323617066814</v>
      </c>
      <c r="BG23" s="9"/>
      <c r="BH23" s="4">
        <f t="shared" si="52"/>
        <v>92.780442215057391</v>
      </c>
      <c r="BI23" s="386">
        <f t="shared" si="53"/>
        <v>1.3315913754086957</v>
      </c>
      <c r="BJ23" s="386">
        <f t="shared" si="54"/>
        <v>2.1205509435601169</v>
      </c>
      <c r="BK23" s="386">
        <f t="shared" si="40"/>
        <v>1.2368973718780567</v>
      </c>
      <c r="BL23" s="386">
        <f t="shared" si="41"/>
        <v>0.63260647234133627</v>
      </c>
      <c r="BM23" s="386">
        <f t="shared" si="55"/>
        <v>9.1127533350737519E-2</v>
      </c>
      <c r="BS23" s="18"/>
      <c r="BT23" s="19"/>
    </row>
    <row r="24" spans="1:83" x14ac:dyDescent="0.3">
      <c r="A24" s="35" t="s">
        <v>27</v>
      </c>
      <c r="B24" s="39">
        <f>Cout*1000000</f>
        <v>600</v>
      </c>
      <c r="C24" s="483" t="s">
        <v>675</v>
      </c>
      <c r="D24" s="482" t="s">
        <v>692</v>
      </c>
      <c r="G24">
        <v>15</v>
      </c>
      <c r="H24" s="610">
        <f t="shared" si="0"/>
        <v>12</v>
      </c>
      <c r="I24" s="445" t="str">
        <f t="shared" si="1"/>
        <v>BOOST</v>
      </c>
      <c r="J24">
        <f t="shared" si="43"/>
        <v>2</v>
      </c>
      <c r="K24" s="386">
        <f t="shared" si="44"/>
        <v>1.5</v>
      </c>
      <c r="L24" s="4">
        <f t="shared" si="2"/>
        <v>6.6666666666666661</v>
      </c>
      <c r="M24" s="4">
        <f t="shared" si="56"/>
        <v>6.0374140148761262</v>
      </c>
      <c r="N24" s="386">
        <f t="shared" si="3"/>
        <v>1</v>
      </c>
      <c r="O24" s="386">
        <f t="shared" si="4"/>
        <v>0.75154925663470895</v>
      </c>
      <c r="P24" s="4">
        <f t="shared" si="5"/>
        <v>4.5247313999613574</v>
      </c>
      <c r="Q24" s="4">
        <f t="shared" si="6"/>
        <v>6.7934191659718834</v>
      </c>
      <c r="R24" s="386">
        <f t="shared" si="7"/>
        <v>0.33162441002431226</v>
      </c>
      <c r="S24" s="386">
        <f t="shared" si="45"/>
        <v>1.041340614073103</v>
      </c>
      <c r="T24" s="386">
        <f t="shared" si="46"/>
        <v>1.3729650240974152</v>
      </c>
      <c r="U24" s="4">
        <f t="shared" si="8"/>
        <v>3.4593314775133375</v>
      </c>
      <c r="V24" s="386">
        <f t="shared" si="9"/>
        <v>2.3933948542629223E-2</v>
      </c>
      <c r="W24" s="386">
        <f t="shared" si="47"/>
        <v>2.3933948542629223E-2</v>
      </c>
      <c r="X24" s="4">
        <f t="shared" si="10"/>
        <v>1.306177445889221</v>
      </c>
      <c r="Y24" s="386">
        <f t="shared" si="11"/>
        <v>3.4121990402993779E-3</v>
      </c>
      <c r="Z24" s="603">
        <f t="shared" si="48"/>
        <v>3.4121990402993779E-3</v>
      </c>
      <c r="AA24" s="386">
        <f t="shared" si="12"/>
        <v>6.7934191659718834</v>
      </c>
      <c r="AB24" s="386">
        <f t="shared" si="13"/>
        <v>0.26305810059818652</v>
      </c>
      <c r="AC24" s="386">
        <f t="shared" si="14"/>
        <v>0</v>
      </c>
      <c r="AD24" s="386">
        <f t="shared" si="15"/>
        <v>0</v>
      </c>
      <c r="AE24" s="386">
        <f t="shared" si="16"/>
        <v>0.27766658973736386</v>
      </c>
      <c r="AF24" s="386">
        <f t="shared" si="17"/>
        <v>0</v>
      </c>
      <c r="AG24" s="386">
        <f t="shared" si="18"/>
        <v>0</v>
      </c>
      <c r="AH24" s="386">
        <f t="shared" si="19"/>
        <v>0</v>
      </c>
      <c r="AI24" s="386">
        <f t="shared" si="20"/>
        <v>0</v>
      </c>
      <c r="AJ24" s="386">
        <f t="shared" si="21"/>
        <v>5.8893469086035477</v>
      </c>
      <c r="AK24" s="386">
        <f t="shared" si="22"/>
        <v>6.590037331876851E-2</v>
      </c>
      <c r="AL24" s="386">
        <f t="shared" si="23"/>
        <v>0.58380254850189417</v>
      </c>
      <c r="AM24" s="386">
        <f t="shared" si="24"/>
        <v>0</v>
      </c>
      <c r="AN24" s="386">
        <f t="shared" si="25"/>
        <v>0.65838042497904037</v>
      </c>
      <c r="AO24" s="386">
        <f t="shared" si="49"/>
        <v>3.3861684770129137</v>
      </c>
      <c r="AP24" s="386">
        <f t="shared" si="26"/>
        <v>2.1785660213960313E-2</v>
      </c>
      <c r="AQ24" s="386">
        <f t="shared" si="27"/>
        <v>0.31999999999999995</v>
      </c>
      <c r="AR24" s="386">
        <f t="shared" si="28"/>
        <v>0.34328138252545592</v>
      </c>
      <c r="AS24" s="386">
        <f t="shared" si="29"/>
        <v>0.26305810059818652</v>
      </c>
      <c r="AT24" s="386">
        <f t="shared" si="30"/>
        <v>0</v>
      </c>
      <c r="AU24" s="386">
        <f t="shared" si="31"/>
        <v>0.95039999999999991</v>
      </c>
      <c r="AV24" s="386">
        <f t="shared" si="32"/>
        <v>0.10405322102963449</v>
      </c>
      <c r="AW24" s="386">
        <f t="shared" si="33"/>
        <v>0.249</v>
      </c>
      <c r="AX24" s="386">
        <f t="shared" si="34"/>
        <v>0.14400000000000002</v>
      </c>
      <c r="AY24" s="386">
        <f t="shared" si="35"/>
        <v>1.2671999999999999</v>
      </c>
      <c r="AZ24" s="386">
        <f t="shared" si="36"/>
        <v>0.10439999999999998</v>
      </c>
      <c r="BA24" s="386">
        <f t="shared" si="57"/>
        <v>1.4112</v>
      </c>
      <c r="BB24" s="386">
        <f t="shared" si="58"/>
        <v>5.3942927899518374</v>
      </c>
      <c r="BC24">
        <f t="shared" si="37"/>
        <v>72</v>
      </c>
      <c r="BD24" s="604">
        <f t="shared" si="51"/>
        <v>0.93030115535015034</v>
      </c>
      <c r="BE24" s="614">
        <f t="shared" si="38"/>
        <v>64.282221248952027</v>
      </c>
      <c r="BF24" s="614">
        <f t="shared" si="39"/>
        <v>32.845669126272789</v>
      </c>
      <c r="BG24" s="9"/>
      <c r="BH24" s="4">
        <f t="shared" si="52"/>
        <v>93.030115535015028</v>
      </c>
      <c r="BI24" s="386">
        <f t="shared" si="53"/>
        <v>1.3729650240974152</v>
      </c>
      <c r="BJ24" s="386">
        <f t="shared" si="54"/>
        <v>2.22972839724186</v>
      </c>
      <c r="BK24" s="386">
        <f t="shared" si="40"/>
        <v>1.2856444249790404</v>
      </c>
      <c r="BL24" s="386">
        <f t="shared" si="41"/>
        <v>0.65691338252545584</v>
      </c>
      <c r="BM24" s="386">
        <f t="shared" si="55"/>
        <v>0.10405322102963449</v>
      </c>
      <c r="BS24" s="18"/>
      <c r="BT24" s="19"/>
    </row>
    <row r="25" spans="1:83" x14ac:dyDescent="0.3">
      <c r="A25" s="35" t="s">
        <v>89</v>
      </c>
      <c r="B25" s="40">
        <f>CoutEsr*1000</f>
        <v>2</v>
      </c>
      <c r="C25" s="484" t="s">
        <v>674</v>
      </c>
      <c r="D25" s="482" t="s">
        <v>691</v>
      </c>
      <c r="G25">
        <v>16</v>
      </c>
      <c r="H25" s="610">
        <f t="shared" si="0"/>
        <v>12</v>
      </c>
      <c r="I25" s="445" t="str">
        <f t="shared" si="1"/>
        <v>BOOST</v>
      </c>
      <c r="J25">
        <f t="shared" si="43"/>
        <v>2</v>
      </c>
      <c r="K25" s="386">
        <f t="shared" si="44"/>
        <v>1.6</v>
      </c>
      <c r="L25" s="4">
        <f t="shared" si="2"/>
        <v>7.1111111111111116</v>
      </c>
      <c r="M25" s="4">
        <f t="shared" si="56"/>
        <v>6.4425877297684409</v>
      </c>
      <c r="N25" s="386">
        <f t="shared" si="3"/>
        <v>1</v>
      </c>
      <c r="O25" s="386">
        <f t="shared" si="4"/>
        <v>0.75165258633466725</v>
      </c>
      <c r="P25" s="4">
        <f t="shared" si="5"/>
        <v>4.5233457191016608</v>
      </c>
      <c r="Q25" s="4">
        <f t="shared" si="6"/>
        <v>7.2300038687710382</v>
      </c>
      <c r="R25" s="386">
        <f t="shared" si="7"/>
        <v>0.37694494648201071</v>
      </c>
      <c r="S25" s="386">
        <f t="shared" si="45"/>
        <v>1.0406060004568971</v>
      </c>
      <c r="T25" s="386">
        <f t="shared" si="46"/>
        <v>1.4175509469389078</v>
      </c>
      <c r="U25" s="4">
        <f t="shared" si="8"/>
        <v>3.5928663344146949</v>
      </c>
      <c r="V25" s="386">
        <f t="shared" si="9"/>
        <v>2.5817376993940971E-2</v>
      </c>
      <c r="W25" s="386">
        <f t="shared" si="47"/>
        <v>2.5817376993940971E-2</v>
      </c>
      <c r="X25" s="4">
        <f t="shared" si="10"/>
        <v>1.3057774342805426</v>
      </c>
      <c r="Y25" s="386">
        <f t="shared" si="11"/>
        <v>3.4101094157525536E-3</v>
      </c>
      <c r="Z25" s="603">
        <f t="shared" si="48"/>
        <v>3.4101094157525536E-3</v>
      </c>
      <c r="AA25" s="386">
        <f t="shared" si="12"/>
        <v>7.2300038687710382</v>
      </c>
      <c r="AB25" s="386">
        <f t="shared" si="13"/>
        <v>0.29795584887193183</v>
      </c>
      <c r="AC25" s="386">
        <f t="shared" si="14"/>
        <v>0</v>
      </c>
      <c r="AD25" s="386">
        <f t="shared" si="15"/>
        <v>0</v>
      </c>
      <c r="AE25" s="386">
        <f t="shared" si="16"/>
        <v>0.31683650694820592</v>
      </c>
      <c r="AF25" s="386">
        <f t="shared" si="17"/>
        <v>0</v>
      </c>
      <c r="AG25" s="386">
        <f t="shared" si="18"/>
        <v>0</v>
      </c>
      <c r="AH25" s="386">
        <f t="shared" si="19"/>
        <v>0</v>
      </c>
      <c r="AI25" s="386">
        <f t="shared" si="20"/>
        <v>0</v>
      </c>
      <c r="AJ25" s="386">
        <f t="shared" si="21"/>
        <v>6.2682615236998753</v>
      </c>
      <c r="AK25" s="386">
        <f t="shared" si="22"/>
        <v>7.4653094806042944E-2</v>
      </c>
      <c r="AL25" s="386">
        <f t="shared" si="23"/>
        <v>0.62272271840202054</v>
      </c>
      <c r="AM25" s="386">
        <f t="shared" si="24"/>
        <v>0</v>
      </c>
      <c r="AN25" s="386">
        <f t="shared" si="25"/>
        <v>0.70794588343884512</v>
      </c>
      <c r="AO25" s="386">
        <f t="shared" si="49"/>
        <v>3.6030339178181352</v>
      </c>
      <c r="AP25" s="386">
        <f t="shared" si="26"/>
        <v>2.4665521484601011E-2</v>
      </c>
      <c r="AQ25" s="386">
        <f t="shared" si="27"/>
        <v>0.34133333333333338</v>
      </c>
      <c r="AR25" s="386">
        <f t="shared" si="28"/>
        <v>0.36781331626888486</v>
      </c>
      <c r="AS25" s="386">
        <f t="shared" si="29"/>
        <v>0.29795584887193183</v>
      </c>
      <c r="AT25" s="386">
        <f t="shared" si="30"/>
        <v>0</v>
      </c>
      <c r="AU25" s="386">
        <f t="shared" si="31"/>
        <v>0.95039999999999991</v>
      </c>
      <c r="AV25" s="386">
        <f t="shared" si="32"/>
        <v>0.11787330758848887</v>
      </c>
      <c r="AW25" s="386">
        <f t="shared" si="33"/>
        <v>0.249</v>
      </c>
      <c r="AX25" s="386">
        <f t="shared" si="34"/>
        <v>0.14400000000000002</v>
      </c>
      <c r="AY25" s="386">
        <f t="shared" si="35"/>
        <v>1.2671999999999999</v>
      </c>
      <c r="AZ25" s="386">
        <f t="shared" si="36"/>
        <v>0.10439999999999998</v>
      </c>
      <c r="BA25" s="386">
        <f t="shared" si="57"/>
        <v>1.4112</v>
      </c>
      <c r="BB25" s="386">
        <f t="shared" si="58"/>
        <v>5.5678474475930262</v>
      </c>
      <c r="BC25">
        <f t="shared" si="37"/>
        <v>76.800000000000011</v>
      </c>
      <c r="BD25" s="604">
        <f t="shared" si="51"/>
        <v>0.93240265928843657</v>
      </c>
      <c r="BE25" s="614">
        <f t="shared" si="38"/>
        <v>66.760494171942256</v>
      </c>
      <c r="BF25" s="614">
        <f t="shared" si="39"/>
        <v>34.07226581344424</v>
      </c>
      <c r="BG25" s="9"/>
      <c r="BH25" s="4">
        <f t="shared" si="52"/>
        <v>93.240265928843655</v>
      </c>
      <c r="BI25" s="386">
        <f t="shared" si="53"/>
        <v>1.4175509469389078</v>
      </c>
      <c r="BJ25" s="386">
        <f t="shared" si="54"/>
        <v>2.3429957066559357</v>
      </c>
      <c r="BK25" s="386">
        <f t="shared" si="40"/>
        <v>1.3352098834388451</v>
      </c>
      <c r="BL25" s="386">
        <f t="shared" si="41"/>
        <v>0.68144531626888483</v>
      </c>
      <c r="BM25" s="386">
        <f t="shared" si="55"/>
        <v>0.11787330758848887</v>
      </c>
      <c r="BQ25" t="s">
        <v>151</v>
      </c>
      <c r="BR25" t="s">
        <v>4</v>
      </c>
      <c r="BS25" t="s">
        <v>6</v>
      </c>
      <c r="BT25" t="s">
        <v>5</v>
      </c>
      <c r="BU25" t="s">
        <v>152</v>
      </c>
      <c r="BV25" t="s">
        <v>153</v>
      </c>
    </row>
    <row r="26" spans="1:83" x14ac:dyDescent="0.3">
      <c r="A26" s="24" t="s">
        <v>116</v>
      </c>
      <c r="B26" s="37" t="s">
        <v>115</v>
      </c>
      <c r="C26" s="24" t="s">
        <v>80</v>
      </c>
      <c r="D26" s="17" t="s">
        <v>111</v>
      </c>
      <c r="G26">
        <v>17</v>
      </c>
      <c r="H26" s="610">
        <f t="shared" si="0"/>
        <v>12</v>
      </c>
      <c r="I26" s="445" t="str">
        <f t="shared" si="1"/>
        <v>BOOST</v>
      </c>
      <c r="J26">
        <f t="shared" si="43"/>
        <v>2</v>
      </c>
      <c r="K26" s="386">
        <f t="shared" si="44"/>
        <v>1.7</v>
      </c>
      <c r="L26" s="4">
        <f t="shared" si="2"/>
        <v>7.5555555555555545</v>
      </c>
      <c r="M26" s="4">
        <f t="shared" si="56"/>
        <v>6.848098904010417</v>
      </c>
      <c r="N26" s="386">
        <f t="shared" si="3"/>
        <v>1</v>
      </c>
      <c r="O26" s="386">
        <f t="shared" si="4"/>
        <v>0.75175592177787653</v>
      </c>
      <c r="P26" s="4">
        <f t="shared" si="5"/>
        <v>4.5219595207692498</v>
      </c>
      <c r="Q26" s="4">
        <f t="shared" si="6"/>
        <v>7.667491739722279</v>
      </c>
      <c r="R26" s="386">
        <f t="shared" si="7"/>
        <v>0.42554300649847165</v>
      </c>
      <c r="S26" s="386">
        <f t="shared" si="45"/>
        <v>1.0398714060641763</v>
      </c>
      <c r="T26" s="386">
        <f t="shared" si="46"/>
        <v>1.465414412562648</v>
      </c>
      <c r="U26" s="4">
        <f t="shared" si="8"/>
        <v>3.7298806910663815</v>
      </c>
      <c r="V26" s="386">
        <f t="shared" si="9"/>
        <v>2.7824019939179656E-2</v>
      </c>
      <c r="W26" s="386">
        <f t="shared" si="47"/>
        <v>2.7824019939179656E-2</v>
      </c>
      <c r="X26" s="4">
        <f t="shared" si="10"/>
        <v>1.3053772732903588</v>
      </c>
      <c r="Y26" s="386">
        <f t="shared" si="11"/>
        <v>3.4080196512459443E-3</v>
      </c>
      <c r="Z26" s="603">
        <f t="shared" si="48"/>
        <v>3.4080196512459443E-3</v>
      </c>
      <c r="AA26" s="386">
        <f t="shared" si="12"/>
        <v>7.667491739722279</v>
      </c>
      <c r="AB26" s="386">
        <f t="shared" si="13"/>
        <v>0.3351054485986435</v>
      </c>
      <c r="AC26" s="386">
        <f t="shared" si="14"/>
        <v>0</v>
      </c>
      <c r="AD26" s="386">
        <f t="shared" si="15"/>
        <v>0</v>
      </c>
      <c r="AE26" s="386">
        <f t="shared" si="16"/>
        <v>0.35917794593875252</v>
      </c>
      <c r="AF26" s="386">
        <f t="shared" si="17"/>
        <v>0</v>
      </c>
      <c r="AG26" s="386">
        <f t="shared" si="18"/>
        <v>0</v>
      </c>
      <c r="AH26" s="386">
        <f t="shared" si="19"/>
        <v>0</v>
      </c>
      <c r="AI26" s="386">
        <f t="shared" si="20"/>
        <v>0</v>
      </c>
      <c r="AJ26" s="386">
        <f t="shared" si="21"/>
        <v>6.6480112499649096</v>
      </c>
      <c r="AK26" s="386">
        <f t="shared" si="22"/>
        <v>8.3972501801353988E-2</v>
      </c>
      <c r="AL26" s="386">
        <f t="shared" si="23"/>
        <v>0.66164288830214668</v>
      </c>
      <c r="AM26" s="386">
        <f t="shared" si="24"/>
        <v>0</v>
      </c>
      <c r="AN26" s="386">
        <f t="shared" si="25"/>
        <v>0.75835152506440673</v>
      </c>
      <c r="AO26" s="386">
        <f t="shared" si="49"/>
        <v>3.8202586298638699</v>
      </c>
      <c r="AP26" s="386">
        <f t="shared" si="26"/>
        <v>2.7729314398193809E-2</v>
      </c>
      <c r="AQ26" s="386">
        <f t="shared" si="27"/>
        <v>0.36266666666666664</v>
      </c>
      <c r="AR26" s="386">
        <f t="shared" si="28"/>
        <v>0.39257313785764852</v>
      </c>
      <c r="AS26" s="386">
        <f t="shared" si="29"/>
        <v>0.3351054485986435</v>
      </c>
      <c r="AT26" s="386">
        <f t="shared" si="30"/>
        <v>0</v>
      </c>
      <c r="AU26" s="386">
        <f t="shared" si="31"/>
        <v>0.95039999999999991</v>
      </c>
      <c r="AV26" s="386">
        <f t="shared" si="32"/>
        <v>0.13258816073898</v>
      </c>
      <c r="AW26" s="386">
        <f t="shared" si="33"/>
        <v>0.249</v>
      </c>
      <c r="AX26" s="386">
        <f t="shared" si="34"/>
        <v>0.14400000000000002</v>
      </c>
      <c r="AY26" s="386">
        <f t="shared" si="35"/>
        <v>1.2671999999999999</v>
      </c>
      <c r="AZ26" s="386">
        <f t="shared" si="36"/>
        <v>0.10439999999999998</v>
      </c>
      <c r="BA26" s="386">
        <f t="shared" si="57"/>
        <v>1.4112</v>
      </c>
      <c r="BB26" s="386">
        <f t="shared" si="58"/>
        <v>5.7499372217528606</v>
      </c>
      <c r="BC26">
        <f t="shared" si="37"/>
        <v>81.599999999999994</v>
      </c>
      <c r="BD26" s="604">
        <f t="shared" si="51"/>
        <v>0.93417353916173229</v>
      </c>
      <c r="BE26" s="614">
        <f t="shared" si="38"/>
        <v>69.280776253220338</v>
      </c>
      <c r="BF26" s="614">
        <f t="shared" si="39"/>
        <v>35.310256892882421</v>
      </c>
      <c r="BG26" s="9"/>
      <c r="BH26" s="4">
        <f t="shared" si="52"/>
        <v>93.417353916173226</v>
      </c>
      <c r="BI26" s="386">
        <f t="shared" si="53"/>
        <v>1.465414412562648</v>
      </c>
      <c r="BJ26" s="386">
        <f t="shared" si="54"/>
        <v>2.460502608860808</v>
      </c>
      <c r="BK26" s="386">
        <f t="shared" si="40"/>
        <v>1.3856155250644067</v>
      </c>
      <c r="BL26" s="386">
        <f t="shared" si="41"/>
        <v>0.70620513785764849</v>
      </c>
      <c r="BM26" s="386">
        <f t="shared" si="55"/>
        <v>0.13258816073898</v>
      </c>
      <c r="BQ26" t="s">
        <v>154</v>
      </c>
      <c r="BR26">
        <v>9.9989640000000009</v>
      </c>
      <c r="BS26">
        <v>0.1027</v>
      </c>
      <c r="BT26">
        <v>5.1211359999999999</v>
      </c>
      <c r="BU26">
        <v>61.870683235325004</v>
      </c>
      <c r="BV26">
        <v>324.12365701136014</v>
      </c>
    </row>
    <row r="27" spans="1:83" x14ac:dyDescent="0.3">
      <c r="A27" s="22" t="s">
        <v>65</v>
      </c>
      <c r="B27" s="5">
        <f>RdsonDRT</f>
        <v>1.5</v>
      </c>
      <c r="C27" s="486" t="s">
        <v>120</v>
      </c>
      <c r="D27" s="482" t="s">
        <v>718</v>
      </c>
      <c r="G27">
        <v>18</v>
      </c>
      <c r="H27" s="610">
        <f t="shared" si="0"/>
        <v>12</v>
      </c>
      <c r="I27" s="445" t="str">
        <f t="shared" si="1"/>
        <v>BOOST</v>
      </c>
      <c r="J27">
        <f t="shared" si="43"/>
        <v>2</v>
      </c>
      <c r="K27" s="386">
        <f t="shared" si="44"/>
        <v>1.8</v>
      </c>
      <c r="L27" s="4">
        <f t="shared" si="2"/>
        <v>8</v>
      </c>
      <c r="M27" s="4">
        <f t="shared" si="56"/>
        <v>7.2539479873664412</v>
      </c>
      <c r="N27" s="386">
        <f t="shared" si="3"/>
        <v>1</v>
      </c>
      <c r="O27" s="386">
        <f t="shared" si="4"/>
        <v>0.75185926296481576</v>
      </c>
      <c r="P27" s="4">
        <f t="shared" si="5"/>
        <v>4.5205728049209792</v>
      </c>
      <c r="Q27" s="4">
        <f t="shared" si="6"/>
        <v>8.1057365410995157</v>
      </c>
      <c r="R27" s="386">
        <f t="shared" si="7"/>
        <v>0.47748933450047648</v>
      </c>
      <c r="S27" s="386">
        <f t="shared" si="45"/>
        <v>1.0391368311735367</v>
      </c>
      <c r="T27" s="386">
        <f t="shared" si="46"/>
        <v>1.5166261656740132</v>
      </c>
      <c r="U27" s="4">
        <f t="shared" si="8"/>
        <v>3.8700181828905316</v>
      </c>
      <c r="V27" s="386">
        <f t="shared" si="9"/>
        <v>2.9954081471806664E-2</v>
      </c>
      <c r="W27" s="386">
        <f t="shared" si="47"/>
        <v>2.9954081471806664E-2</v>
      </c>
      <c r="X27" s="4">
        <f t="shared" si="10"/>
        <v>1.3049769629062145</v>
      </c>
      <c r="Y27" s="386">
        <f t="shared" si="11"/>
        <v>3.4059297474318545E-3</v>
      </c>
      <c r="Z27" s="603">
        <f t="shared" si="48"/>
        <v>3.4059297474318545E-3</v>
      </c>
      <c r="AA27" s="386">
        <f t="shared" si="12"/>
        <v>8.1057365410995157</v>
      </c>
      <c r="AB27" s="386">
        <f t="shared" si="13"/>
        <v>0.37450689978018087</v>
      </c>
      <c r="AC27" s="386">
        <f t="shared" si="14"/>
        <v>0</v>
      </c>
      <c r="AD27" s="386">
        <f t="shared" si="15"/>
        <v>0</v>
      </c>
      <c r="AE27" s="386">
        <f t="shared" si="16"/>
        <v>0.40482916271389857</v>
      </c>
      <c r="AF27" s="386">
        <f t="shared" si="17"/>
        <v>0</v>
      </c>
      <c r="AG27" s="386">
        <f t="shared" si="18"/>
        <v>0</v>
      </c>
      <c r="AH27" s="386">
        <f t="shared" si="19"/>
        <v>0</v>
      </c>
      <c r="AI27" s="386">
        <f t="shared" si="20"/>
        <v>0</v>
      </c>
      <c r="AJ27" s="386">
        <f t="shared" si="21"/>
        <v>7.0284694453739531</v>
      </c>
      <c r="AK27" s="386">
        <f t="shared" si="22"/>
        <v>9.3858827214654966E-2</v>
      </c>
      <c r="AL27" s="386">
        <f t="shared" si="23"/>
        <v>0.70056305820227305</v>
      </c>
      <c r="AM27" s="386">
        <f t="shared" si="24"/>
        <v>0</v>
      </c>
      <c r="AN27" s="386">
        <f t="shared" si="25"/>
        <v>0.80961987990035145</v>
      </c>
      <c r="AO27" s="386">
        <f t="shared" si="49"/>
        <v>4.0377694497284873</v>
      </c>
      <c r="AP27" s="386">
        <f t="shared" si="26"/>
        <v>3.0976806045405314E-2</v>
      </c>
      <c r="AQ27" s="386">
        <f t="shared" si="27"/>
        <v>0.38400000000000001</v>
      </c>
      <c r="AR27" s="386">
        <f t="shared" si="28"/>
        <v>0.41756376439364756</v>
      </c>
      <c r="AS27" s="386">
        <f t="shared" si="29"/>
        <v>0.37450689978018087</v>
      </c>
      <c r="AT27" s="386">
        <f t="shared" si="30"/>
        <v>0</v>
      </c>
      <c r="AU27" s="386">
        <f t="shared" si="31"/>
        <v>0.95039999999999991</v>
      </c>
      <c r="AV27" s="386">
        <f t="shared" si="32"/>
        <v>0.14819814823366576</v>
      </c>
      <c r="AW27" s="386">
        <f t="shared" si="33"/>
        <v>0.249</v>
      </c>
      <c r="AX27" s="386">
        <f t="shared" si="34"/>
        <v>0.14400000000000002</v>
      </c>
      <c r="AY27" s="386">
        <f t="shared" si="35"/>
        <v>1.2671999999999999</v>
      </c>
      <c r="AZ27" s="386">
        <f t="shared" si="36"/>
        <v>0.10439999999999998</v>
      </c>
      <c r="BA27" s="386">
        <f t="shared" si="57"/>
        <v>1.4112</v>
      </c>
      <c r="BB27" s="386">
        <f t="shared" si="58"/>
        <v>5.940797132134815</v>
      </c>
      <c r="BC27">
        <f t="shared" si="37"/>
        <v>86.4</v>
      </c>
      <c r="BD27" s="604">
        <f t="shared" si="51"/>
        <v>0.93566443742483785</v>
      </c>
      <c r="BE27" s="614">
        <f t="shared" si="38"/>
        <v>71.844193995017562</v>
      </c>
      <c r="BF27" s="614">
        <f t="shared" si="39"/>
        <v>36.559788219682375</v>
      </c>
      <c r="BG27" s="9"/>
      <c r="BH27" s="4">
        <f t="shared" si="52"/>
        <v>93.566443742483784</v>
      </c>
      <c r="BI27" s="386">
        <f t="shared" si="53"/>
        <v>1.5166261656740132</v>
      </c>
      <c r="BJ27" s="386">
        <f t="shared" si="54"/>
        <v>2.5824128070078975</v>
      </c>
      <c r="BK27" s="386">
        <f t="shared" si="40"/>
        <v>1.4368838799003514</v>
      </c>
      <c r="BL27" s="386">
        <f t="shared" si="41"/>
        <v>0.73119576439364753</v>
      </c>
      <c r="BM27" s="386">
        <f t="shared" si="55"/>
        <v>0.14819814823366576</v>
      </c>
      <c r="BQ27" t="s">
        <v>155</v>
      </c>
      <c r="BR27">
        <v>9.9986669999999993</v>
      </c>
      <c r="BS27">
        <v>0.1166</v>
      </c>
      <c r="BT27">
        <v>5.1212980000000003</v>
      </c>
      <c r="BU27">
        <v>64.729420570558148</v>
      </c>
      <c r="BV27">
        <v>325.37886459483997</v>
      </c>
    </row>
    <row r="28" spans="1:83" x14ac:dyDescent="0.3">
      <c r="A28" s="22" t="s">
        <v>150</v>
      </c>
      <c r="B28" s="5">
        <f>RdsonDRT2</f>
        <v>1</v>
      </c>
      <c r="C28" s="486" t="s">
        <v>120</v>
      </c>
      <c r="D28" s="482" t="s">
        <v>717</v>
      </c>
      <c r="G28">
        <v>19</v>
      </c>
      <c r="H28" s="610">
        <f t="shared" si="0"/>
        <v>12</v>
      </c>
      <c r="I28" s="445" t="str">
        <f t="shared" si="1"/>
        <v>BOOST</v>
      </c>
      <c r="J28">
        <f t="shared" si="43"/>
        <v>2</v>
      </c>
      <c r="K28" s="386">
        <f t="shared" si="44"/>
        <v>1.9</v>
      </c>
      <c r="L28" s="4">
        <f t="shared" si="2"/>
        <v>8.4444444444444429</v>
      </c>
      <c r="M28" s="4">
        <f t="shared" si="56"/>
        <v>7.6601354304005023</v>
      </c>
      <c r="N28" s="386">
        <f t="shared" si="3"/>
        <v>1</v>
      </c>
      <c r="O28" s="386">
        <f t="shared" si="4"/>
        <v>0.75196260989596364</v>
      </c>
      <c r="P28" s="4">
        <f t="shared" si="5"/>
        <v>4.5191855715137024</v>
      </c>
      <c r="Q28" s="4">
        <f t="shared" si="6"/>
        <v>8.5446218071831641</v>
      </c>
      <c r="R28" s="386">
        <f t="shared" si="7"/>
        <v>0.53286041836612374</v>
      </c>
      <c r="S28" s="386">
        <f t="shared" si="45"/>
        <v>1.0384022760636713</v>
      </c>
      <c r="T28" s="386">
        <f t="shared" si="46"/>
        <v>1.5712626944297949</v>
      </c>
      <c r="U28" s="4">
        <f t="shared" si="8"/>
        <v>4.0129643686514944</v>
      </c>
      <c r="V28" s="386">
        <f t="shared" si="9"/>
        <v>3.2207766048132976E-2</v>
      </c>
      <c r="W28" s="386">
        <f t="shared" si="47"/>
        <v>3.2207766048132976E-2</v>
      </c>
      <c r="X28" s="4">
        <f t="shared" si="10"/>
        <v>1.3045765031156544</v>
      </c>
      <c r="Y28" s="386">
        <f t="shared" si="11"/>
        <v>3.4038397049629384E-3</v>
      </c>
      <c r="Z28" s="603">
        <f t="shared" si="48"/>
        <v>3.4038397049629384E-3</v>
      </c>
      <c r="AA28" s="386">
        <f t="shared" si="12"/>
        <v>8.5446218071831641</v>
      </c>
      <c r="AB28" s="386">
        <f t="shared" si="13"/>
        <v>0.41616020241840351</v>
      </c>
      <c r="AC28" s="386">
        <f t="shared" si="14"/>
        <v>0</v>
      </c>
      <c r="AD28" s="386">
        <f t="shared" si="15"/>
        <v>0</v>
      </c>
      <c r="AE28" s="386">
        <f t="shared" si="16"/>
        <v>0.45394278682903239</v>
      </c>
      <c r="AF28" s="386">
        <f t="shared" si="17"/>
        <v>0</v>
      </c>
      <c r="AG28" s="386">
        <f t="shared" si="18"/>
        <v>0</v>
      </c>
      <c r="AH28" s="386">
        <f t="shared" si="19"/>
        <v>0</v>
      </c>
      <c r="AI28" s="386">
        <f t="shared" si="20"/>
        <v>0</v>
      </c>
      <c r="AJ28" s="386">
        <f t="shared" si="21"/>
        <v>7.4095352500676883</v>
      </c>
      <c r="AK28" s="386">
        <f t="shared" si="22"/>
        <v>0.10431230398179171</v>
      </c>
      <c r="AL28" s="386">
        <f t="shared" si="23"/>
        <v>0.73948322810239919</v>
      </c>
      <c r="AM28" s="386">
        <f t="shared" si="24"/>
        <v>0</v>
      </c>
      <c r="AN28" s="386">
        <f t="shared" si="25"/>
        <v>0.86177426387969147</v>
      </c>
      <c r="AO28" s="386">
        <f t="shared" si="49"/>
        <v>4.2555081019537999</v>
      </c>
      <c r="AP28" s="386">
        <f t="shared" si="26"/>
        <v>3.4407763491009422E-2</v>
      </c>
      <c r="AQ28" s="386">
        <f t="shared" si="27"/>
        <v>0.40533333333333327</v>
      </c>
      <c r="AR28" s="386">
        <f t="shared" si="28"/>
        <v>0.44278816692920625</v>
      </c>
      <c r="AS28" s="386">
        <f t="shared" si="29"/>
        <v>0.41616020241840351</v>
      </c>
      <c r="AT28" s="386">
        <f t="shared" si="30"/>
        <v>0</v>
      </c>
      <c r="AU28" s="386">
        <f t="shared" si="31"/>
        <v>0.95039999999999991</v>
      </c>
      <c r="AV28" s="386">
        <f t="shared" si="32"/>
        <v>0.16470363786598693</v>
      </c>
      <c r="AW28" s="386">
        <f t="shared" si="33"/>
        <v>0.249</v>
      </c>
      <c r="AX28" s="386">
        <f t="shared" si="34"/>
        <v>0.14400000000000002</v>
      </c>
      <c r="AY28" s="386">
        <f t="shared" si="35"/>
        <v>1.2671999999999999</v>
      </c>
      <c r="AZ28" s="386">
        <f t="shared" si="36"/>
        <v>0.10439999999999998</v>
      </c>
      <c r="BA28" s="386">
        <f t="shared" si="57"/>
        <v>1.4112</v>
      </c>
      <c r="BB28" s="386">
        <f t="shared" si="58"/>
        <v>6.1406831556868076</v>
      </c>
      <c r="BC28">
        <f t="shared" si="37"/>
        <v>91.199999999999989</v>
      </c>
      <c r="BD28" s="604">
        <f t="shared" si="51"/>
        <v>0.93691555312114061</v>
      </c>
      <c r="BE28" s="614">
        <f t="shared" si="38"/>
        <v>74.451913193984566</v>
      </c>
      <c r="BF28" s="614">
        <f t="shared" si="39"/>
        <v>37.82100834646031</v>
      </c>
      <c r="BG28" s="9"/>
      <c r="BH28" s="4">
        <f t="shared" si="52"/>
        <v>93.691555312114062</v>
      </c>
      <c r="BI28" s="386">
        <f t="shared" si="53"/>
        <v>1.5712626944297949</v>
      </c>
      <c r="BJ28" s="386">
        <f t="shared" si="54"/>
        <v>2.70890521763793</v>
      </c>
      <c r="BK28" s="386">
        <f t="shared" si="40"/>
        <v>1.4890382638796913</v>
      </c>
      <c r="BL28" s="386">
        <f t="shared" si="41"/>
        <v>0.75642016692920622</v>
      </c>
      <c r="BM28" s="386">
        <f t="shared" si="55"/>
        <v>0.16470363786598693</v>
      </c>
      <c r="BQ28" t="s">
        <v>156</v>
      </c>
      <c r="BR28">
        <v>9.9987659999999998</v>
      </c>
      <c r="BS28">
        <v>0.14660000000000001</v>
      </c>
      <c r="BT28">
        <v>5.1213230000000003</v>
      </c>
      <c r="BU28">
        <v>69.885376918691776</v>
      </c>
      <c r="BV28">
        <v>323.52446193379996</v>
      </c>
    </row>
    <row r="29" spans="1:83" x14ac:dyDescent="0.3">
      <c r="A29" s="24" t="s">
        <v>117</v>
      </c>
      <c r="B29" s="15" t="s">
        <v>115</v>
      </c>
      <c r="C29" s="24" t="s">
        <v>80</v>
      </c>
      <c r="D29" s="17" t="s">
        <v>111</v>
      </c>
      <c r="G29">
        <v>20</v>
      </c>
      <c r="H29" s="610">
        <f t="shared" si="0"/>
        <v>12</v>
      </c>
      <c r="I29" s="445" t="str">
        <f t="shared" si="1"/>
        <v>BOOST</v>
      </c>
      <c r="J29">
        <f t="shared" si="43"/>
        <v>2</v>
      </c>
      <c r="K29" s="386">
        <f t="shared" si="44"/>
        <v>2</v>
      </c>
      <c r="L29" s="4">
        <f t="shared" si="2"/>
        <v>8.8888888888888875</v>
      </c>
      <c r="M29" s="4">
        <f t="shared" si="56"/>
        <v>8.0666616844779906</v>
      </c>
      <c r="N29" s="386">
        <f t="shared" si="3"/>
        <v>1</v>
      </c>
      <c r="O29" s="386">
        <f t="shared" si="4"/>
        <v>0.75206596257179914</v>
      </c>
      <c r="P29" s="4">
        <f t="shared" si="5"/>
        <v>4.5177978205042626</v>
      </c>
      <c r="Q29" s="4">
        <f t="shared" si="6"/>
        <v>8.9840536753326674</v>
      </c>
      <c r="R29" s="386">
        <f t="shared" si="7"/>
        <v>0.59173878308056616</v>
      </c>
      <c r="S29" s="386">
        <f t="shared" si="45"/>
        <v>1.0376677410133588</v>
      </c>
      <c r="T29" s="386">
        <f t="shared" si="46"/>
        <v>1.6294065240939251</v>
      </c>
      <c r="U29" s="4">
        <f t="shared" si="8"/>
        <v>4.158441925055941</v>
      </c>
      <c r="V29" s="386">
        <f t="shared" si="9"/>
        <v>3.4585278488125926E-2</v>
      </c>
      <c r="W29" s="386">
        <f t="shared" si="47"/>
        <v>3.4585278488125926E-2</v>
      </c>
      <c r="X29" s="4">
        <f t="shared" si="10"/>
        <v>1.3041758939062205</v>
      </c>
      <c r="Y29" s="386">
        <f t="shared" si="11"/>
        <v>3.4017495244921783E-3</v>
      </c>
      <c r="Z29" s="603">
        <f t="shared" si="48"/>
        <v>3.4017495244921783E-3</v>
      </c>
      <c r="AA29" s="386">
        <f t="shared" si="12"/>
        <v>8.9840536753326674</v>
      </c>
      <c r="AB29" s="386">
        <f t="shared" si="13"/>
        <v>0.460065356515173</v>
      </c>
      <c r="AC29" s="386">
        <f t="shared" si="14"/>
        <v>0</v>
      </c>
      <c r="AD29" s="386">
        <f t="shared" si="15"/>
        <v>0</v>
      </c>
      <c r="AE29" s="386">
        <f t="shared" si="16"/>
        <v>0.50668720217746299</v>
      </c>
      <c r="AF29" s="386">
        <f t="shared" si="17"/>
        <v>0</v>
      </c>
      <c r="AG29" s="386">
        <f t="shared" si="18"/>
        <v>0</v>
      </c>
      <c r="AH29" s="386">
        <f t="shared" si="19"/>
        <v>0</v>
      </c>
      <c r="AI29" s="386">
        <f t="shared" si="20"/>
        <v>0</v>
      </c>
      <c r="AJ29" s="386">
        <f t="shared" si="21"/>
        <v>7.791127378205597</v>
      </c>
      <c r="AK29" s="386">
        <f t="shared" si="22"/>
        <v>0.11533316506450715</v>
      </c>
      <c r="AL29" s="386">
        <f t="shared" si="23"/>
        <v>0.77840339800252556</v>
      </c>
      <c r="AM29" s="386">
        <f t="shared" si="24"/>
        <v>0</v>
      </c>
      <c r="AN29" s="386">
        <f t="shared" si="25"/>
        <v>0.91483881426156211</v>
      </c>
      <c r="AO29" s="386">
        <f t="shared" si="49"/>
        <v>4.4734276140151845</v>
      </c>
      <c r="AP29" s="386">
        <f t="shared" si="26"/>
        <v>3.8021953773883815E-2</v>
      </c>
      <c r="AQ29" s="386">
        <f t="shared" si="27"/>
        <v>0.42666666666666658</v>
      </c>
      <c r="AR29" s="386">
        <f t="shared" si="28"/>
        <v>0.46824937163312735</v>
      </c>
      <c r="AS29" s="386">
        <f t="shared" si="29"/>
        <v>0.460065356515173</v>
      </c>
      <c r="AT29" s="386">
        <f t="shared" si="30"/>
        <v>0</v>
      </c>
      <c r="AU29" s="386">
        <f t="shared" si="31"/>
        <v>0.95039999999999991</v>
      </c>
      <c r="AV29" s="386">
        <f t="shared" si="32"/>
        <v>0.18210499747027445</v>
      </c>
      <c r="AW29" s="386">
        <f t="shared" si="33"/>
        <v>0.249</v>
      </c>
      <c r="AX29" s="386">
        <f t="shared" si="34"/>
        <v>0.14400000000000002</v>
      </c>
      <c r="AY29" s="386">
        <f t="shared" si="35"/>
        <v>1.2671999999999999</v>
      </c>
      <c r="AZ29" s="386">
        <f t="shared" si="36"/>
        <v>0.10439999999999998</v>
      </c>
      <c r="BA29" s="386">
        <f t="shared" si="57"/>
        <v>1.4112</v>
      </c>
      <c r="BB29" s="386">
        <f t="shared" si="58"/>
        <v>6.3498739376489697</v>
      </c>
      <c r="BC29">
        <f t="shared" si="37"/>
        <v>96</v>
      </c>
      <c r="BD29" s="604">
        <f t="shared" si="51"/>
        <v>0.93795914256311363</v>
      </c>
      <c r="BE29" s="614">
        <f t="shared" si="38"/>
        <v>77.1051407130781</v>
      </c>
      <c r="BF29" s="614">
        <f t="shared" si="39"/>
        <v>39.094068581656366</v>
      </c>
      <c r="BG29" s="9"/>
      <c r="BH29" s="4">
        <f t="shared" si="52"/>
        <v>93.795914256311363</v>
      </c>
      <c r="BI29" s="386">
        <f t="shared" si="53"/>
        <v>1.6294065240939251</v>
      </c>
      <c r="BJ29" s="386">
        <f t="shared" si="54"/>
        <v>2.8401753880721525</v>
      </c>
      <c r="BK29" s="386">
        <f t="shared" si="40"/>
        <v>1.542102814261562</v>
      </c>
      <c r="BL29" s="386">
        <f t="shared" si="41"/>
        <v>0.78188137163312732</v>
      </c>
      <c r="BM29" s="386">
        <f t="shared" si="55"/>
        <v>0.18210499747027445</v>
      </c>
      <c r="BQ29" t="s">
        <v>157</v>
      </c>
      <c r="BR29">
        <v>9.9987899999999996</v>
      </c>
      <c r="BS29">
        <v>0.1958</v>
      </c>
      <c r="BT29">
        <v>5.1217600000000001</v>
      </c>
      <c r="BU29">
        <v>75.662516566515876</v>
      </c>
      <c r="BV29">
        <v>322.57199766699983</v>
      </c>
    </row>
    <row r="30" spans="1:83" x14ac:dyDescent="0.3">
      <c r="A30" s="22" t="s">
        <v>64</v>
      </c>
      <c r="B30" s="27">
        <f>RdsonDRB</f>
        <v>1.5</v>
      </c>
      <c r="C30" s="486" t="s">
        <v>120</v>
      </c>
      <c r="D30" s="482" t="s">
        <v>716</v>
      </c>
      <c r="G30">
        <v>21</v>
      </c>
      <c r="H30" s="610">
        <f t="shared" si="0"/>
        <v>12</v>
      </c>
      <c r="I30" s="445" t="str">
        <f t="shared" si="1"/>
        <v>BOOST</v>
      </c>
      <c r="J30">
        <f t="shared" si="43"/>
        <v>2</v>
      </c>
      <c r="K30" s="386">
        <f t="shared" si="44"/>
        <v>2.1</v>
      </c>
      <c r="L30" s="4">
        <f t="shared" si="2"/>
        <v>9.3333333333333339</v>
      </c>
      <c r="M30" s="4">
        <f t="shared" si="56"/>
        <v>8.4735272017674692</v>
      </c>
      <c r="N30" s="386">
        <f t="shared" si="3"/>
        <v>1</v>
      </c>
      <c r="O30" s="386">
        <f t="shared" si="4"/>
        <v>0.75216932099280132</v>
      </c>
      <c r="P30" s="4">
        <f t="shared" si="5"/>
        <v>4.5164095518495042</v>
      </c>
      <c r="Q30" s="4">
        <f t="shared" si="6"/>
        <v>9.4239556829628395</v>
      </c>
      <c r="R30" s="386">
        <f t="shared" si="7"/>
        <v>0.6542133128570744</v>
      </c>
      <c r="S30" s="386">
        <f t="shared" si="45"/>
        <v>1.0369332263014677</v>
      </c>
      <c r="T30" s="386">
        <f t="shared" si="46"/>
        <v>1.6911465391585421</v>
      </c>
      <c r="U30" s="4">
        <f t="shared" si="8"/>
        <v>4.3062062175549674</v>
      </c>
      <c r="V30" s="386">
        <f t="shared" si="9"/>
        <v>3.7086823976218118E-2</v>
      </c>
      <c r="W30" s="386">
        <f t="shared" si="47"/>
        <v>3.7086823976218118E-2</v>
      </c>
      <c r="X30" s="4">
        <f t="shared" si="10"/>
        <v>1.3037751352654543</v>
      </c>
      <c r="Y30" s="386">
        <f t="shared" si="11"/>
        <v>3.3996592066729077E-3</v>
      </c>
      <c r="Z30" s="603">
        <f t="shared" si="48"/>
        <v>3.3996592066729077E-3</v>
      </c>
      <c r="AA30" s="386">
        <f t="shared" si="12"/>
        <v>9.4239556829628395</v>
      </c>
      <c r="AB30" s="386">
        <f t="shared" si="13"/>
        <v>0.50622236207235127</v>
      </c>
      <c r="AC30" s="386">
        <f t="shared" si="14"/>
        <v>0</v>
      </c>
      <c r="AD30" s="386">
        <f t="shared" si="15"/>
        <v>0</v>
      </c>
      <c r="AE30" s="386">
        <f t="shared" si="16"/>
        <v>0.56324812091258791</v>
      </c>
      <c r="AF30" s="386">
        <f t="shared" si="17"/>
        <v>0</v>
      </c>
      <c r="AG30" s="386">
        <f t="shared" si="18"/>
        <v>0</v>
      </c>
      <c r="AH30" s="386">
        <f t="shared" si="19"/>
        <v>0</v>
      </c>
      <c r="AI30" s="386">
        <f t="shared" si="20"/>
        <v>0</v>
      </c>
      <c r="AJ30" s="386">
        <f t="shared" si="21"/>
        <v>8.173179612238922</v>
      </c>
      <c r="AK30" s="386">
        <f t="shared" si="22"/>
        <v>0.12692164345044415</v>
      </c>
      <c r="AL30" s="386">
        <f t="shared" si="23"/>
        <v>0.81732356790265193</v>
      </c>
      <c r="AM30" s="386">
        <f t="shared" si="24"/>
        <v>0</v>
      </c>
      <c r="AN30" s="386">
        <f t="shared" si="25"/>
        <v>0.9688385269693065</v>
      </c>
      <c r="AO30" s="386">
        <f t="shared" si="49"/>
        <v>4.6914897144222341</v>
      </c>
      <c r="AP30" s="386">
        <f t="shared" si="26"/>
        <v>4.1819143907006272E-2</v>
      </c>
      <c r="AQ30" s="386">
        <f t="shared" si="27"/>
        <v>0.44800000000000006</v>
      </c>
      <c r="AR30" s="386">
        <f t="shared" si="28"/>
        <v>0.49395046098921436</v>
      </c>
      <c r="AS30" s="386">
        <f t="shared" si="29"/>
        <v>0.50622236207235127</v>
      </c>
      <c r="AT30" s="386">
        <f t="shared" si="30"/>
        <v>0</v>
      </c>
      <c r="AU30" s="386">
        <f t="shared" si="31"/>
        <v>0.95039999999999991</v>
      </c>
      <c r="AV30" s="386">
        <f t="shared" si="32"/>
        <v>0.20040259492175394</v>
      </c>
      <c r="AW30" s="386">
        <f t="shared" si="33"/>
        <v>0.249</v>
      </c>
      <c r="AX30" s="386">
        <f t="shared" si="34"/>
        <v>0.14400000000000002</v>
      </c>
      <c r="AY30" s="386">
        <f t="shared" si="35"/>
        <v>1.2671999999999999</v>
      </c>
      <c r="AZ30" s="386">
        <f t="shared" si="36"/>
        <v>0.10439999999999998</v>
      </c>
      <c r="BA30" s="386">
        <f t="shared" si="57"/>
        <v>1.4112</v>
      </c>
      <c r="BB30" s="386">
        <f t="shared" si="58"/>
        <v>6.5686727261342952</v>
      </c>
      <c r="BC30">
        <f t="shared" si="37"/>
        <v>100.80000000000001</v>
      </c>
      <c r="BD30" s="604">
        <f t="shared" si="51"/>
        <v>0.93882132879774871</v>
      </c>
      <c r="BE30" s="614">
        <f t="shared" si="38"/>
        <v>79.805126348465322</v>
      </c>
      <c r="BF30" s="614">
        <f t="shared" si="39"/>
        <v>40.379123049460716</v>
      </c>
      <c r="BG30" s="9"/>
      <c r="BH30" s="4">
        <f t="shared" si="52"/>
        <v>93.882132879774872</v>
      </c>
      <c r="BI30" s="386">
        <f t="shared" si="53"/>
        <v>1.6911465391585421</v>
      </c>
      <c r="BJ30" s="386">
        <f t="shared" si="54"/>
        <v>2.9764371088711084</v>
      </c>
      <c r="BK30" s="386">
        <f t="shared" si="40"/>
        <v>1.5961025269693065</v>
      </c>
      <c r="BL30" s="386">
        <f t="shared" si="41"/>
        <v>0.80758246098921438</v>
      </c>
      <c r="BM30" s="386">
        <f t="shared" si="55"/>
        <v>0.20040259492175394</v>
      </c>
      <c r="BR30">
        <v>9.9987659999999998</v>
      </c>
      <c r="BS30">
        <v>0.2681</v>
      </c>
      <c r="BT30">
        <v>5.1224080000000001</v>
      </c>
      <c r="BU30">
        <v>80.957553445887683</v>
      </c>
      <c r="BV30">
        <v>323.02506068319997</v>
      </c>
    </row>
    <row r="31" spans="1:83" x14ac:dyDescent="0.3">
      <c r="A31" s="22" t="s">
        <v>149</v>
      </c>
      <c r="B31" s="27">
        <v>1</v>
      </c>
      <c r="C31" s="486" t="s">
        <v>120</v>
      </c>
      <c r="D31" s="482" t="s">
        <v>715</v>
      </c>
      <c r="G31">
        <v>22</v>
      </c>
      <c r="H31" s="610">
        <f t="shared" si="0"/>
        <v>12</v>
      </c>
      <c r="I31" s="445" t="str">
        <f t="shared" si="1"/>
        <v>BOOST</v>
      </c>
      <c r="J31">
        <f t="shared" si="43"/>
        <v>2</v>
      </c>
      <c r="K31" s="386">
        <f t="shared" si="44"/>
        <v>2.2000000000000002</v>
      </c>
      <c r="L31" s="4">
        <f t="shared" si="2"/>
        <v>9.7777777777777786</v>
      </c>
      <c r="M31" s="4">
        <f t="shared" si="56"/>
        <v>8.8807324352424644</v>
      </c>
      <c r="N31" s="386">
        <f t="shared" si="3"/>
        <v>1</v>
      </c>
      <c r="O31" s="386">
        <f t="shared" si="4"/>
        <v>0.75227268515944934</v>
      </c>
      <c r="P31" s="4">
        <f t="shared" si="5"/>
        <v>4.5150207655062609</v>
      </c>
      <c r="Q31" s="4">
        <f t="shared" si="6"/>
        <v>9.8642649319492808</v>
      </c>
      <c r="R31" s="386">
        <f t="shared" si="7"/>
        <v>0.72037960416863145</v>
      </c>
      <c r="S31" s="386">
        <f t="shared" si="45"/>
        <v>1.0361987322069559</v>
      </c>
      <c r="T31" s="386">
        <f t="shared" si="46"/>
        <v>1.7565783363755874</v>
      </c>
      <c r="U31" s="4">
        <f t="shared" si="8"/>
        <v>4.4560412959328835</v>
      </c>
      <c r="V31" s="386">
        <f t="shared" si="9"/>
        <v>3.9712608062118418E-2</v>
      </c>
      <c r="W31" s="386">
        <f t="shared" si="47"/>
        <v>3.9712608062118418E-2</v>
      </c>
      <c r="X31" s="4">
        <f t="shared" si="10"/>
        <v>1.303374227180895</v>
      </c>
      <c r="Y31" s="386">
        <f t="shared" si="11"/>
        <v>3.3975687521587907E-3</v>
      </c>
      <c r="Z31" s="603">
        <f t="shared" si="48"/>
        <v>3.3975687521587907E-3</v>
      </c>
      <c r="AA31" s="386">
        <f t="shared" si="12"/>
        <v>9.8642649319492808</v>
      </c>
      <c r="AB31" s="386">
        <f t="shared" si="13"/>
        <v>0.5546312190918008</v>
      </c>
      <c r="AC31" s="386">
        <f t="shared" si="14"/>
        <v>0</v>
      </c>
      <c r="AD31" s="386">
        <f t="shared" si="15"/>
        <v>0</v>
      </c>
      <c r="AE31" s="386">
        <f t="shared" si="16"/>
        <v>0.62383037991562118</v>
      </c>
      <c r="AF31" s="386">
        <f t="shared" si="17"/>
        <v>0</v>
      </c>
      <c r="AG31" s="386">
        <f t="shared" si="18"/>
        <v>0</v>
      </c>
      <c r="AH31" s="386">
        <f t="shared" si="19"/>
        <v>0</v>
      </c>
      <c r="AI31" s="386">
        <f t="shared" si="20"/>
        <v>0</v>
      </c>
      <c r="AJ31" s="386">
        <f t="shared" si="21"/>
        <v>8.5556374813443234</v>
      </c>
      <c r="AK31" s="386">
        <f t="shared" si="22"/>
        <v>0.13907797215314929</v>
      </c>
      <c r="AL31" s="386">
        <f t="shared" si="23"/>
        <v>0.85624373780277818</v>
      </c>
      <c r="AM31" s="386">
        <f t="shared" si="24"/>
        <v>0</v>
      </c>
      <c r="AN31" s="386">
        <f t="shared" si="25"/>
        <v>1.0237992959504496</v>
      </c>
      <c r="AO31" s="386">
        <f t="shared" si="49"/>
        <v>4.9096629146511193</v>
      </c>
      <c r="AP31" s="386">
        <f t="shared" si="26"/>
        <v>4.5799100877450996E-2</v>
      </c>
      <c r="AQ31" s="386">
        <f t="shared" si="27"/>
        <v>0.46933333333333338</v>
      </c>
      <c r="AR31" s="386">
        <f t="shared" si="28"/>
        <v>0.51989457502825609</v>
      </c>
      <c r="AS31" s="386">
        <f t="shared" si="29"/>
        <v>0.5546312190918008</v>
      </c>
      <c r="AT31" s="386">
        <f t="shared" si="30"/>
        <v>0</v>
      </c>
      <c r="AU31" s="386">
        <f t="shared" si="31"/>
        <v>0.95039999999999991</v>
      </c>
      <c r="AV31" s="386">
        <f t="shared" si="32"/>
        <v>0.2195967981365515</v>
      </c>
      <c r="AW31" s="386">
        <f t="shared" si="33"/>
        <v>0.249</v>
      </c>
      <c r="AX31" s="386">
        <f t="shared" si="34"/>
        <v>0.14400000000000002</v>
      </c>
      <c r="AY31" s="386">
        <f t="shared" si="35"/>
        <v>1.2671999999999999</v>
      </c>
      <c r="AZ31" s="386">
        <f t="shared" si="36"/>
        <v>0.10439999999999998</v>
      </c>
      <c r="BA31" s="386">
        <f t="shared" si="57"/>
        <v>1.4112</v>
      </c>
      <c r="BB31" s="386">
        <f t="shared" si="58"/>
        <v>6.7974095622207429</v>
      </c>
      <c r="BC31">
        <f t="shared" si="37"/>
        <v>105.60000000000001</v>
      </c>
      <c r="BD31" s="604">
        <f t="shared" si="51"/>
        <v>0.93952343217965484</v>
      </c>
      <c r="BE31" s="614">
        <f t="shared" si="38"/>
        <v>82.553164797522484</v>
      </c>
      <c r="BF31" s="614">
        <f t="shared" si="39"/>
        <v>41.676328751412804</v>
      </c>
      <c r="BG31" s="9"/>
      <c r="BH31" s="4">
        <f t="shared" si="52"/>
        <v>93.952343217965478</v>
      </c>
      <c r="BI31" s="386">
        <f t="shared" si="53"/>
        <v>1.7565783363755874</v>
      </c>
      <c r="BJ31" s="386">
        <f t="shared" si="54"/>
        <v>3.117924250894327</v>
      </c>
      <c r="BK31" s="386">
        <f t="shared" si="40"/>
        <v>1.6510632959504496</v>
      </c>
      <c r="BL31" s="386">
        <f t="shared" si="41"/>
        <v>0.83352657502825611</v>
      </c>
      <c r="BM31" s="386">
        <f t="shared" si="55"/>
        <v>0.2195967981365515</v>
      </c>
      <c r="BR31">
        <v>9.998704</v>
      </c>
      <c r="BS31">
        <v>0.36549999999999999</v>
      </c>
      <c r="BT31">
        <v>5.123094</v>
      </c>
      <c r="BU31">
        <v>85.419022273213088</v>
      </c>
      <c r="BV31">
        <v>319.63300692320018</v>
      </c>
    </row>
    <row r="32" spans="1:83" x14ac:dyDescent="0.3">
      <c r="A32" s="24" t="s">
        <v>66</v>
      </c>
      <c r="B32" s="15" t="s">
        <v>115</v>
      </c>
      <c r="C32" s="24" t="s">
        <v>80</v>
      </c>
      <c r="D32" s="17" t="s">
        <v>111</v>
      </c>
      <c r="G32">
        <v>23</v>
      </c>
      <c r="H32" s="610">
        <f t="shared" si="0"/>
        <v>12</v>
      </c>
      <c r="I32" s="445" t="str">
        <f t="shared" si="1"/>
        <v>BOOST</v>
      </c>
      <c r="J32">
        <f t="shared" si="43"/>
        <v>2</v>
      </c>
      <c r="K32" s="386">
        <f t="shared" si="44"/>
        <v>2.2999999999999998</v>
      </c>
      <c r="L32" s="4">
        <f t="shared" si="2"/>
        <v>10.222222222222221</v>
      </c>
      <c r="M32" s="4">
        <f t="shared" si="56"/>
        <v>9.2882778386832481</v>
      </c>
      <c r="N32" s="386">
        <f t="shared" si="3"/>
        <v>1</v>
      </c>
      <c r="O32" s="386">
        <f t="shared" si="4"/>
        <v>0.75237605507222216</v>
      </c>
      <c r="P32" s="4">
        <f t="shared" si="5"/>
        <v>4.5136314614313662</v>
      </c>
      <c r="Q32" s="4">
        <f t="shared" si="6"/>
        <v>10.304929220586414</v>
      </c>
      <c r="R32" s="386">
        <f t="shared" si="7"/>
        <v>0.79034035242626188</v>
      </c>
      <c r="S32" s="386">
        <f t="shared" si="45"/>
        <v>1.035464259008873</v>
      </c>
      <c r="T32" s="386">
        <f t="shared" si="46"/>
        <v>1.8258046114351347</v>
      </c>
      <c r="U32" s="4">
        <f t="shared" si="8"/>
        <v>4.6077563228552538</v>
      </c>
      <c r="V32" s="386">
        <f t="shared" si="9"/>
        <v>4.246283666162514E-2</v>
      </c>
      <c r="W32" s="386">
        <f t="shared" si="47"/>
        <v>4.246283666162514E-2</v>
      </c>
      <c r="X32" s="4">
        <f t="shared" si="10"/>
        <v>1.3029731696400817</v>
      </c>
      <c r="Y32" s="386">
        <f t="shared" si="11"/>
        <v>3.3954781616038422E-3</v>
      </c>
      <c r="Z32" s="603">
        <f t="shared" si="48"/>
        <v>3.3954781616038422E-3</v>
      </c>
      <c r="AA32" s="386">
        <f t="shared" si="12"/>
        <v>10.304929220586414</v>
      </c>
      <c r="AB32" s="386">
        <f t="shared" si="13"/>
        <v>0.60529192757538575</v>
      </c>
      <c r="AC32" s="386">
        <f t="shared" si="14"/>
        <v>0</v>
      </c>
      <c r="AD32" s="386">
        <f t="shared" si="15"/>
        <v>0</v>
      </c>
      <c r="AE32" s="386">
        <f t="shared" si="16"/>
        <v>0.68865999470294603</v>
      </c>
      <c r="AF32" s="386">
        <f t="shared" si="17"/>
        <v>0</v>
      </c>
      <c r="AG32" s="386">
        <f t="shared" si="18"/>
        <v>0</v>
      </c>
      <c r="AH32" s="386">
        <f t="shared" si="19"/>
        <v>0</v>
      </c>
      <c r="AI32" s="386">
        <f t="shared" si="20"/>
        <v>0</v>
      </c>
      <c r="AJ32" s="386">
        <f t="shared" si="21"/>
        <v>8.9384557777373725</v>
      </c>
      <c r="AK32" s="386">
        <f t="shared" si="22"/>
        <v>0.15180238421207656</v>
      </c>
      <c r="AL32" s="386">
        <f t="shared" si="23"/>
        <v>0.89516390770290444</v>
      </c>
      <c r="AM32" s="386">
        <f t="shared" si="24"/>
        <v>0</v>
      </c>
      <c r="AN32" s="386">
        <f t="shared" si="25"/>
        <v>1.0797479546889603</v>
      </c>
      <c r="AO32" s="386">
        <f t="shared" si="49"/>
        <v>5.1279210749317397</v>
      </c>
      <c r="AP32" s="386">
        <f t="shared" si="26"/>
        <v>4.9961591646385271E-2</v>
      </c>
      <c r="AQ32" s="386">
        <f t="shared" si="27"/>
        <v>0.49066666666666664</v>
      </c>
      <c r="AR32" s="386">
        <f t="shared" si="28"/>
        <v>0.54608491259451175</v>
      </c>
      <c r="AS32" s="386">
        <f t="shared" si="29"/>
        <v>0.60529192757538575</v>
      </c>
      <c r="AT32" s="386">
        <f t="shared" si="30"/>
        <v>0</v>
      </c>
      <c r="AU32" s="386">
        <f t="shared" si="31"/>
        <v>0.95039999999999991</v>
      </c>
      <c r="AV32" s="386">
        <f t="shared" si="32"/>
        <v>0.23968797507169987</v>
      </c>
      <c r="AW32" s="386">
        <f t="shared" si="33"/>
        <v>0.249</v>
      </c>
      <c r="AX32" s="386">
        <f t="shared" si="34"/>
        <v>0.14400000000000002</v>
      </c>
      <c r="AY32" s="386">
        <f t="shared" si="35"/>
        <v>1.2671999999999999</v>
      </c>
      <c r="AZ32" s="386">
        <f t="shared" si="36"/>
        <v>0.10439999999999998</v>
      </c>
      <c r="BA32" s="386">
        <f t="shared" si="57"/>
        <v>1.4112</v>
      </c>
      <c r="BB32" s="386">
        <f t="shared" si="58"/>
        <v>7.0364437633164814</v>
      </c>
      <c r="BC32">
        <f t="shared" si="37"/>
        <v>110.39999999999999</v>
      </c>
      <c r="BD32" s="604">
        <f t="shared" si="51"/>
        <v>0.94008296285352566</v>
      </c>
      <c r="BE32" s="614">
        <f t="shared" si="38"/>
        <v>85.350597734448016</v>
      </c>
      <c r="BF32" s="614">
        <f t="shared" si="39"/>
        <v>42.985845629725581</v>
      </c>
      <c r="BG32" s="9"/>
      <c r="BH32" s="4">
        <f t="shared" si="52"/>
        <v>94.008296285352571</v>
      </c>
      <c r="BI32" s="386">
        <f t="shared" si="53"/>
        <v>1.8258046114351347</v>
      </c>
      <c r="BJ32" s="386">
        <f t="shared" si="54"/>
        <v>3.2648928619864179</v>
      </c>
      <c r="BK32" s="386">
        <f t="shared" si="40"/>
        <v>1.7070119546889604</v>
      </c>
      <c r="BL32" s="386">
        <f t="shared" si="41"/>
        <v>0.85971691259451166</v>
      </c>
      <c r="BM32" s="386">
        <f t="shared" si="55"/>
        <v>0.23968797507169987</v>
      </c>
      <c r="BR32">
        <v>9.9987290000000009</v>
      </c>
      <c r="BS32">
        <v>0.49059999999999998</v>
      </c>
      <c r="BT32">
        <v>5.1238169999999998</v>
      </c>
      <c r="BU32">
        <v>88.551850267052174</v>
      </c>
      <c r="BV32">
        <v>324.98153184230057</v>
      </c>
    </row>
    <row r="33" spans="1:74" x14ac:dyDescent="0.3">
      <c r="A33" s="22" t="s">
        <v>66</v>
      </c>
      <c r="B33" s="5">
        <f>Deadtime*1000000000</f>
        <v>50</v>
      </c>
      <c r="C33" s="482" t="s">
        <v>79</v>
      </c>
      <c r="D33" s="21" t="s">
        <v>102</v>
      </c>
      <c r="G33">
        <v>24</v>
      </c>
      <c r="H33" s="610">
        <f t="shared" si="0"/>
        <v>12</v>
      </c>
      <c r="I33" s="445" t="str">
        <f t="shared" si="1"/>
        <v>BOOST</v>
      </c>
      <c r="J33">
        <f t="shared" si="43"/>
        <v>2</v>
      </c>
      <c r="K33" s="386">
        <f t="shared" si="44"/>
        <v>2.4</v>
      </c>
      <c r="L33" s="4">
        <f t="shared" si="2"/>
        <v>10.666666666666664</v>
      </c>
      <c r="M33" s="4">
        <f t="shared" si="56"/>
        <v>9.6961638666786403</v>
      </c>
      <c r="N33" s="386">
        <f t="shared" si="3"/>
        <v>1</v>
      </c>
      <c r="O33" s="386">
        <f t="shared" si="4"/>
        <v>0.75247943073159873</v>
      </c>
      <c r="P33" s="4">
        <f t="shared" si="5"/>
        <v>4.5122416395816431</v>
      </c>
      <c r="Q33" s="4">
        <f t="shared" si="6"/>
        <v>10.745904870954746</v>
      </c>
      <c r="R33" s="386">
        <f t="shared" si="7"/>
        <v>0.86420577536665644</v>
      </c>
      <c r="S33" s="386">
        <f t="shared" si="45"/>
        <v>1.0347298069863518</v>
      </c>
      <c r="T33" s="386">
        <f t="shared" si="46"/>
        <v>1.8989355823530083</v>
      </c>
      <c r="U33" s="4">
        <f t="shared" si="8"/>
        <v>4.7611824191812566</v>
      </c>
      <c r="V33" s="386">
        <f t="shared" si="9"/>
        <v>4.5337716057441371E-2</v>
      </c>
      <c r="W33" s="386">
        <f t="shared" si="47"/>
        <v>4.5337716057441371E-2</v>
      </c>
      <c r="X33" s="4">
        <f t="shared" si="10"/>
        <v>1.3025719626305501</v>
      </c>
      <c r="Y33" s="386">
        <f t="shared" si="11"/>
        <v>3.3933874356624062E-3</v>
      </c>
      <c r="Z33" s="603">
        <f t="shared" si="48"/>
        <v>3.3933874356624062E-3</v>
      </c>
      <c r="AA33" s="386">
        <f t="shared" si="12"/>
        <v>10.745904870954746</v>
      </c>
      <c r="AB33" s="386">
        <f t="shared" si="13"/>
        <v>0.65820448752497096</v>
      </c>
      <c r="AC33" s="386">
        <f t="shared" si="14"/>
        <v>0</v>
      </c>
      <c r="AD33" s="386">
        <f t="shared" si="15"/>
        <v>0</v>
      </c>
      <c r="AE33" s="386">
        <f t="shared" si="16"/>
        <v>0.75798651230094805</v>
      </c>
      <c r="AF33" s="386">
        <f t="shared" si="17"/>
        <v>0</v>
      </c>
      <c r="AG33" s="386">
        <f t="shared" si="18"/>
        <v>0</v>
      </c>
      <c r="AH33" s="386">
        <f t="shared" si="19"/>
        <v>0</v>
      </c>
      <c r="AI33" s="386">
        <f t="shared" si="20"/>
        <v>0</v>
      </c>
      <c r="AJ33" s="386">
        <f t="shared" si="21"/>
        <v>9.3215966751972292</v>
      </c>
      <c r="AK33" s="386">
        <f t="shared" si="22"/>
        <v>0.16509511269259128</v>
      </c>
      <c r="AL33" s="386">
        <f t="shared" si="23"/>
        <v>0.93408407760303058</v>
      </c>
      <c r="AM33" s="386">
        <f t="shared" si="24"/>
        <v>0</v>
      </c>
      <c r="AN33" s="386">
        <f t="shared" si="25"/>
        <v>1.1367123200098381</v>
      </c>
      <c r="AO33" s="386">
        <f t="shared" si="49"/>
        <v>5.3462423177930214</v>
      </c>
      <c r="AP33" s="386">
        <f t="shared" si="26"/>
        <v>5.4306383149065704E-2</v>
      </c>
      <c r="AQ33" s="386">
        <f t="shared" si="27"/>
        <v>0.5119999999999999</v>
      </c>
      <c r="AR33" s="386">
        <f t="shared" si="28"/>
        <v>0.57252473264776271</v>
      </c>
      <c r="AS33" s="386">
        <f t="shared" si="29"/>
        <v>0.65820448752497096</v>
      </c>
      <c r="AT33" s="386">
        <f t="shared" si="30"/>
        <v>0</v>
      </c>
      <c r="AU33" s="386">
        <f t="shared" si="31"/>
        <v>0.95039999999999991</v>
      </c>
      <c r="AV33" s="386">
        <f t="shared" si="32"/>
        <v>0.26067649372514412</v>
      </c>
      <c r="AW33" s="386">
        <f t="shared" si="33"/>
        <v>0.249</v>
      </c>
      <c r="AX33" s="386">
        <f t="shared" si="34"/>
        <v>0.14400000000000002</v>
      </c>
      <c r="AY33" s="386">
        <f t="shared" si="35"/>
        <v>1.2671999999999999</v>
      </c>
      <c r="AZ33" s="386">
        <f t="shared" si="36"/>
        <v>0.10439999999999998</v>
      </c>
      <c r="BA33" s="386">
        <f t="shared" si="57"/>
        <v>1.4112</v>
      </c>
      <c r="BB33" s="386">
        <f t="shared" si="58"/>
        <v>7.2861667445298046</v>
      </c>
      <c r="BC33">
        <f t="shared" si="37"/>
        <v>115.19999999999999</v>
      </c>
      <c r="BD33" s="604">
        <f t="shared" si="51"/>
        <v>0.94051437041272901</v>
      </c>
      <c r="BE33" s="614">
        <f t="shared" si="38"/>
        <v>88.198816000491902</v>
      </c>
      <c r="BF33" s="614">
        <f t="shared" si="39"/>
        <v>44.307836632388131</v>
      </c>
      <c r="BG33" s="9"/>
      <c r="BH33" s="4">
        <f t="shared" si="52"/>
        <v>94.051437041272905</v>
      </c>
      <c r="BI33" s="386">
        <f t="shared" si="53"/>
        <v>1.8989355823530083</v>
      </c>
      <c r="BJ33" s="386">
        <f t="shared" si="54"/>
        <v>3.4176235649585491</v>
      </c>
      <c r="BK33" s="386">
        <f t="shared" si="40"/>
        <v>1.7639763200098382</v>
      </c>
      <c r="BL33" s="386">
        <f t="shared" si="41"/>
        <v>0.88615673264776262</v>
      </c>
      <c r="BM33" s="386">
        <f t="shared" si="55"/>
        <v>0.26067649372514412</v>
      </c>
      <c r="BR33">
        <v>9.9986420000000003</v>
      </c>
      <c r="BS33">
        <v>0.64549999999999996</v>
      </c>
      <c r="BT33">
        <v>5.1237300000000001</v>
      </c>
      <c r="BU33">
        <v>90.41893857119905</v>
      </c>
      <c r="BV33">
        <v>350.45848473660021</v>
      </c>
    </row>
    <row r="34" spans="1:74" x14ac:dyDescent="0.3">
      <c r="A34" s="24" t="s">
        <v>56</v>
      </c>
      <c r="B34" s="15" t="s">
        <v>115</v>
      </c>
      <c r="C34" s="24" t="s">
        <v>80</v>
      </c>
      <c r="D34" s="17" t="s">
        <v>111</v>
      </c>
      <c r="G34">
        <v>25</v>
      </c>
      <c r="H34" s="610">
        <f t="shared" si="0"/>
        <v>12</v>
      </c>
      <c r="I34" s="4" t="str">
        <f t="shared" si="1"/>
        <v>BOOST</v>
      </c>
      <c r="J34">
        <f t="shared" si="43"/>
        <v>2</v>
      </c>
      <c r="K34" s="386">
        <f t="shared" si="44"/>
        <v>2.5</v>
      </c>
      <c r="L34" s="4">
        <f t="shared" si="2"/>
        <v>11.111111111111111</v>
      </c>
      <c r="M34" s="4">
        <f t="shared" si="56"/>
        <v>10.104390974627842</v>
      </c>
      <c r="N34" s="386">
        <f t="shared" si="3"/>
        <v>1</v>
      </c>
      <c r="O34" s="386">
        <f t="shared" si="4"/>
        <v>0.75258281213805878</v>
      </c>
      <c r="P34" s="4">
        <f t="shared" si="5"/>
        <v>4.510851299913921</v>
      </c>
      <c r="Q34" s="4">
        <f t="shared" si="6"/>
        <v>11.187155063328271</v>
      </c>
      <c r="R34" s="386">
        <f t="shared" si="7"/>
        <v>0.942094076578602</v>
      </c>
      <c r="S34" s="386">
        <f t="shared" si="45"/>
        <v>1.0339953764186252</v>
      </c>
      <c r="T34" s="386">
        <f t="shared" si="46"/>
        <v>1.9760894529972273</v>
      </c>
      <c r="U34" s="4">
        <f t="shared" si="8"/>
        <v>4.9161698963722174</v>
      </c>
      <c r="V34" s="386">
        <f t="shared" si="9"/>
        <v>4.833745289999284E-2</v>
      </c>
      <c r="W34" s="386">
        <f t="shared" si="47"/>
        <v>4.833745289999284E-2</v>
      </c>
      <c r="X34" s="4">
        <f t="shared" si="10"/>
        <v>1.3021706061398379</v>
      </c>
      <c r="Y34" s="386">
        <f t="shared" si="11"/>
        <v>3.3912965749891858E-3</v>
      </c>
      <c r="Z34" s="603">
        <f t="shared" si="48"/>
        <v>3.3912965749891858E-3</v>
      </c>
      <c r="AA34" s="386">
        <f t="shared" si="12"/>
        <v>11.187155063328271</v>
      </c>
      <c r="AB34" s="386">
        <f t="shared" si="13"/>
        <v>0.71336889894242284</v>
      </c>
      <c r="AC34" s="386">
        <f t="shared" si="14"/>
        <v>0</v>
      </c>
      <c r="AD34" s="386">
        <f t="shared" si="15"/>
        <v>0</v>
      </c>
      <c r="AE34" s="386">
        <f t="shared" si="16"/>
        <v>0.83208571267821929</v>
      </c>
      <c r="AF34" s="386">
        <f t="shared" si="17"/>
        <v>0</v>
      </c>
      <c r="AG34" s="386">
        <f t="shared" si="18"/>
        <v>0</v>
      </c>
      <c r="AH34" s="386">
        <f t="shared" si="19"/>
        <v>0</v>
      </c>
      <c r="AI34" s="386">
        <f t="shared" si="20"/>
        <v>0</v>
      </c>
      <c r="AJ34" s="386">
        <f t="shared" si="21"/>
        <v>9.7050282866794877</v>
      </c>
      <c r="AK34" s="386">
        <f t="shared" si="22"/>
        <v>0.17895639068597308</v>
      </c>
      <c r="AL34" s="386">
        <f t="shared" si="23"/>
        <v>0.97300424750315684</v>
      </c>
      <c r="AM34" s="386">
        <f t="shared" si="24"/>
        <v>0</v>
      </c>
      <c r="AN34" s="386">
        <f t="shared" si="25"/>
        <v>1.1947212383264867</v>
      </c>
      <c r="AO34" s="386">
        <f t="shared" si="49"/>
        <v>5.5646081951654409</v>
      </c>
      <c r="AP34" s="386">
        <f t="shared" si="26"/>
        <v>5.8833242294834533E-2</v>
      </c>
      <c r="AQ34" s="386">
        <f t="shared" si="27"/>
        <v>0.53333333333333333</v>
      </c>
      <c r="AR34" s="386">
        <f t="shared" si="28"/>
        <v>0.59921735560204892</v>
      </c>
      <c r="AS34" s="386">
        <f t="shared" si="29"/>
        <v>0.71336889894242284</v>
      </c>
      <c r="AT34" s="386">
        <f t="shared" si="30"/>
        <v>0</v>
      </c>
      <c r="AU34" s="386">
        <f t="shared" si="31"/>
        <v>0.95039999999999991</v>
      </c>
      <c r="AV34" s="386">
        <f t="shared" si="32"/>
        <v>0.28256272213574701</v>
      </c>
      <c r="AW34" s="386">
        <f t="shared" si="33"/>
        <v>0.249</v>
      </c>
      <c r="AX34" s="386">
        <f t="shared" si="34"/>
        <v>0.14400000000000002</v>
      </c>
      <c r="AY34" s="386">
        <f t="shared" si="35"/>
        <v>1.2671999999999999</v>
      </c>
      <c r="AZ34" s="386">
        <f t="shared" si="36"/>
        <v>0.10439999999999998</v>
      </c>
      <c r="BA34" s="386">
        <f t="shared" si="57"/>
        <v>1.4112</v>
      </c>
      <c r="BB34" s="386">
        <f t="shared" si="58"/>
        <v>7.5470052312147109</v>
      </c>
      <c r="BC34">
        <f t="shared" si="37"/>
        <v>120</v>
      </c>
      <c r="BD34" s="604">
        <f t="shared" si="51"/>
        <v>0.94082961636352302</v>
      </c>
      <c r="BE34" s="614">
        <f t="shared" si="38"/>
        <v>91.099261916324338</v>
      </c>
      <c r="BF34" s="614">
        <f t="shared" si="39"/>
        <v>45.64246778010245</v>
      </c>
      <c r="BG34" s="9"/>
      <c r="BH34" s="4">
        <f t="shared" si="52"/>
        <v>94.082961636352309</v>
      </c>
      <c r="BI34" s="386">
        <f t="shared" si="53"/>
        <v>1.9760894529972273</v>
      </c>
      <c r="BJ34" s="386">
        <f t="shared" si="54"/>
        <v>3.5764243066067545</v>
      </c>
      <c r="BK34" s="386">
        <f t="shared" si="40"/>
        <v>1.8219852383264867</v>
      </c>
      <c r="BL34" s="386">
        <f t="shared" si="41"/>
        <v>0.91284935560204894</v>
      </c>
      <c r="BM34" s="386">
        <f t="shared" si="55"/>
        <v>0.28256272213574701</v>
      </c>
      <c r="BR34">
        <v>9.9986049999999995</v>
      </c>
      <c r="BS34">
        <v>0.83240000000000003</v>
      </c>
      <c r="BT34">
        <v>5.1231559999999998</v>
      </c>
      <c r="BU34">
        <v>91.678946361105133</v>
      </c>
      <c r="BV34">
        <v>387.05996035199956</v>
      </c>
    </row>
    <row r="35" spans="1:74" x14ac:dyDescent="0.3">
      <c r="A35" s="22" t="s">
        <v>158</v>
      </c>
      <c r="B35" s="5">
        <f>Iq*1000</f>
        <v>3</v>
      </c>
      <c r="C35" s="482" t="s">
        <v>68</v>
      </c>
      <c r="D35" s="21" t="s">
        <v>161</v>
      </c>
      <c r="G35">
        <v>26</v>
      </c>
      <c r="H35" s="610">
        <f t="shared" si="0"/>
        <v>12</v>
      </c>
      <c r="I35" s="4" t="str">
        <f t="shared" si="1"/>
        <v>BOOST</v>
      </c>
      <c r="J35">
        <f t="shared" si="43"/>
        <v>2</v>
      </c>
      <c r="K35" s="386">
        <f t="shared" si="44"/>
        <v>2.6</v>
      </c>
      <c r="L35" s="4">
        <f t="shared" si="2"/>
        <v>11.555555555555555</v>
      </c>
      <c r="M35" s="4">
        <f t="shared" si="56"/>
        <v>10.512959618742176</v>
      </c>
      <c r="N35" s="386">
        <f t="shared" si="3"/>
        <v>1</v>
      </c>
      <c r="O35" s="386">
        <f t="shared" si="4"/>
        <v>0.75268619929208125</v>
      </c>
      <c r="P35" s="4">
        <f t="shared" si="5"/>
        <v>4.5094604423850111</v>
      </c>
      <c r="Q35" s="4">
        <f t="shared" si="6"/>
        <v>11.628648545194341</v>
      </c>
      <c r="R35" s="386">
        <f t="shared" si="7"/>
        <v>1.0241319530111839</v>
      </c>
      <c r="S35" s="386">
        <f t="shared" si="45"/>
        <v>1.0332609675850024</v>
      </c>
      <c r="T35" s="386">
        <f t="shared" si="46"/>
        <v>2.0573929205961861</v>
      </c>
      <c r="U35" s="4">
        <f t="shared" si="8"/>
        <v>5.0725858399955737</v>
      </c>
      <c r="V35" s="386">
        <f t="shared" si="9"/>
        <v>5.1462254208247203E-2</v>
      </c>
      <c r="W35" s="386">
        <f t="shared" si="47"/>
        <v>5.1462254208247203E-2</v>
      </c>
      <c r="X35" s="4">
        <f t="shared" si="10"/>
        <v>1.3017691001554776</v>
      </c>
      <c r="Y35" s="386">
        <f t="shared" si="11"/>
        <v>3.3892055802392041E-3</v>
      </c>
      <c r="Z35" s="603">
        <f t="shared" si="48"/>
        <v>3.3892055802392041E-3</v>
      </c>
      <c r="AA35" s="386">
        <f t="shared" si="12"/>
        <v>11.628648545194341</v>
      </c>
      <c r="AB35" s="386">
        <f t="shared" si="13"/>
        <v>0.77078516182960766</v>
      </c>
      <c r="AC35" s="386">
        <f t="shared" si="14"/>
        <v>0</v>
      </c>
      <c r="AD35" s="386">
        <f t="shared" si="15"/>
        <v>0</v>
      </c>
      <c r="AE35" s="386">
        <f t="shared" si="16"/>
        <v>0.91126271816810611</v>
      </c>
      <c r="AF35" s="386">
        <f t="shared" si="17"/>
        <v>0</v>
      </c>
      <c r="AG35" s="386">
        <f t="shared" si="18"/>
        <v>0</v>
      </c>
      <c r="AH35" s="386">
        <f t="shared" si="19"/>
        <v>0</v>
      </c>
      <c r="AI35" s="386">
        <f t="shared" si="20"/>
        <v>0</v>
      </c>
      <c r="AJ35" s="386">
        <f t="shared" si="21"/>
        <v>10.088723546337834</v>
      </c>
      <c r="AK35" s="386">
        <f t="shared" si="22"/>
        <v>0.19338645130941973</v>
      </c>
      <c r="AL35" s="386">
        <f t="shared" si="23"/>
        <v>1.0119244174032833</v>
      </c>
      <c r="AM35" s="386">
        <f t="shared" si="24"/>
        <v>0</v>
      </c>
      <c r="AN35" s="386">
        <f t="shared" si="25"/>
        <v>1.2538046344926714</v>
      </c>
      <c r="AO35" s="386">
        <f t="shared" si="49"/>
        <v>5.7830030428159933</v>
      </c>
      <c r="AP35" s="386">
        <f t="shared" si="26"/>
        <v>6.3541935967116159E-2</v>
      </c>
      <c r="AQ35" s="386">
        <f t="shared" si="27"/>
        <v>0.55466666666666664</v>
      </c>
      <c r="AR35" s="386">
        <f t="shared" si="28"/>
        <v>0.62616616470223962</v>
      </c>
      <c r="AS35" s="386">
        <f t="shared" si="29"/>
        <v>0.77078516182960766</v>
      </c>
      <c r="AT35" s="386">
        <f t="shared" si="30"/>
        <v>0</v>
      </c>
      <c r="AU35" s="386">
        <f t="shared" si="31"/>
        <v>0.95039999999999991</v>
      </c>
      <c r="AV35" s="386">
        <f t="shared" si="32"/>
        <v>0.30534702838329431</v>
      </c>
      <c r="AW35" s="386">
        <f t="shared" si="33"/>
        <v>0.249</v>
      </c>
      <c r="AX35" s="386">
        <f t="shared" si="34"/>
        <v>0.14400000000000002</v>
      </c>
      <c r="AY35" s="386">
        <f t="shared" si="35"/>
        <v>1.2671999999999999</v>
      </c>
      <c r="AZ35" s="386">
        <f t="shared" si="36"/>
        <v>0.10439999999999998</v>
      </c>
      <c r="BA35" s="386">
        <f t="shared" si="57"/>
        <v>1.4112</v>
      </c>
      <c r="BB35" s="386">
        <f t="shared" si="58"/>
        <v>7.8194249261309841</v>
      </c>
      <c r="BC35">
        <f t="shared" si="37"/>
        <v>124.80000000000001</v>
      </c>
      <c r="BD35" s="604">
        <f t="shared" si="51"/>
        <v>0.94103861534246291</v>
      </c>
      <c r="BE35" s="614">
        <f t="shared" si="38"/>
        <v>94.053431724633569</v>
      </c>
      <c r="BF35" s="614">
        <f t="shared" si="39"/>
        <v>46.989908235111976</v>
      </c>
      <c r="BG35" s="9"/>
      <c r="BH35" s="4">
        <f t="shared" si="52"/>
        <v>94.103861534246292</v>
      </c>
      <c r="BI35" s="386">
        <f t="shared" si="53"/>
        <v>2.0573929205961861</v>
      </c>
      <c r="BJ35" s="386">
        <f t="shared" si="54"/>
        <v>3.7416335173630175</v>
      </c>
      <c r="BK35" s="386">
        <f t="shared" si="40"/>
        <v>1.8810686344926713</v>
      </c>
      <c r="BL35" s="386">
        <f t="shared" si="41"/>
        <v>0.93979816470223954</v>
      </c>
      <c r="BM35" s="386">
        <f t="shared" si="55"/>
        <v>0.30534702838329431</v>
      </c>
      <c r="BR35">
        <v>9.9986049999999995</v>
      </c>
      <c r="BS35">
        <v>1.0528999999999999</v>
      </c>
      <c r="BT35">
        <v>5.1218219999999999</v>
      </c>
      <c r="BU35">
        <v>92.889938966292178</v>
      </c>
      <c r="BV35">
        <v>412.77762981700039</v>
      </c>
    </row>
    <row r="36" spans="1:74" x14ac:dyDescent="0.3">
      <c r="A36" s="24" t="s">
        <v>766</v>
      </c>
      <c r="B36" s="15" t="s">
        <v>115</v>
      </c>
      <c r="C36" s="24" t="s">
        <v>80</v>
      </c>
      <c r="D36" s="17" t="s">
        <v>111</v>
      </c>
      <c r="G36">
        <v>27</v>
      </c>
      <c r="H36" s="610">
        <f t="shared" si="0"/>
        <v>12</v>
      </c>
      <c r="I36" s="4" t="str">
        <f t="shared" si="1"/>
        <v>BOOST</v>
      </c>
      <c r="J36">
        <f t="shared" si="43"/>
        <v>2</v>
      </c>
      <c r="K36" s="386">
        <f t="shared" si="44"/>
        <v>2.7</v>
      </c>
      <c r="L36" s="4">
        <f t="shared" si="2"/>
        <v>12.000000000000002</v>
      </c>
      <c r="M36" s="4">
        <f t="shared" si="56"/>
        <v>10.921870256046962</v>
      </c>
      <c r="N36" s="386">
        <f t="shared" si="3"/>
        <v>1</v>
      </c>
      <c r="O36" s="386">
        <f t="shared" si="4"/>
        <v>0.75278959219414565</v>
      </c>
      <c r="P36" s="4">
        <f t="shared" si="5"/>
        <v>4.5080690669517294</v>
      </c>
      <c r="Q36" s="4">
        <f t="shared" si="6"/>
        <v>12.070358620440157</v>
      </c>
      <c r="R36" s="386">
        <f t="shared" si="7"/>
        <v>1.1104551507737064</v>
      </c>
      <c r="S36" s="386">
        <f t="shared" si="45"/>
        <v>1.0325265807648927</v>
      </c>
      <c r="T36" s="386">
        <f t="shared" si="46"/>
        <v>2.1429817315385993</v>
      </c>
      <c r="U36" s="4">
        <f t="shared" si="8"/>
        <v>5.2303120064933184</v>
      </c>
      <c r="V36" s="386">
        <f t="shared" si="9"/>
        <v>5.4712327370536322E-2</v>
      </c>
      <c r="W36" s="386">
        <f t="shared" si="47"/>
        <v>5.4712327370536322E-2</v>
      </c>
      <c r="X36" s="4">
        <f t="shared" si="10"/>
        <v>1.301367444665003</v>
      </c>
      <c r="Y36" s="386">
        <f t="shared" si="11"/>
        <v>3.387114452067839E-3</v>
      </c>
      <c r="Z36" s="603">
        <f t="shared" si="48"/>
        <v>3.387114452067839E-3</v>
      </c>
      <c r="AA36" s="386">
        <f t="shared" si="12"/>
        <v>12.070358620440157</v>
      </c>
      <c r="AB36" s="386">
        <f t="shared" si="13"/>
        <v>0.83045327618839393</v>
      </c>
      <c r="AC36" s="386">
        <f t="shared" si="14"/>
        <v>0</v>
      </c>
      <c r="AD36" s="386">
        <f t="shared" si="15"/>
        <v>0</v>
      </c>
      <c r="AE36" s="386">
        <f t="shared" si="16"/>
        <v>0.9958555823895795</v>
      </c>
      <c r="AF36" s="386">
        <f t="shared" si="17"/>
        <v>0</v>
      </c>
      <c r="AG36" s="386">
        <f t="shared" si="18"/>
        <v>0</v>
      </c>
      <c r="AH36" s="386">
        <f t="shared" si="19"/>
        <v>0</v>
      </c>
      <c r="AI36" s="386">
        <f t="shared" si="20"/>
        <v>0</v>
      </c>
      <c r="AJ36" s="386">
        <f t="shared" si="21"/>
        <v>10.472659334166302</v>
      </c>
      <c r="AK36" s="386">
        <f t="shared" si="22"/>
        <v>0.20838552770605107</v>
      </c>
      <c r="AL36" s="386">
        <f t="shared" si="23"/>
        <v>1.0508445873034098</v>
      </c>
      <c r="AM36" s="386">
        <f t="shared" si="24"/>
        <v>0</v>
      </c>
      <c r="AN36" s="386">
        <f t="shared" si="25"/>
        <v>1.3139935634331346</v>
      </c>
      <c r="AO36" s="386">
        <f t="shared" si="49"/>
        <v>6.0014134748851822</v>
      </c>
      <c r="AP36" s="386">
        <f t="shared" si="26"/>
        <v>6.8432231023413531E-2</v>
      </c>
      <c r="AQ36" s="386">
        <f t="shared" si="27"/>
        <v>0.57600000000000007</v>
      </c>
      <c r="AR36" s="386">
        <f t="shared" si="28"/>
        <v>0.65337460743964204</v>
      </c>
      <c r="AS36" s="386">
        <f t="shared" si="29"/>
        <v>0.83045327618839393</v>
      </c>
      <c r="AT36" s="386">
        <f t="shared" si="30"/>
        <v>0</v>
      </c>
      <c r="AU36" s="386">
        <f t="shared" si="31"/>
        <v>0.95039999999999991</v>
      </c>
      <c r="AV36" s="386">
        <f t="shared" si="32"/>
        <v>0.32902978058850169</v>
      </c>
      <c r="AW36" s="386">
        <f t="shared" si="33"/>
        <v>0.249</v>
      </c>
      <c r="AX36" s="386">
        <f t="shared" si="34"/>
        <v>0.14400000000000002</v>
      </c>
      <c r="AY36" s="386">
        <f t="shared" si="35"/>
        <v>1.2671999999999999</v>
      </c>
      <c r="AZ36" s="386">
        <f t="shared" si="36"/>
        <v>0.10439999999999998</v>
      </c>
      <c r="BA36" s="386">
        <f t="shared" si="57"/>
        <v>1.4112</v>
      </c>
      <c r="BB36" s="386">
        <f t="shared" si="58"/>
        <v>8.103934707212062</v>
      </c>
      <c r="BC36">
        <f t="shared" si="37"/>
        <v>129.60000000000002</v>
      </c>
      <c r="BD36" s="604">
        <f t="shared" si="51"/>
        <v>0.94114957771945473</v>
      </c>
      <c r="BE36" s="614">
        <f t="shared" si="38"/>
        <v>97.062878171656735</v>
      </c>
      <c r="BF36" s="614">
        <f t="shared" si="39"/>
        <v>48.350330371982096</v>
      </c>
      <c r="BG36" s="9"/>
      <c r="BH36" s="4">
        <f t="shared" si="52"/>
        <v>94.11495777194547</v>
      </c>
      <c r="BI36" s="386">
        <f t="shared" si="53"/>
        <v>2.1429817315385993</v>
      </c>
      <c r="BJ36" s="386">
        <f t="shared" si="54"/>
        <v>3.9136237532623559</v>
      </c>
      <c r="BK36" s="386">
        <f t="shared" si="40"/>
        <v>1.9412575634331346</v>
      </c>
      <c r="BL36" s="386">
        <f t="shared" si="41"/>
        <v>0.96700660743964195</v>
      </c>
      <c r="BM36" s="386">
        <f t="shared" si="55"/>
        <v>0.32902978058850169</v>
      </c>
      <c r="BR36">
        <v>9.9986669999999993</v>
      </c>
      <c r="BS36">
        <v>1.3092999999999999</v>
      </c>
      <c r="BT36">
        <v>5.1195649999999997</v>
      </c>
      <c r="BU36">
        <v>93.690364214923264</v>
      </c>
      <c r="BV36">
        <v>451.42072788069993</v>
      </c>
    </row>
    <row r="37" spans="1:74" x14ac:dyDescent="0.3">
      <c r="A37" s="23" t="s">
        <v>75</v>
      </c>
      <c r="B37" s="5">
        <f>Rdson1*1000</f>
        <v>5.7</v>
      </c>
      <c r="C37" s="484" t="s">
        <v>674</v>
      </c>
      <c r="D37" s="482" t="s">
        <v>769</v>
      </c>
      <c r="G37">
        <v>28</v>
      </c>
      <c r="H37" s="610">
        <f t="shared" si="0"/>
        <v>12</v>
      </c>
      <c r="I37" s="4" t="str">
        <f t="shared" si="1"/>
        <v>BOOST</v>
      </c>
      <c r="J37">
        <f t="shared" si="43"/>
        <v>2</v>
      </c>
      <c r="K37" s="386">
        <f t="shared" si="44"/>
        <v>2.8</v>
      </c>
      <c r="L37" s="4">
        <f t="shared" si="2"/>
        <v>12.444444444444441</v>
      </c>
      <c r="M37" s="4">
        <f t="shared" si="56"/>
        <v>11.331123344383281</v>
      </c>
      <c r="N37" s="386">
        <f t="shared" si="3"/>
        <v>1</v>
      </c>
      <c r="O37" s="386">
        <f t="shared" si="4"/>
        <v>0.75289299084473116</v>
      </c>
      <c r="P37" s="4">
        <f t="shared" si="5"/>
        <v>4.5066771735708819</v>
      </c>
      <c r="Q37" s="4">
        <f t="shared" si="6"/>
        <v>12.51226235044764</v>
      </c>
      <c r="R37" s="386">
        <f t="shared" si="7"/>
        <v>1.2012090740657924</v>
      </c>
      <c r="S37" s="386">
        <f t="shared" si="45"/>
        <v>1.0317922162377877</v>
      </c>
      <c r="T37" s="386">
        <f t="shared" si="46"/>
        <v>2.2330012903035801</v>
      </c>
      <c r="U37" s="4">
        <f t="shared" si="8"/>
        <v>5.3892429962556072</v>
      </c>
      <c r="V37" s="386">
        <f t="shared" si="9"/>
        <v>5.8087880145380237E-2</v>
      </c>
      <c r="W37" s="386">
        <f t="shared" si="47"/>
        <v>5.8087880145380237E-2</v>
      </c>
      <c r="X37" s="4">
        <f t="shared" si="10"/>
        <v>1.3009656396559452</v>
      </c>
      <c r="Y37" s="386">
        <f t="shared" si="11"/>
        <v>3.3850231911308057E-3</v>
      </c>
      <c r="Z37" s="603">
        <f t="shared" si="48"/>
        <v>3.3850231911308057E-3</v>
      </c>
      <c r="AA37" s="386">
        <f t="shared" si="12"/>
        <v>12.51226235044764</v>
      </c>
      <c r="AB37" s="386">
        <f t="shared" si="13"/>
        <v>0.89237324202064827</v>
      </c>
      <c r="AC37" s="386">
        <f t="shared" si="14"/>
        <v>0</v>
      </c>
      <c r="AD37" s="386">
        <f t="shared" si="15"/>
        <v>0</v>
      </c>
      <c r="AE37" s="386">
        <f t="shared" si="16"/>
        <v>1.0862394450605217</v>
      </c>
      <c r="AF37" s="386">
        <f t="shared" si="17"/>
        <v>0</v>
      </c>
      <c r="AG37" s="386">
        <f t="shared" si="18"/>
        <v>0</v>
      </c>
      <c r="AH37" s="386">
        <f t="shared" si="19"/>
        <v>0</v>
      </c>
      <c r="AI37" s="386">
        <f t="shared" si="20"/>
        <v>0</v>
      </c>
      <c r="AJ37" s="386">
        <f t="shared" si="21"/>
        <v>10.856815784151729</v>
      </c>
      <c r="AK37" s="386">
        <f t="shared" si="22"/>
        <v>0.22395385304491164</v>
      </c>
      <c r="AL37" s="386">
        <f t="shared" si="23"/>
        <v>1.0897647572035356</v>
      </c>
      <c r="AM37" s="386">
        <f t="shared" si="24"/>
        <v>0</v>
      </c>
      <c r="AN37" s="386">
        <f t="shared" si="25"/>
        <v>1.3753202647403155</v>
      </c>
      <c r="AO37" s="386">
        <f t="shared" si="49"/>
        <v>6.2198279843918014</v>
      </c>
      <c r="AP37" s="386">
        <f t="shared" si="26"/>
        <v>7.350389429530442E-2</v>
      </c>
      <c r="AQ37" s="386">
        <f t="shared" si="27"/>
        <v>0.59733333333333316</v>
      </c>
      <c r="AR37" s="386">
        <f t="shared" si="28"/>
        <v>0.68084619700788307</v>
      </c>
      <c r="AS37" s="386">
        <f t="shared" si="29"/>
        <v>0.89237324202064827</v>
      </c>
      <c r="AT37" s="386">
        <f t="shared" si="30"/>
        <v>0</v>
      </c>
      <c r="AU37" s="386">
        <f t="shared" si="31"/>
        <v>0.95039999999999991</v>
      </c>
      <c r="AV37" s="386">
        <f t="shared" si="32"/>
        <v>0.35361134691301838</v>
      </c>
      <c r="AW37" s="386">
        <f t="shared" si="33"/>
        <v>0.249</v>
      </c>
      <c r="AX37" s="386">
        <f t="shared" si="34"/>
        <v>0.14400000000000002</v>
      </c>
      <c r="AY37" s="386">
        <f t="shared" si="35"/>
        <v>1.2671999999999999</v>
      </c>
      <c r="AZ37" s="386">
        <f t="shared" si="36"/>
        <v>0.10439999999999998</v>
      </c>
      <c r="BA37" s="386">
        <f t="shared" si="57"/>
        <v>1.4112</v>
      </c>
      <c r="BB37" s="386">
        <f t="shared" si="58"/>
        <v>8.4010914473618303</v>
      </c>
      <c r="BC37">
        <f t="shared" si="37"/>
        <v>134.39999999999998</v>
      </c>
      <c r="BD37" s="604">
        <f t="shared" si="51"/>
        <v>0.94116927705375009</v>
      </c>
      <c r="BE37" s="614">
        <f t="shared" si="38"/>
        <v>100.12921323701578</v>
      </c>
      <c r="BF37" s="614">
        <f t="shared" si="39"/>
        <v>49.723909850394158</v>
      </c>
      <c r="BG37" s="9"/>
      <c r="BH37" s="4">
        <f t="shared" si="52"/>
        <v>94.116927705375005</v>
      </c>
      <c r="BI37" s="386">
        <f t="shared" si="53"/>
        <v>2.2330012903035801</v>
      </c>
      <c r="BJ37" s="386">
        <f t="shared" si="54"/>
        <v>4.0928059068087199</v>
      </c>
      <c r="BK37" s="386">
        <f t="shared" si="40"/>
        <v>2.0025842647403156</v>
      </c>
      <c r="BL37" s="386">
        <f t="shared" si="41"/>
        <v>0.99447819700788309</v>
      </c>
      <c r="BM37" s="386">
        <f t="shared" si="55"/>
        <v>0.35361134691301838</v>
      </c>
      <c r="BR37">
        <v>9.9985429999999997</v>
      </c>
      <c r="BS37">
        <v>1.6020000000000001</v>
      </c>
      <c r="BT37">
        <v>5.1182809999999996</v>
      </c>
      <c r="BU37">
        <v>93.864473327748414</v>
      </c>
      <c r="BV37">
        <v>535.96589716749952</v>
      </c>
    </row>
    <row r="38" spans="1:74" x14ac:dyDescent="0.3">
      <c r="A38" s="22" t="s">
        <v>83</v>
      </c>
      <c r="B38" s="5">
        <f>RdsonTopTc*1000000</f>
        <v>4000</v>
      </c>
      <c r="C38" s="482" t="s">
        <v>85</v>
      </c>
      <c r="D38" s="21" t="s">
        <v>113</v>
      </c>
      <c r="G38">
        <v>29</v>
      </c>
      <c r="H38" s="610">
        <f t="shared" si="0"/>
        <v>12</v>
      </c>
      <c r="I38" s="4" t="str">
        <f t="shared" si="1"/>
        <v>BOOST</v>
      </c>
      <c r="J38">
        <f t="shared" si="43"/>
        <v>2</v>
      </c>
      <c r="K38" s="386">
        <f t="shared" si="44"/>
        <v>2.9</v>
      </c>
      <c r="L38" s="4">
        <f t="shared" si="2"/>
        <v>12.888888888888888</v>
      </c>
      <c r="M38" s="4">
        <f t="shared" si="56"/>
        <v>11.740719342409838</v>
      </c>
      <c r="N38" s="386">
        <f t="shared" si="3"/>
        <v>1</v>
      </c>
      <c r="O38" s="386">
        <f t="shared" si="4"/>
        <v>0.75299639524431716</v>
      </c>
      <c r="P38" s="4">
        <f t="shared" si="5"/>
        <v>4.5052847621992713</v>
      </c>
      <c r="Q38" s="4">
        <f t="shared" si="6"/>
        <v>12.954339917153845</v>
      </c>
      <c r="R38" s="386">
        <f t="shared" si="7"/>
        <v>1.2965494526756909</v>
      </c>
      <c r="S38" s="386">
        <f t="shared" si="45"/>
        <v>1.0310578742832714</v>
      </c>
      <c r="T38" s="386">
        <f t="shared" si="46"/>
        <v>2.3276073269589626</v>
      </c>
      <c r="U38" s="4">
        <f t="shared" si="8"/>
        <v>5.5492846684195962</v>
      </c>
      <c r="V38" s="386">
        <f t="shared" si="9"/>
        <v>6.1589120662313576E-2</v>
      </c>
      <c r="W38" s="386">
        <f t="shared" si="47"/>
        <v>6.1589120662313576E-2</v>
      </c>
      <c r="X38" s="4">
        <f t="shared" si="10"/>
        <v>1.3005636851158342</v>
      </c>
      <c r="Y38" s="386">
        <f t="shared" si="11"/>
        <v>3.3829317980841578E-3</v>
      </c>
      <c r="Z38" s="603">
        <f t="shared" si="48"/>
        <v>3.3829317980841578E-3</v>
      </c>
      <c r="AA38" s="386">
        <f t="shared" si="12"/>
        <v>12.954339917153845</v>
      </c>
      <c r="AB38" s="386">
        <f t="shared" si="13"/>
        <v>0.9565450593282433</v>
      </c>
      <c r="AC38" s="386">
        <f t="shared" si="14"/>
        <v>0</v>
      </c>
      <c r="AD38" s="386">
        <f t="shared" si="15"/>
        <v>0</v>
      </c>
      <c r="AE38" s="386">
        <f t="shared" si="16"/>
        <v>1.1828313575436162</v>
      </c>
      <c r="AF38" s="386">
        <f t="shared" si="17"/>
        <v>0</v>
      </c>
      <c r="AG38" s="386">
        <f t="shared" si="18"/>
        <v>0</v>
      </c>
      <c r="AH38" s="386">
        <f t="shared" si="19"/>
        <v>0</v>
      </c>
      <c r="AI38" s="386">
        <f t="shared" si="20"/>
        <v>0</v>
      </c>
      <c r="AJ38" s="386">
        <f t="shared" si="21"/>
        <v>11.241175732686745</v>
      </c>
      <c r="AK38" s="386">
        <f t="shared" si="22"/>
        <v>0.24009166052097622</v>
      </c>
      <c r="AL38" s="386">
        <f t="shared" si="23"/>
        <v>1.1286849271036621</v>
      </c>
      <c r="AM38" s="386">
        <f t="shared" si="24"/>
        <v>0</v>
      </c>
      <c r="AN38" s="386">
        <f t="shared" si="25"/>
        <v>1.4378182204391483</v>
      </c>
      <c r="AO38" s="386">
        <f t="shared" si="49"/>
        <v>6.4382366247304166</v>
      </c>
      <c r="AP38" s="386">
        <f t="shared" si="26"/>
        <v>7.8756692588438204E-2</v>
      </c>
      <c r="AQ38" s="386">
        <f t="shared" si="27"/>
        <v>0.61866666666666659</v>
      </c>
      <c r="AR38" s="386">
        <f t="shared" si="28"/>
        <v>0.70858451380036547</v>
      </c>
      <c r="AS38" s="386">
        <f t="shared" si="29"/>
        <v>0.9565450593282433</v>
      </c>
      <c r="AT38" s="386">
        <f t="shared" si="30"/>
        <v>0</v>
      </c>
      <c r="AU38" s="386">
        <f t="shared" si="31"/>
        <v>0.95039999999999991</v>
      </c>
      <c r="AV38" s="386">
        <f t="shared" si="32"/>
        <v>0.37909209555943613</v>
      </c>
      <c r="AW38" s="386">
        <f t="shared" si="33"/>
        <v>0.249</v>
      </c>
      <c r="AX38" s="386">
        <f t="shared" si="34"/>
        <v>0.14400000000000002</v>
      </c>
      <c r="AY38" s="386">
        <f t="shared" si="35"/>
        <v>1.2671999999999999</v>
      </c>
      <c r="AZ38" s="386">
        <f t="shared" si="36"/>
        <v>0.10439999999999998</v>
      </c>
      <c r="BA38" s="386">
        <f t="shared" si="57"/>
        <v>1.4112</v>
      </c>
      <c r="BB38" s="386">
        <f t="shared" si="58"/>
        <v>8.711505566761927</v>
      </c>
      <c r="BC38">
        <f t="shared" si="37"/>
        <v>139.19999999999999</v>
      </c>
      <c r="BD38" s="604">
        <f t="shared" si="51"/>
        <v>0.94110325945651419</v>
      </c>
      <c r="BE38" s="614">
        <f t="shared" si="38"/>
        <v>103.25411102195741</v>
      </c>
      <c r="BF38" s="614">
        <f t="shared" si="39"/>
        <v>51.110825690018267</v>
      </c>
      <c r="BG38" s="9"/>
      <c r="BH38" s="4">
        <f t="shared" si="52"/>
        <v>94.110325945651425</v>
      </c>
      <c r="BI38" s="386">
        <f t="shared" si="53"/>
        <v>2.3276073269589626</v>
      </c>
      <c r="BJ38" s="386">
        <f t="shared" si="54"/>
        <v>4.2796340917831301</v>
      </c>
      <c r="BK38" s="386">
        <f t="shared" si="40"/>
        <v>2.0650822204391481</v>
      </c>
      <c r="BL38" s="386">
        <f t="shared" si="41"/>
        <v>1.0222165138003654</v>
      </c>
      <c r="BM38" s="386">
        <f t="shared" si="55"/>
        <v>0.37909209555943613</v>
      </c>
      <c r="BR38">
        <v>9.9985429999999997</v>
      </c>
      <c r="BS38">
        <v>1.9350000000000001</v>
      </c>
      <c r="BT38">
        <v>5.117146</v>
      </c>
      <c r="BU38">
        <v>94.224527198076927</v>
      </c>
      <c r="BV38">
        <v>606.92116405899924</v>
      </c>
    </row>
    <row r="39" spans="1:74" x14ac:dyDescent="0.3">
      <c r="A39" s="23" t="s">
        <v>74</v>
      </c>
      <c r="B39" s="5">
        <f>Qg_Q1*1000000000</f>
        <v>11</v>
      </c>
      <c r="C39" s="482" t="s">
        <v>69</v>
      </c>
      <c r="D39" s="21" t="s">
        <v>103</v>
      </c>
      <c r="G39">
        <v>30</v>
      </c>
      <c r="H39" s="610">
        <f t="shared" si="0"/>
        <v>12</v>
      </c>
      <c r="I39" s="4" t="str">
        <f t="shared" si="1"/>
        <v>BOOST</v>
      </c>
      <c r="J39">
        <f t="shared" si="43"/>
        <v>2</v>
      </c>
      <c r="K39" s="386">
        <f t="shared" si="44"/>
        <v>3</v>
      </c>
      <c r="L39" s="4">
        <f t="shared" si="2"/>
        <v>13.333333333333332</v>
      </c>
      <c r="M39" s="4">
        <f t="shared" si="56"/>
        <v>12.150658709604775</v>
      </c>
      <c r="N39" s="386">
        <f t="shared" si="3"/>
        <v>1</v>
      </c>
      <c r="O39" s="386">
        <f t="shared" si="4"/>
        <v>0.75309980539338339</v>
      </c>
      <c r="P39" s="4">
        <f t="shared" si="5"/>
        <v>4.5038918327936956</v>
      </c>
      <c r="Q39" s="4">
        <f t="shared" si="6"/>
        <v>13.396574111114001</v>
      </c>
      <c r="R39" s="386">
        <f t="shared" si="7"/>
        <v>1.3966430741662601</v>
      </c>
      <c r="S39" s="386">
        <f t="shared" si="45"/>
        <v>1.0303235551810164</v>
      </c>
      <c r="T39" s="386">
        <f t="shared" si="46"/>
        <v>2.4269666293472767</v>
      </c>
      <c r="U39" s="4">
        <f t="shared" si="8"/>
        <v>5.7103527659293611</v>
      </c>
      <c r="V39" s="386">
        <f t="shared" si="9"/>
        <v>6.5216257422714211E-2</v>
      </c>
      <c r="W39" s="386">
        <f t="shared" si="47"/>
        <v>6.5216257422714211E-2</v>
      </c>
      <c r="X39" s="4">
        <f t="shared" si="10"/>
        <v>1.3001615810321987</v>
      </c>
      <c r="Y39" s="386">
        <f t="shared" si="11"/>
        <v>3.3808402735842932E-3</v>
      </c>
      <c r="Z39" s="603">
        <f t="shared" si="48"/>
        <v>3.3808402735842932E-3</v>
      </c>
      <c r="AA39" s="386">
        <f t="shared" si="12"/>
        <v>13.396574111114001</v>
      </c>
      <c r="AB39" s="386">
        <f t="shared" si="13"/>
        <v>1.0229687281130484</v>
      </c>
      <c r="AC39" s="386">
        <f t="shared" si="14"/>
        <v>0</v>
      </c>
      <c r="AD39" s="386">
        <f t="shared" si="15"/>
        <v>0</v>
      </c>
      <c r="AE39" s="386">
        <f t="shared" si="16"/>
        <v>1.2860959069447904</v>
      </c>
      <c r="AF39" s="386">
        <f t="shared" si="17"/>
        <v>0</v>
      </c>
      <c r="AG39" s="386">
        <f t="shared" si="18"/>
        <v>0</v>
      </c>
      <c r="AH39" s="386">
        <f t="shared" si="19"/>
        <v>0</v>
      </c>
      <c r="AI39" s="386">
        <f t="shared" si="20"/>
        <v>0</v>
      </c>
      <c r="AJ39" s="386">
        <f t="shared" si="21"/>
        <v>11.625724275233942</v>
      </c>
      <c r="AK39" s="386">
        <f t="shared" si="22"/>
        <v>0.25679918335515117</v>
      </c>
      <c r="AL39" s="386">
        <f t="shared" si="23"/>
        <v>1.1676050970037883</v>
      </c>
      <c r="AM39" s="386">
        <f t="shared" si="24"/>
        <v>0</v>
      </c>
      <c r="AN39" s="386">
        <f t="shared" si="25"/>
        <v>1.5015222161376951</v>
      </c>
      <c r="AO39" s="386">
        <f t="shared" si="49"/>
        <v>6.6566307536775762</v>
      </c>
      <c r="AP39" s="386">
        <f t="shared" si="26"/>
        <v>8.4190392682531576E-2</v>
      </c>
      <c r="AQ39" s="386">
        <f t="shared" si="27"/>
        <v>0.6399999999999999</v>
      </c>
      <c r="AR39" s="386">
        <f t="shared" si="28"/>
        <v>0.73659320695062314</v>
      </c>
      <c r="AS39" s="386">
        <f t="shared" si="29"/>
        <v>1.0229687281130484</v>
      </c>
      <c r="AT39" s="386">
        <f t="shared" si="30"/>
        <v>0</v>
      </c>
      <c r="AU39" s="386">
        <f t="shared" si="31"/>
        <v>0.95039999999999991</v>
      </c>
      <c r="AV39" s="386">
        <f t="shared" si="32"/>
        <v>0.40547239477129132</v>
      </c>
      <c r="AW39" s="386">
        <f t="shared" si="33"/>
        <v>0.249</v>
      </c>
      <c r="AX39" s="386">
        <f t="shared" si="34"/>
        <v>0.14400000000000002</v>
      </c>
      <c r="AY39" s="386">
        <f t="shared" si="35"/>
        <v>1.2671999999999999</v>
      </c>
      <c r="AZ39" s="386">
        <f t="shared" si="36"/>
        <v>0.10439999999999998</v>
      </c>
      <c r="BA39" s="386">
        <f t="shared" si="57"/>
        <v>1.4112</v>
      </c>
      <c r="BB39" s="386">
        <f t="shared" si="58"/>
        <v>9.0358474518479763</v>
      </c>
      <c r="BC39">
        <f t="shared" si="37"/>
        <v>144</v>
      </c>
      <c r="BD39" s="604">
        <f t="shared" si="51"/>
        <v>0.94095600735186524</v>
      </c>
      <c r="BE39" s="614">
        <f t="shared" si="38"/>
        <v>106.43931080688476</v>
      </c>
      <c r="BF39" s="614">
        <f t="shared" si="39"/>
        <v>52.511260347531149</v>
      </c>
      <c r="BG39" s="9"/>
      <c r="BH39" s="4">
        <f t="shared" si="52"/>
        <v>94.095600735186522</v>
      </c>
      <c r="BI39" s="386">
        <f t="shared" si="53"/>
        <v>2.4269666293472767</v>
      </c>
      <c r="BJ39" s="386">
        <f t="shared" si="54"/>
        <v>4.4746113300331087</v>
      </c>
      <c r="BK39" s="386">
        <f t="shared" si="40"/>
        <v>2.1287862161376951</v>
      </c>
      <c r="BL39" s="386">
        <f t="shared" si="41"/>
        <v>1.050225206950623</v>
      </c>
      <c r="BM39" s="386">
        <f t="shared" si="55"/>
        <v>0.40547239477129132</v>
      </c>
      <c r="BR39">
        <v>9.9985060000000008</v>
      </c>
      <c r="BS39">
        <v>2.31</v>
      </c>
      <c r="BT39">
        <v>5.1166349999999996</v>
      </c>
      <c r="BU39">
        <v>94.492663502717292</v>
      </c>
      <c r="BV39">
        <v>688.87413060200208</v>
      </c>
    </row>
    <row r="40" spans="1:74" x14ac:dyDescent="0.3">
      <c r="A40" s="23" t="s">
        <v>130</v>
      </c>
      <c r="B40" s="5">
        <f>Qgd_Q1*1000000000</f>
        <v>2.9</v>
      </c>
      <c r="C40" s="482" t="s">
        <v>69</v>
      </c>
      <c r="D40" s="21" t="s">
        <v>131</v>
      </c>
      <c r="G40">
        <v>31</v>
      </c>
      <c r="H40" s="610">
        <f t="shared" si="0"/>
        <v>12</v>
      </c>
      <c r="I40" s="4" t="str">
        <f t="shared" si="1"/>
        <v>BOOST</v>
      </c>
      <c r="J40">
        <f t="shared" si="43"/>
        <v>2</v>
      </c>
      <c r="K40" s="386">
        <f t="shared" si="44"/>
        <v>3.1</v>
      </c>
      <c r="L40" s="4">
        <f t="shared" si="2"/>
        <v>13.777777777777779</v>
      </c>
      <c r="M40" s="4">
        <f t="shared" si="56"/>
        <v>12.56094190626748</v>
      </c>
      <c r="N40" s="386">
        <f t="shared" si="3"/>
        <v>1</v>
      </c>
      <c r="O40" s="386">
        <f t="shared" si="4"/>
        <v>0.75320322129240913</v>
      </c>
      <c r="P40" s="4">
        <f t="shared" si="5"/>
        <v>4.5024983853109495</v>
      </c>
      <c r="Q40" s="4">
        <f t="shared" si="6"/>
        <v>13.838949916918233</v>
      </c>
      <c r="R40" s="386">
        <f t="shared" si="7"/>
        <v>1.5016685876445675</v>
      </c>
      <c r="S40" s="386">
        <f t="shared" si="45"/>
        <v>1.0295892592107829</v>
      </c>
      <c r="T40" s="386">
        <f t="shared" si="46"/>
        <v>2.5312578468553504</v>
      </c>
      <c r="U40" s="4">
        <f t="shared" si="8"/>
        <v>5.8723717227638872</v>
      </c>
      <c r="V40" s="386">
        <f t="shared" si="9"/>
        <v>6.8969499300633813E-2</v>
      </c>
      <c r="W40" s="386">
        <f t="shared" si="47"/>
        <v>6.8969499300633813E-2</v>
      </c>
      <c r="X40" s="4">
        <f t="shared" si="10"/>
        <v>1.2997593273925661</v>
      </c>
      <c r="Y40" s="386">
        <f t="shared" si="11"/>
        <v>3.3787486182879516E-3</v>
      </c>
      <c r="Z40" s="603">
        <f t="shared" si="48"/>
        <v>3.3787486182879516E-3</v>
      </c>
      <c r="AA40" s="386">
        <f t="shared" si="12"/>
        <v>13.838949916918233</v>
      </c>
      <c r="AB40" s="386">
        <f t="shared" si="13"/>
        <v>1.0916442483769357</v>
      </c>
      <c r="AC40" s="386">
        <f t="shared" si="14"/>
        <v>0</v>
      </c>
      <c r="AD40" s="386">
        <f t="shared" si="15"/>
        <v>0</v>
      </c>
      <c r="AE40" s="386">
        <f t="shared" si="16"/>
        <v>1.3965517953727691</v>
      </c>
      <c r="AF40" s="386">
        <f t="shared" si="17"/>
        <v>0</v>
      </c>
      <c r="AG40" s="386">
        <f t="shared" si="18"/>
        <v>0</v>
      </c>
      <c r="AH40" s="386">
        <f t="shared" si="19"/>
        <v>0</v>
      </c>
      <c r="AI40" s="386">
        <f t="shared" si="20"/>
        <v>0</v>
      </c>
      <c r="AJ40" s="386">
        <f t="shared" si="21"/>
        <v>12.010448407297609</v>
      </c>
      <c r="AK40" s="386">
        <f t="shared" si="22"/>
        <v>0.27407665479427956</v>
      </c>
      <c r="AL40" s="386">
        <f t="shared" si="23"/>
        <v>1.2065252669039146</v>
      </c>
      <c r="AM40" s="386">
        <f t="shared" si="24"/>
        <v>0</v>
      </c>
      <c r="AN40" s="386">
        <f t="shared" si="25"/>
        <v>1.566468405798638</v>
      </c>
      <c r="AO40" s="386">
        <f t="shared" si="49"/>
        <v>6.8750028260804008</v>
      </c>
      <c r="AP40" s="386">
        <f t="shared" si="26"/>
        <v>8.9804761331365654E-2</v>
      </c>
      <c r="AQ40" s="386">
        <f t="shared" si="27"/>
        <v>0.66133333333333344</v>
      </c>
      <c r="AR40" s="386">
        <f t="shared" si="28"/>
        <v>0.76487599591698208</v>
      </c>
      <c r="AS40" s="386">
        <f t="shared" si="29"/>
        <v>1.0916442483769357</v>
      </c>
      <c r="AT40" s="386">
        <f t="shared" si="30"/>
        <v>0</v>
      </c>
      <c r="AU40" s="386">
        <f t="shared" si="31"/>
        <v>0.95039999999999991</v>
      </c>
      <c r="AV40" s="386">
        <f t="shared" si="32"/>
        <v>0.43275261283307304</v>
      </c>
      <c r="AW40" s="386">
        <f t="shared" si="33"/>
        <v>0.249</v>
      </c>
      <c r="AX40" s="386">
        <f t="shared" si="34"/>
        <v>0.14400000000000002</v>
      </c>
      <c r="AY40" s="386">
        <f t="shared" si="35"/>
        <v>1.2671999999999999</v>
      </c>
      <c r="AZ40" s="386">
        <f t="shared" si="36"/>
        <v>0.10439999999999998</v>
      </c>
      <c r="BA40" s="386">
        <f t="shared" si="57"/>
        <v>1.4112</v>
      </c>
      <c r="BB40" s="386">
        <f t="shared" si="58"/>
        <v>9.3748549046957361</v>
      </c>
      <c r="BC40">
        <f t="shared" si="37"/>
        <v>148.80000000000001</v>
      </c>
      <c r="BD40" s="604">
        <f t="shared" si="51"/>
        <v>0.94073106682889451</v>
      </c>
      <c r="BE40" s="614">
        <f t="shared" si="38"/>
        <v>109.68662028993191</v>
      </c>
      <c r="BF40" s="614">
        <f t="shared" si="39"/>
        <v>53.925399795849103</v>
      </c>
      <c r="BG40" s="9"/>
      <c r="BH40" s="4">
        <f t="shared" si="52"/>
        <v>94.073106682889446</v>
      </c>
      <c r="BI40" s="386">
        <f t="shared" si="53"/>
        <v>2.5312578468553504</v>
      </c>
      <c r="BJ40" s="386">
        <f t="shared" si="54"/>
        <v>4.6782961970883887</v>
      </c>
      <c r="BK40" s="386">
        <f t="shared" si="40"/>
        <v>2.193732405798638</v>
      </c>
      <c r="BL40" s="386">
        <f t="shared" si="41"/>
        <v>1.0785079959169821</v>
      </c>
      <c r="BM40" s="386">
        <f t="shared" si="55"/>
        <v>0.43275261283307304</v>
      </c>
      <c r="BR40">
        <v>9.9984319999999993</v>
      </c>
      <c r="BS40">
        <v>2.7269999999999999</v>
      </c>
      <c r="BT40">
        <v>5.115812</v>
      </c>
      <c r="BU40">
        <v>94.558770424517263</v>
      </c>
      <c r="BV40">
        <v>802.77694931200062</v>
      </c>
    </row>
    <row r="41" spans="1:74" x14ac:dyDescent="0.3">
      <c r="A41" s="23" t="s">
        <v>148</v>
      </c>
      <c r="B41" s="5">
        <f>Qgs_Q1*1000000000</f>
        <v>3.3</v>
      </c>
      <c r="C41" s="482" t="s">
        <v>69</v>
      </c>
      <c r="D41" s="21"/>
      <c r="G41">
        <v>32</v>
      </c>
      <c r="H41" s="610">
        <f t="shared" ref="H41:H72" si="59">Vin</f>
        <v>12</v>
      </c>
      <c r="I41" s="4" t="str">
        <f t="shared" ref="I41:I72" si="60">IF(H41&gt;VIN_BB_to_buck, "BUCK", IF(H41&lt;VIN_boost_to_BB,"BOOST","BUCK-BST"))</f>
        <v>BOOST</v>
      </c>
      <c r="J41">
        <f t="shared" si="43"/>
        <v>2</v>
      </c>
      <c r="K41" s="386">
        <f t="shared" si="44"/>
        <v>3.2</v>
      </c>
      <c r="L41" s="4">
        <f t="shared" ref="L41:L72" si="61">Vout*K41/(Vin*Efficiency)</f>
        <v>14.222222222222223</v>
      </c>
      <c r="M41" s="4">
        <f t="shared" si="56"/>
        <v>12.971569393520465</v>
      </c>
      <c r="N41" s="386">
        <f t="shared" ref="N41:N72" si="62">CHOOSE(J41,(Vout+(Rdson2+Rs+Rdcr)*K41)/(Vin+(Rs+Rdson2-Rdson1)*K41), 1, IF(Vin&lt;Vout, D_max_buck_BB, Vout/Vin*(1-D_min_boost_exitBB_to_buck)))</f>
        <v>1</v>
      </c>
      <c r="O41" s="386">
        <f t="shared" ref="O41:O72" si="63">CHOOSE(J41,0,(Vout+(Rdson3+Rdcr)*L41-Vin)/(Vout+(Rdson3-Rdson4-Rs)*L41), IF(Vin&gt;Vout,D_min_boost_exitBB_to_buck, (Vout-Vin*D_max_buck_BB)/Vout))</f>
        <v>0.75330664294187422</v>
      </c>
      <c r="P41" s="4">
        <f t="shared" ref="P41:P72" si="64">MAX(0, CHOOSE(J41, (Vin-(Rdson1+Rdcr)*K41-Vout)*N41/(Fsw*Lf), (Vin-(Rdson4+Rdcr+Rs)*L41)*O41/(Fsw*Lf), IF(Vin&lt;Vout, (Vin-(Rdson4+Rdcr+Rs)*L41)*O41/(0.5*Fsw*Lf),(Vin-(Rdson1+Rdcr)*K41-Vout)*N41/(0.5*Fsw*Lf))))</f>
        <v>4.5011044197078203</v>
      </c>
      <c r="Q41" s="4">
        <f t="shared" ref="Q41:Q72" si="65">CHOOSE(J41, SQRT(K41^2+(P41^2)/12), SQRT(L41^2+(P41^2)/12), SQRT(M41^2+(P41^2)/12))</f>
        <v>14.28145417507257</v>
      </c>
      <c r="R41" s="386">
        <f t="shared" si="7"/>
        <v>1.6118173868973378</v>
      </c>
      <c r="S41" s="386">
        <f t="shared" si="45"/>
        <v>1.0288549866524217</v>
      </c>
      <c r="T41" s="386">
        <f t="shared" si="46"/>
        <v>2.6406723735497595</v>
      </c>
      <c r="U41" s="4">
        <f t="shared" ref="U41:U72" si="66">IF(Vin&gt;Vout, P41/SQRT(12), SQRT(O41/(1-O41))*SQRT(K41^2+(P41^2)/12))</f>
        <v>6.0352736285785378</v>
      </c>
      <c r="V41" s="386">
        <f t="shared" si="9"/>
        <v>7.2849055543631094E-2</v>
      </c>
      <c r="W41" s="386">
        <f t="shared" si="47"/>
        <v>7.2849055543631094E-2</v>
      </c>
      <c r="X41" s="4">
        <f t="shared" ref="X41:X72" si="67">IF(Vin&gt;Vout, SQRT(N41*(1-N41))*SQRT(K41^2+(P41^2)/12), P41/SQRT(12))</f>
        <v>1.2993569241844622</v>
      </c>
      <c r="Y41" s="386">
        <f t="shared" si="11"/>
        <v>3.3766568328522126E-3</v>
      </c>
      <c r="Z41" s="603">
        <f t="shared" si="48"/>
        <v>3.3766568328522126E-3</v>
      </c>
      <c r="AA41" s="386">
        <f t="shared" ref="AA41:AA72" si="68">CHOOSE(J41, SQRT(N41)*SQRT(K41^2+(P41^2)/12), SQRT(L41^2+(P41^2)/12), SQRT(N41)*SQRT(M41^2+(P41^2)/12))</f>
        <v>14.28145417507257</v>
      </c>
      <c r="AB41" s="386">
        <f t="shared" ref="AB41:AB72" si="69">Rdson1*AA41^2</f>
        <v>1.1625716201217771</v>
      </c>
      <c r="AC41" s="386">
        <f t="shared" ref="AC41:AC72" si="70">CHOOSE(J41, (Vin*K41/2)*(Fsw)*(Tr_buck+Tf_buck), 0, (Vin*K41/2)*(Fsw/2)*(Tr_buck+Tf_buck))</f>
        <v>0</v>
      </c>
      <c r="AD41" s="386">
        <f t="shared" ref="AD41:AD72" si="71">CHOOSE(J41, IF(K41&gt;P41/2,0,ABS(K41-P41/2)*Vsd_Q1*Deadtime*Fsw),0, IF(K41&gt;P41/2,0,ABS(K41-P41/2)*Vsd_Q1*Deadtime*Fsw/2))</f>
        <v>0</v>
      </c>
      <c r="AE41" s="386">
        <f t="shared" ref="AE41:AE72" si="72">(AD41+AC41+AB41*(1+RdsonTopTc*Ta-RdsonTopTc*25))/(1-AB41*RdsonTopTc*ThetaJA_Q1)</f>
        <v>1.5147795672458519</v>
      </c>
      <c r="AF41" s="386">
        <f t="shared" ref="AF41:AF72" si="73">CHOOSE(J41, SQRT((1-N41))*SQRT(K41^2+(P41^2)/12), 0, SQRT((1-N41))*SQRT(M41^2+(P41^2)/12))</f>
        <v>0</v>
      </c>
      <c r="AG41" s="386">
        <f t="shared" ref="AG41:AG72" si="74">Rdson2*AF41^2</f>
        <v>0</v>
      </c>
      <c r="AH41" s="386">
        <f t="shared" ref="AH41:AH72" si="75">CHOOSE(J41, IF(K41&lt;P41/2,Deadtime*Fsw*IF(VfdSky_Q2&gt;0,0,Vsd_Q2)*(K41+P41/2),2*Deadtime*Fsw*IF(VfdSky_Q2&gt;0,0,Vsd_Q2)*K41),0, IF(K41&lt;P41/2,Deadtime*Fsw/2*IF(VfdSky_Q2&gt;0,0,Vsd_Q2)*(K41+P41/2),2*Deadtime*Fsw/2*IF(VfdSky_Q2&gt;0,0,Vsd_Q2)*K41))</f>
        <v>0</v>
      </c>
      <c r="AI41" s="386">
        <f t="shared" ref="AI41:AI72" si="76">(AH41+AG41*(1+RdsonBotTc*Ta-RdsonBotTc*25))/(1-AG41*RdsonBotTc*ThetaJA_Q2)</f>
        <v>0</v>
      </c>
      <c r="AJ41" s="386">
        <f t="shared" ref="AJ41:AJ72" si="77">CHOOSE(J41, 0, SQRT(O41)*SQRT(L41^2+(P41^2)/12), SQRT(O41)*SQRT(M41^2+(P41^2)/12))</f>
        <v>12.395336731613053</v>
      </c>
      <c r="AK41" s="386">
        <f t="shared" ref="AK41:AK72" si="78">Rdson4*AJ41^2</f>
        <v>0.29192430811114395</v>
      </c>
      <c r="AL41" s="386">
        <f t="shared" ref="AL41:AL72" si="79">CHOOSE(J41, 0, (Vout*L41/2)*(Fsw)*(Tr_boost+Tf_boost), (Vout*Iout/2)*(Fsw/2)*(Tr_boost+Tf_boost))</f>
        <v>1.2454454368040411</v>
      </c>
      <c r="AM41" s="386">
        <f t="shared" ref="AM41:AM72" si="80">IF(H41&gt;Vout, 0, IF(L41&gt;P41/2,0,ABS(L41-P41/2)*Vsd_Q4*Deadtime*Fsw))</f>
        <v>0</v>
      </c>
      <c r="AN41" s="386">
        <f t="shared" ref="AN41:AN72" si="81">(AM41+AL41+AK41*(1+RdsonTopTc*Ta-RdsonTopTc*25))/(1-AK41*RdsonTopTc*ThetaJA_Q4)</f>
        <v>1.6326943803853757</v>
      </c>
      <c r="AO41" s="386">
        <f t="shared" si="49"/>
        <v>7.0933462247815022</v>
      </c>
      <c r="AP41" s="386">
        <f t="shared" ref="AP41:AP72" si="82">Rdson3*AO41^2</f>
        <v>9.559956526278178E-2</v>
      </c>
      <c r="AQ41" s="386">
        <f t="shared" ref="AQ41:AQ72" si="83">CHOOSE(J41, 0, IF(L41&lt;P41/2,Deadtime*Fsw*IF(VfdSky_Q3&gt;0,0,Vsd_Q3)*(L41+P41/2), 2*Deadtime*Fsw*IF(VfdSky_Q3&gt;0,0,Vsd_Q3)*L41), IF(L41&lt;P41/2,Deadtime*Fsw/2*IF(VfdSky_Q3&gt;0,0,Vsd_Q3)*(L41+P41/2), 2*Deadtime*Fsw/2*IF(VfdSky_Q3&gt;0,0,Vsd_Q3)*L41))</f>
        <v>0.68266666666666675</v>
      </c>
      <c r="AR41" s="386">
        <f t="shared" ref="AR41:AR72" si="84">(AQ41+AP41*(1+RdsonBotTc*Ta-RdsonBotTc*25))/(1-AP41*RdsonBotTc*ThetaJA_Q3)</f>
        <v>0.79343667211295799</v>
      </c>
      <c r="AS41" s="386">
        <f t="shared" ref="AS41:AS72" si="85">CHOOSE(J41, Rdson3*Q41^2, Rdson1*Q41^2, 0)</f>
        <v>1.1625716201217771</v>
      </c>
      <c r="AT41" s="386">
        <f t="shared" ref="AT41:AT72" si="86">CHOOSE(J41, 2*Deadtime*Fsw*IF(VfdSky_Q2&gt;0,VfdSky_Q2,0)*K41, 2*Deadtime*Fsw*IF(VfdSky_Q3&gt;0,VfdSky_Q3,0)*L41, 2*Deadtime*Fsw/2*IF(VfdSky_Q2&gt;0,VfdSky_Q2,0)*K41+2*Deadtime*Fsw/2*IF(VfdSky_Q3&gt;0,VfdSky_Q3,0)*L41)</f>
        <v>0</v>
      </c>
      <c r="AU41" s="386">
        <f t="shared" ref="AU41:AU72" si="87">CHOOSE(J41, IF(QrrSky_Q2&gt;0,QrrSky_Q2,Qrr_Q2*K41/Iout)*Fsw*(Vin-K41*Rdson1), IF(QrrSky_Q3&gt;0,QrrSky_Q3,Qrr_Q3)*Fsw*Vout,  IF(QrrSky_Q2&gt;0,QrrSky_Q2,Qrr_Q2*K41/Iout)*Fsw/2*(Vin-K41*Rdson1)+IF(QrrSky_Q3&gt;0,QrrSky_Q3,Qrr_Q3)*Fsw/2*Vout)</f>
        <v>0.95039999999999991</v>
      </c>
      <c r="AV41" s="386">
        <f t="shared" ref="AV41:AV72" si="88">CHOOSE(J41, Rs*AF41^2, Rs*AJ41^2, Rs*(AF41^2+AJ41^2))</f>
        <v>0.4609331180702273</v>
      </c>
      <c r="AW41" s="386">
        <f t="shared" si="33"/>
        <v>0.249</v>
      </c>
      <c r="AX41" s="386">
        <f t="shared" ref="AX41:AX72" si="89">IF(Vout&gt;8, Iq*Vout, Iq*Vin)</f>
        <v>0.14400000000000002</v>
      </c>
      <c r="AY41" s="386">
        <f t="shared" ref="AY41:AY72" si="90">CHOOSE(J41, (Qg_Q1+Qg_Q2)*Fsw, (Qg_Q3+Qg_Q4)*Fsw, (Qg_Q1+Qg_Q2+Qg_Q3+Qg_Q4)*Fsw/2)*IF(Vout&gt;8, Vout, Vin)</f>
        <v>1.2671999999999999</v>
      </c>
      <c r="AZ41" s="386">
        <f t="shared" si="36"/>
        <v>0.10439999999999998</v>
      </c>
      <c r="BA41" s="386">
        <f t="shared" si="57"/>
        <v>1.4112</v>
      </c>
      <c r="BB41" s="386">
        <f t="shared" si="58"/>
        <v>9.7293418237406577</v>
      </c>
      <c r="BC41">
        <f t="shared" ref="BC41:BC72" si="91">Vout*K41</f>
        <v>153.60000000000002</v>
      </c>
      <c r="BD41" s="604">
        <f t="shared" si="51"/>
        <v>0.94043114534655858</v>
      </c>
      <c r="BE41" s="614">
        <f t="shared" ref="BE41:BE72" si="92">IF(Vin&gt;Vout,ThetaJA_Q1*BK41,ThetaJA_Q4*BK41)</f>
        <v>112.99791901926879</v>
      </c>
      <c r="BF41" s="614">
        <f t="shared" ref="BF41:BF72" si="93">IF(Vin&gt;Vout, ThetaJA_Q2*BL41, ThetaJA_Q3*BL41)</f>
        <v>55.353433605647894</v>
      </c>
      <c r="BG41" s="9"/>
      <c r="BH41" s="4">
        <f t="shared" si="52"/>
        <v>94.043114534655857</v>
      </c>
      <c r="BI41" s="386">
        <f t="shared" si="53"/>
        <v>2.6406723735497595</v>
      </c>
      <c r="BJ41" s="386">
        <f t="shared" si="54"/>
        <v>4.8913106197441856</v>
      </c>
      <c r="BK41" s="386">
        <f t="shared" ref="BK41:BK72" si="94">IF(Vin&gt;Vout, AE41+AU41*0.66, AN41+AU41*0.66)</f>
        <v>2.2599583803853758</v>
      </c>
      <c r="BL41" s="386">
        <f t="shared" ref="BL41:BL72" si="95">IF(Vin&gt;Vout, AI41+AU41*0.33, AR41+AU41*0.33)</f>
        <v>1.1070686721129579</v>
      </c>
      <c r="BM41" s="386">
        <f t="shared" si="55"/>
        <v>0.4609331180702273</v>
      </c>
      <c r="BR41">
        <v>9.9985180000000007</v>
      </c>
      <c r="BS41">
        <v>3.1859999999999999</v>
      </c>
      <c r="BT41">
        <v>5.1148889999999998</v>
      </c>
      <c r="BU41">
        <v>94.58411932633652</v>
      </c>
      <c r="BV41">
        <v>933.10990806000302</v>
      </c>
    </row>
    <row r="42" spans="1:74" x14ac:dyDescent="0.3">
      <c r="A42" s="23" t="s">
        <v>94</v>
      </c>
      <c r="B42" s="5">
        <f>Rgate1</f>
        <v>1.5</v>
      </c>
      <c r="C42" s="486" t="s">
        <v>120</v>
      </c>
      <c r="D42" s="21" t="s">
        <v>104</v>
      </c>
      <c r="G42">
        <v>33</v>
      </c>
      <c r="H42" s="610">
        <f t="shared" si="59"/>
        <v>12</v>
      </c>
      <c r="I42" s="4" t="str">
        <f t="shared" si="60"/>
        <v>BOOST</v>
      </c>
      <c r="J42">
        <f t="shared" si="43"/>
        <v>2</v>
      </c>
      <c r="K42" s="386">
        <f t="shared" ref="K42:K73" si="96">Iout*G42/100</f>
        <v>3.3</v>
      </c>
      <c r="L42" s="4">
        <f t="shared" si="61"/>
        <v>14.666666666666664</v>
      </c>
      <c r="M42" s="4">
        <f t="shared" si="56"/>
        <v>13.382541633311156</v>
      </c>
      <c r="N42" s="386">
        <f t="shared" si="62"/>
        <v>1</v>
      </c>
      <c r="O42" s="386">
        <f t="shared" si="63"/>
        <v>0.75341007034225815</v>
      </c>
      <c r="P42" s="4">
        <f t="shared" si="64"/>
        <v>4.4997099359410928</v>
      </c>
      <c r="Q42" s="4">
        <f t="shared" si="65"/>
        <v>14.724075304414816</v>
      </c>
      <c r="R42" s="386">
        <f t="shared" si="7"/>
        <v>1.7272945816886973</v>
      </c>
      <c r="S42" s="386">
        <f t="shared" si="45"/>
        <v>1.0281207377858721</v>
      </c>
      <c r="T42" s="386">
        <f t="shared" si="46"/>
        <v>2.7554153194745696</v>
      </c>
      <c r="U42" s="4">
        <f t="shared" si="66"/>
        <v>6.1989973291495666</v>
      </c>
      <c r="V42" s="386">
        <f t="shared" si="9"/>
        <v>7.685513577360692E-2</v>
      </c>
      <c r="W42" s="386">
        <f t="shared" si="47"/>
        <v>7.685513577360692E-2</v>
      </c>
      <c r="X42" s="4">
        <f t="shared" si="67"/>
        <v>1.2989543713954119</v>
      </c>
      <c r="Y42" s="386">
        <f t="shared" si="11"/>
        <v>3.3745649179344993E-3</v>
      </c>
      <c r="Z42" s="603">
        <f t="shared" si="48"/>
        <v>3.3745649179344993E-3</v>
      </c>
      <c r="AA42" s="386">
        <f t="shared" si="68"/>
        <v>14.724075304414816</v>
      </c>
      <c r="AB42" s="386">
        <f t="shared" si="69"/>
        <v>1.235750843349446</v>
      </c>
      <c r="AC42" s="386">
        <f t="shared" si="70"/>
        <v>0</v>
      </c>
      <c r="AD42" s="386">
        <f t="shared" si="71"/>
        <v>0</v>
      </c>
      <c r="AE42" s="386">
        <f t="shared" si="72"/>
        <v>1.6414307235297658</v>
      </c>
      <c r="AF42" s="386">
        <f t="shared" si="73"/>
        <v>0</v>
      </c>
      <c r="AG42" s="386">
        <f t="shared" si="74"/>
        <v>0</v>
      </c>
      <c r="AH42" s="386">
        <f t="shared" si="75"/>
        <v>0</v>
      </c>
      <c r="AI42" s="386">
        <f t="shared" si="76"/>
        <v>0</v>
      </c>
      <c r="AJ42" s="386">
        <f t="shared" si="77"/>
        <v>12.780379217758808</v>
      </c>
      <c r="AK42" s="386">
        <f t="shared" si="78"/>
        <v>0.31034237660447034</v>
      </c>
      <c r="AL42" s="386">
        <f t="shared" si="79"/>
        <v>1.2843656067041671</v>
      </c>
      <c r="AM42" s="386">
        <f t="shared" si="80"/>
        <v>0</v>
      </c>
      <c r="AN42" s="386">
        <f t="shared" si="81"/>
        <v>1.7002392406569704</v>
      </c>
      <c r="AO42" s="386">
        <f t="shared" si="49"/>
        <v>7.3116551218145558</v>
      </c>
      <c r="AP42" s="386">
        <f t="shared" si="82"/>
        <v>0.10157457117867835</v>
      </c>
      <c r="AQ42" s="386">
        <f t="shared" si="83"/>
        <v>0.70399999999999985</v>
      </c>
      <c r="AR42" s="386">
        <f t="shared" si="84"/>
        <v>0.82227910058489828</v>
      </c>
      <c r="AS42" s="386">
        <f t="shared" si="85"/>
        <v>1.235750843349446</v>
      </c>
      <c r="AT42" s="386">
        <f t="shared" si="86"/>
        <v>0</v>
      </c>
      <c r="AU42" s="386">
        <f t="shared" si="87"/>
        <v>0.95039999999999991</v>
      </c>
      <c r="AV42" s="386">
        <f t="shared" si="88"/>
        <v>0.49001427884916376</v>
      </c>
      <c r="AW42" s="386">
        <f t="shared" si="33"/>
        <v>0.249</v>
      </c>
      <c r="AX42" s="386">
        <f t="shared" si="89"/>
        <v>0.14400000000000002</v>
      </c>
      <c r="AY42" s="386">
        <f t="shared" si="90"/>
        <v>1.2671999999999999</v>
      </c>
      <c r="AZ42" s="386">
        <f t="shared" si="36"/>
        <v>0.10439999999999998</v>
      </c>
      <c r="BA42" s="386">
        <f t="shared" si="57"/>
        <v>1.4112</v>
      </c>
      <c r="BB42" s="386">
        <f t="shared" si="58"/>
        <v>10.100208363786912</v>
      </c>
      <c r="BC42">
        <f t="shared" si="91"/>
        <v>158.39999999999998</v>
      </c>
      <c r="BD42" s="604">
        <f t="shared" si="51"/>
        <v>0.9400581847235413</v>
      </c>
      <c r="BE42" s="614">
        <f t="shared" si="92"/>
        <v>116.37516203284852</v>
      </c>
      <c r="BF42" s="614">
        <f t="shared" si="93"/>
        <v>56.795555029244916</v>
      </c>
      <c r="BG42" s="9"/>
      <c r="BH42" s="4">
        <f t="shared" si="52"/>
        <v>94.005818472354136</v>
      </c>
      <c r="BI42" s="386">
        <f t="shared" si="53"/>
        <v>2.7554153194745696</v>
      </c>
      <c r="BJ42" s="386">
        <f t="shared" si="54"/>
        <v>5.114349064771635</v>
      </c>
      <c r="BK42" s="386">
        <f t="shared" si="94"/>
        <v>2.3275032406569705</v>
      </c>
      <c r="BL42" s="386">
        <f t="shared" si="95"/>
        <v>1.1359111005848983</v>
      </c>
      <c r="BM42" s="386">
        <f t="shared" si="55"/>
        <v>0.49001427884916376</v>
      </c>
      <c r="BR42">
        <v>9.9984190000000002</v>
      </c>
      <c r="BS42">
        <v>3.6920000000000002</v>
      </c>
      <c r="BT42">
        <v>5.1137540000000001</v>
      </c>
      <c r="BU42">
        <v>94.441363374789603</v>
      </c>
      <c r="BV42">
        <v>1111.2391205219994</v>
      </c>
    </row>
    <row r="43" spans="1:74" x14ac:dyDescent="0.3">
      <c r="A43" s="23" t="s">
        <v>73</v>
      </c>
      <c r="B43" s="5">
        <f>Gfs_Q1</f>
        <v>60</v>
      </c>
      <c r="C43" s="482" t="s">
        <v>70</v>
      </c>
      <c r="D43" s="21" t="s">
        <v>105</v>
      </c>
      <c r="G43">
        <v>34</v>
      </c>
      <c r="H43" s="610">
        <f t="shared" si="59"/>
        <v>12</v>
      </c>
      <c r="I43" s="4" t="str">
        <f t="shared" si="60"/>
        <v>BOOST</v>
      </c>
      <c r="J43">
        <f t="shared" si="43"/>
        <v>2</v>
      </c>
      <c r="K43" s="386">
        <f t="shared" si="96"/>
        <v>3.4</v>
      </c>
      <c r="L43" s="4">
        <f t="shared" si="61"/>
        <v>15.111111111111109</v>
      </c>
      <c r="M43" s="4">
        <f t="shared" si="56"/>
        <v>13.793859088413786</v>
      </c>
      <c r="N43" s="386">
        <f t="shared" si="62"/>
        <v>1</v>
      </c>
      <c r="O43" s="386">
        <f t="shared" si="63"/>
        <v>0.75351350349404067</v>
      </c>
      <c r="P43" s="4">
        <f t="shared" si="64"/>
        <v>4.4983149339675448</v>
      </c>
      <c r="Q43" s="4">
        <f t="shared" si="65"/>
        <v>15.166803072811419</v>
      </c>
      <c r="R43" s="386">
        <f t="shared" si="7"/>
        <v>1.8483200671795927</v>
      </c>
      <c r="S43" s="386">
        <f t="shared" si="45"/>
        <v>1.0273865128911621</v>
      </c>
      <c r="T43" s="386">
        <f t="shared" si="46"/>
        <v>2.8757065800707551</v>
      </c>
      <c r="U43" s="4">
        <f t="shared" si="66"/>
        <v>6.3634876438805872</v>
      </c>
      <c r="V43" s="386">
        <f t="shared" si="9"/>
        <v>8.0987949987641819E-2</v>
      </c>
      <c r="W43" s="386">
        <f t="shared" si="47"/>
        <v>8.0987949987641819E-2</v>
      </c>
      <c r="X43" s="4">
        <f t="shared" si="67"/>
        <v>1.2985516690129379</v>
      </c>
      <c r="Y43" s="386">
        <f t="shared" si="11"/>
        <v>3.3724728741925739E-3</v>
      </c>
      <c r="Z43" s="603">
        <f t="shared" si="48"/>
        <v>3.3724728741925739E-3</v>
      </c>
      <c r="AA43" s="386">
        <f t="shared" si="68"/>
        <v>15.166803072811419</v>
      </c>
      <c r="AB43" s="386">
        <f t="shared" si="69"/>
        <v>1.3111819180618189</v>
      </c>
      <c r="AC43" s="386">
        <f t="shared" si="70"/>
        <v>0</v>
      </c>
      <c r="AD43" s="386">
        <f t="shared" si="71"/>
        <v>0</v>
      </c>
      <c r="AE43" s="386">
        <f t="shared" si="72"/>
        <v>1.7772385204923102</v>
      </c>
      <c r="AF43" s="386">
        <f t="shared" si="73"/>
        <v>0</v>
      </c>
      <c r="AG43" s="386">
        <f t="shared" si="74"/>
        <v>0</v>
      </c>
      <c r="AH43" s="386">
        <f t="shared" si="75"/>
        <v>0</v>
      </c>
      <c r="AI43" s="386">
        <f t="shared" si="76"/>
        <v>0</v>
      </c>
      <c r="AJ43" s="386">
        <f t="shared" si="77"/>
        <v>13.165567003579978</v>
      </c>
      <c r="AK43" s="386">
        <f t="shared" si="78"/>
        <v>0.32933109359893237</v>
      </c>
      <c r="AL43" s="386">
        <f t="shared" si="79"/>
        <v>1.3232857766042934</v>
      </c>
      <c r="AM43" s="386">
        <f t="shared" si="80"/>
        <v>0</v>
      </c>
      <c r="AN43" s="386">
        <f t="shared" si="81"/>
        <v>1.7691436744085458</v>
      </c>
      <c r="AO43" s="386">
        <f t="shared" si="49"/>
        <v>7.5299243637428388</v>
      </c>
      <c r="AP43" s="386">
        <f t="shared" si="82"/>
        <v>0.10772954575500719</v>
      </c>
      <c r="AQ43" s="386">
        <f t="shared" si="83"/>
        <v>0.72533333333333327</v>
      </c>
      <c r="AR43" s="386">
        <f t="shared" si="84"/>
        <v>0.85140722173842298</v>
      </c>
      <c r="AS43" s="386">
        <f t="shared" si="85"/>
        <v>1.3111819180618189</v>
      </c>
      <c r="AT43" s="386">
        <f t="shared" si="86"/>
        <v>0</v>
      </c>
      <c r="AU43" s="386">
        <f t="shared" si="87"/>
        <v>0.95039999999999991</v>
      </c>
      <c r="AV43" s="386">
        <f t="shared" si="88"/>
        <v>0.51999646357726159</v>
      </c>
      <c r="AW43" s="386">
        <f t="shared" si="33"/>
        <v>0.249</v>
      </c>
      <c r="AX43" s="386">
        <f t="shared" si="89"/>
        <v>0.14400000000000002</v>
      </c>
      <c r="AY43" s="386">
        <f t="shared" si="90"/>
        <v>1.2671999999999999</v>
      </c>
      <c r="AZ43" s="386">
        <f t="shared" si="36"/>
        <v>0.10439999999999998</v>
      </c>
      <c r="BA43" s="386">
        <f t="shared" si="57"/>
        <v>1.4112</v>
      </c>
      <c r="BB43" s="386">
        <f t="shared" si="58"/>
        <v>10.488452883149128</v>
      </c>
      <c r="BC43">
        <f t="shared" si="91"/>
        <v>163.19999999999999</v>
      </c>
      <c r="BD43" s="604">
        <f t="shared" si="51"/>
        <v>0.93961341292961276</v>
      </c>
      <c r="BE43" s="614">
        <f t="shared" si="92"/>
        <v>119.82038372042729</v>
      </c>
      <c r="BF43" s="614">
        <f t="shared" si="93"/>
        <v>58.251961086921142</v>
      </c>
      <c r="BG43" s="9"/>
      <c r="BH43" s="4">
        <f t="shared" si="52"/>
        <v>93.961341292961279</v>
      </c>
      <c r="BI43" s="386">
        <f t="shared" si="53"/>
        <v>2.8757065800707551</v>
      </c>
      <c r="BJ43" s="386">
        <f t="shared" si="54"/>
        <v>5.3481894166392792</v>
      </c>
      <c r="BK43" s="386">
        <f t="shared" si="94"/>
        <v>2.3964076744085459</v>
      </c>
      <c r="BL43" s="386">
        <f t="shared" si="95"/>
        <v>1.1650392217384229</v>
      </c>
      <c r="BM43" s="386">
        <f t="shared" si="55"/>
        <v>0.51999646357726159</v>
      </c>
      <c r="BR43">
        <v>9.998246</v>
      </c>
      <c r="BS43">
        <v>4.2430000000000003</v>
      </c>
      <c r="BT43">
        <v>5.1120590000000004</v>
      </c>
      <c r="BU43">
        <v>94.267178615859891</v>
      </c>
      <c r="BV43">
        <v>1319.0970775599953</v>
      </c>
    </row>
    <row r="44" spans="1:74" x14ac:dyDescent="0.3">
      <c r="A44" s="23" t="s">
        <v>96</v>
      </c>
      <c r="B44" s="5">
        <f>Vth_Q1</f>
        <v>4</v>
      </c>
      <c r="C44" s="482" t="s">
        <v>0</v>
      </c>
      <c r="D44" s="21" t="s">
        <v>106</v>
      </c>
      <c r="G44">
        <v>35</v>
      </c>
      <c r="H44" s="610">
        <f t="shared" si="59"/>
        <v>12</v>
      </c>
      <c r="I44" s="4" t="str">
        <f t="shared" si="60"/>
        <v>BOOST</v>
      </c>
      <c r="J44">
        <f t="shared" si="43"/>
        <v>2</v>
      </c>
      <c r="K44" s="386">
        <f t="shared" si="96"/>
        <v>3.5</v>
      </c>
      <c r="L44" s="4">
        <f t="shared" si="61"/>
        <v>15.555555555555555</v>
      </c>
      <c r="M44" s="4">
        <f t="shared" si="56"/>
        <v>14.20552222243121</v>
      </c>
      <c r="N44" s="386">
        <f t="shared" si="62"/>
        <v>1</v>
      </c>
      <c r="O44" s="386">
        <f t="shared" si="63"/>
        <v>0.75361694239770149</v>
      </c>
      <c r="P44" s="4">
        <f t="shared" si="64"/>
        <v>4.4969194137439512</v>
      </c>
      <c r="Q44" s="4">
        <f t="shared" si="65"/>
        <v>15.609628406631517</v>
      </c>
      <c r="R44" s="386">
        <f t="shared" si="7"/>
        <v>1.9751297027648353</v>
      </c>
      <c r="S44" s="386">
        <f t="shared" si="45"/>
        <v>1.0266523122484081</v>
      </c>
      <c r="T44" s="386">
        <f t="shared" si="46"/>
        <v>3.0017820150132435</v>
      </c>
      <c r="U44" s="4">
        <f t="shared" si="66"/>
        <v>6.5286946841936073</v>
      </c>
      <c r="V44" s="386">
        <f t="shared" si="9"/>
        <v>8.5247708558835733E-2</v>
      </c>
      <c r="W44" s="386">
        <f t="shared" si="47"/>
        <v>8.5247708558835733E-2</v>
      </c>
      <c r="X44" s="4">
        <f t="shared" si="67"/>
        <v>1.2981488170245623</v>
      </c>
      <c r="Y44" s="386">
        <f t="shared" si="11"/>
        <v>3.3703807022845414E-3</v>
      </c>
      <c r="Z44" s="603">
        <f t="shared" si="48"/>
        <v>3.3703807022845414E-3</v>
      </c>
      <c r="AA44" s="386">
        <f t="shared" si="68"/>
        <v>15.609628406631517</v>
      </c>
      <c r="AB44" s="386">
        <f t="shared" si="69"/>
        <v>1.3888648442607703</v>
      </c>
      <c r="AC44" s="386">
        <f t="shared" si="70"/>
        <v>0</v>
      </c>
      <c r="AD44" s="386">
        <f t="shared" si="71"/>
        <v>0</v>
      </c>
      <c r="AE44" s="386">
        <f t="shared" si="72"/>
        <v>1.9230308259903084</v>
      </c>
      <c r="AF44" s="386">
        <f t="shared" si="73"/>
        <v>0</v>
      </c>
      <c r="AG44" s="386">
        <f t="shared" si="74"/>
        <v>0</v>
      </c>
      <c r="AH44" s="386">
        <f t="shared" si="75"/>
        <v>0</v>
      </c>
      <c r="AI44" s="386">
        <f t="shared" si="76"/>
        <v>0</v>
      </c>
      <c r="AJ44" s="386">
        <f t="shared" si="77"/>
        <v>13.550892230192501</v>
      </c>
      <c r="AK44" s="386">
        <f t="shared" si="78"/>
        <v>0.3488906924451538</v>
      </c>
      <c r="AL44" s="386">
        <f t="shared" si="79"/>
        <v>1.3622059465044198</v>
      </c>
      <c r="AM44" s="386">
        <f t="shared" si="80"/>
        <v>0</v>
      </c>
      <c r="AN44" s="386">
        <f t="shared" si="81"/>
        <v>1.8394500384781554</v>
      </c>
      <c r="AO44" s="386">
        <f t="shared" si="49"/>
        <v>7.7481493763882794</v>
      </c>
      <c r="AP44" s="386">
        <f t="shared" si="82"/>
        <v>0.11406425564176956</v>
      </c>
      <c r="AQ44" s="386">
        <f t="shared" si="83"/>
        <v>0.7466666666666667</v>
      </c>
      <c r="AR44" s="386">
        <f t="shared" si="84"/>
        <v>0.88082505311527959</v>
      </c>
      <c r="AS44" s="386">
        <f t="shared" si="85"/>
        <v>1.3888648442607703</v>
      </c>
      <c r="AT44" s="386">
        <f t="shared" si="86"/>
        <v>0</v>
      </c>
      <c r="AU44" s="386">
        <f t="shared" si="87"/>
        <v>0.95039999999999991</v>
      </c>
      <c r="AV44" s="386">
        <f t="shared" si="88"/>
        <v>0.55088004070287444</v>
      </c>
      <c r="AW44" s="386">
        <f t="shared" si="33"/>
        <v>0.249</v>
      </c>
      <c r="AX44" s="386">
        <f t="shared" si="89"/>
        <v>0.14400000000000002</v>
      </c>
      <c r="AY44" s="386">
        <f t="shared" si="90"/>
        <v>1.2671999999999999</v>
      </c>
      <c r="AZ44" s="386">
        <f t="shared" si="36"/>
        <v>0.10439999999999998</v>
      </c>
      <c r="BA44" s="386">
        <f t="shared" si="57"/>
        <v>1.4112</v>
      </c>
      <c r="BB44" s="386">
        <f t="shared" si="58"/>
        <v>10.895186062560983</v>
      </c>
      <c r="BC44">
        <f t="shared" si="91"/>
        <v>168</v>
      </c>
      <c r="BD44" s="604">
        <f t="shared" si="51"/>
        <v>0.93909737705993468</v>
      </c>
      <c r="BE44" s="614">
        <f t="shared" si="92"/>
        <v>123.33570192390778</v>
      </c>
      <c r="BF44" s="614">
        <f t="shared" si="93"/>
        <v>59.72285265576398</v>
      </c>
      <c r="BG44" s="9"/>
      <c r="BH44" s="4">
        <f t="shared" si="52"/>
        <v>93.909737705993464</v>
      </c>
      <c r="BI44" s="386">
        <f t="shared" si="53"/>
        <v>3.0017820150132435</v>
      </c>
      <c r="BJ44" s="386">
        <f t="shared" si="54"/>
        <v>5.593705917583744</v>
      </c>
      <c r="BK44" s="386">
        <f t="shared" si="94"/>
        <v>2.4667140384781554</v>
      </c>
      <c r="BL44" s="386">
        <f t="shared" si="95"/>
        <v>1.1944570531152796</v>
      </c>
      <c r="BM44" s="386">
        <f t="shared" si="55"/>
        <v>0.55088004070287444</v>
      </c>
      <c r="BR44">
        <v>9.9981469999999995</v>
      </c>
      <c r="BS44">
        <v>4.8490000000000002</v>
      </c>
      <c r="BT44">
        <v>5.1107740000000002</v>
      </c>
      <c r="BU44">
        <v>93.953815994681278</v>
      </c>
      <c r="BV44">
        <v>1594.7983209009985</v>
      </c>
    </row>
    <row r="45" spans="1:74" x14ac:dyDescent="0.3">
      <c r="A45" s="28" t="s">
        <v>147</v>
      </c>
      <c r="B45" s="489">
        <f>Vsp_Q1</f>
        <v>4.166666666666667</v>
      </c>
      <c r="C45" s="487" t="s">
        <v>0</v>
      </c>
      <c r="G45">
        <v>36</v>
      </c>
      <c r="H45" s="610">
        <f t="shared" si="59"/>
        <v>12</v>
      </c>
      <c r="I45" s="4" t="str">
        <f t="shared" si="60"/>
        <v>BOOST</v>
      </c>
      <c r="J45">
        <f t="shared" si="43"/>
        <v>2</v>
      </c>
      <c r="K45" s="386">
        <f t="shared" si="96"/>
        <v>3.6</v>
      </c>
      <c r="L45" s="4">
        <f t="shared" si="61"/>
        <v>16</v>
      </c>
      <c r="M45" s="4">
        <f t="shared" si="56"/>
        <v>14.61753149979678</v>
      </c>
      <c r="N45" s="386">
        <f t="shared" si="62"/>
        <v>1</v>
      </c>
      <c r="O45" s="386">
        <f t="shared" si="63"/>
        <v>0.75372038705372046</v>
      </c>
      <c r="P45" s="4">
        <f t="shared" si="64"/>
        <v>4.49552337522708</v>
      </c>
      <c r="Q45" s="4">
        <f t="shared" si="65"/>
        <v>16.052543231570329</v>
      </c>
      <c r="R45" s="386">
        <f t="shared" si="7"/>
        <v>2.1079766131634514</v>
      </c>
      <c r="S45" s="386">
        <f t="shared" si="45"/>
        <v>1.0259181361378142</v>
      </c>
      <c r="T45" s="386">
        <f t="shared" si="46"/>
        <v>3.1338947493012657</v>
      </c>
      <c r="U45" s="4">
        <f t="shared" si="66"/>
        <v>6.6945732588847688</v>
      </c>
      <c r="V45" s="386">
        <f t="shared" si="9"/>
        <v>8.9634622237150074E-2</v>
      </c>
      <c r="W45" s="386">
        <f t="shared" si="47"/>
        <v>8.9634622237150074E-2</v>
      </c>
      <c r="X45" s="4">
        <f t="shared" si="67"/>
        <v>1.297745815417805</v>
      </c>
      <c r="Y45" s="386">
        <f t="shared" si="11"/>
        <v>3.3682884028688469E-3</v>
      </c>
      <c r="Z45" s="603">
        <f t="shared" si="48"/>
        <v>3.3682884028688469E-3</v>
      </c>
      <c r="AA45" s="386">
        <f t="shared" si="68"/>
        <v>16.052543231570329</v>
      </c>
      <c r="AB45" s="386">
        <f t="shared" si="69"/>
        <v>1.468799621948176</v>
      </c>
      <c r="AC45" s="386">
        <f t="shared" si="70"/>
        <v>0</v>
      </c>
      <c r="AD45" s="386">
        <f t="shared" si="71"/>
        <v>0</v>
      </c>
      <c r="AE45" s="386">
        <f t="shared" si="72"/>
        <v>2.0797455039333084</v>
      </c>
      <c r="AF45" s="386">
        <f t="shared" si="73"/>
        <v>0</v>
      </c>
      <c r="AG45" s="386">
        <f t="shared" si="74"/>
        <v>0</v>
      </c>
      <c r="AH45" s="386">
        <f t="shared" si="75"/>
        <v>0</v>
      </c>
      <c r="AI45" s="386">
        <f t="shared" si="76"/>
        <v>0</v>
      </c>
      <c r="AJ45" s="386">
        <f t="shared" si="77"/>
        <v>13.936347904135856</v>
      </c>
      <c r="AK45" s="386">
        <f t="shared" si="78"/>
        <v>0.36902140651971249</v>
      </c>
      <c r="AL45" s="386">
        <f t="shared" si="79"/>
        <v>1.4011261164045461</v>
      </c>
      <c r="AM45" s="386">
        <f t="shared" si="80"/>
        <v>0</v>
      </c>
      <c r="AN45" s="386">
        <f t="shared" si="81"/>
        <v>1.911202445867874</v>
      </c>
      <c r="AO45" s="386">
        <f t="shared" si="49"/>
        <v>7.9663260852366911</v>
      </c>
      <c r="AP45" s="386">
        <f t="shared" si="82"/>
        <v>0.12057846746301283</v>
      </c>
      <c r="AQ45" s="386">
        <f t="shared" si="83"/>
        <v>0.76800000000000002</v>
      </c>
      <c r="AR45" s="386">
        <f t="shared" si="84"/>
        <v>0.9105366912222983</v>
      </c>
      <c r="AS45" s="386">
        <f t="shared" si="85"/>
        <v>1.468799621948176</v>
      </c>
      <c r="AT45" s="386">
        <f t="shared" si="86"/>
        <v>0</v>
      </c>
      <c r="AU45" s="386">
        <f t="shared" si="87"/>
        <v>0.95039999999999991</v>
      </c>
      <c r="AV45" s="386">
        <f t="shared" si="88"/>
        <v>0.58266537871533552</v>
      </c>
      <c r="AW45" s="386">
        <f t="shared" si="33"/>
        <v>0.249</v>
      </c>
      <c r="AX45" s="386">
        <f t="shared" si="89"/>
        <v>0.14400000000000002</v>
      </c>
      <c r="AY45" s="386">
        <f t="shared" si="90"/>
        <v>1.2671999999999999</v>
      </c>
      <c r="AZ45" s="386">
        <f t="shared" si="36"/>
        <v>0.10439999999999998</v>
      </c>
      <c r="BA45" s="386">
        <f t="shared" si="57"/>
        <v>1.4112</v>
      </c>
      <c r="BB45" s="386">
        <f t="shared" si="58"/>
        <v>11.321647679680101</v>
      </c>
      <c r="BC45">
        <f t="shared" si="91"/>
        <v>172.8</v>
      </c>
      <c r="BD45" s="604">
        <f t="shared" si="51"/>
        <v>0.93850995891924349</v>
      </c>
      <c r="BE45" s="614">
        <f t="shared" si="92"/>
        <v>126.9233222933937</v>
      </c>
      <c r="BF45" s="614">
        <f t="shared" si="93"/>
        <v>61.208434561114913</v>
      </c>
      <c r="BG45" s="9"/>
      <c r="BH45" s="4">
        <f t="shared" si="52"/>
        <v>93.850995891924356</v>
      </c>
      <c r="BI45" s="386">
        <f t="shared" si="53"/>
        <v>3.1338947493012657</v>
      </c>
      <c r="BJ45" s="386">
        <f t="shared" si="54"/>
        <v>5.8518846410234806</v>
      </c>
      <c r="BK45" s="386">
        <f t="shared" si="94"/>
        <v>2.5384664458678738</v>
      </c>
      <c r="BL45" s="386">
        <f t="shared" si="95"/>
        <v>1.2241686912222982</v>
      </c>
      <c r="BM45" s="386">
        <f t="shared" si="55"/>
        <v>0.58266537871533552</v>
      </c>
      <c r="BR45">
        <v>9.9979859999999992</v>
      </c>
      <c r="BS45">
        <v>5.4960000000000004</v>
      </c>
      <c r="BT45">
        <v>5.1097890000000001</v>
      </c>
      <c r="BU45">
        <v>93.599771362833366</v>
      </c>
      <c r="BV45">
        <v>1920.3056923499939</v>
      </c>
    </row>
    <row r="46" spans="1:74" x14ac:dyDescent="0.3">
      <c r="A46" s="77" t="s">
        <v>239</v>
      </c>
      <c r="B46" s="5">
        <f>Vsd_Q1</f>
        <v>0.8</v>
      </c>
      <c r="C46" s="487" t="s">
        <v>0</v>
      </c>
      <c r="G46">
        <v>37</v>
      </c>
      <c r="H46" s="610">
        <f t="shared" si="59"/>
        <v>12</v>
      </c>
      <c r="I46" s="4" t="str">
        <f t="shared" si="60"/>
        <v>BOOST</v>
      </c>
      <c r="J46">
        <f t="shared" si="43"/>
        <v>2</v>
      </c>
      <c r="K46" s="386">
        <f t="shared" si="96"/>
        <v>3.7</v>
      </c>
      <c r="L46" s="4">
        <f t="shared" si="61"/>
        <v>16.444444444444446</v>
      </c>
      <c r="M46" s="4">
        <f t="shared" si="56"/>
        <v>15.029887385776204</v>
      </c>
      <c r="N46" s="386">
        <f t="shared" si="62"/>
        <v>1</v>
      </c>
      <c r="O46" s="386">
        <f t="shared" si="63"/>
        <v>0.75382383746257742</v>
      </c>
      <c r="P46" s="4">
        <f t="shared" si="64"/>
        <v>4.4941268183736964</v>
      </c>
      <c r="Q46" s="4">
        <f t="shared" si="65"/>
        <v>16.495540338974106</v>
      </c>
      <c r="R46" s="386">
        <f t="shared" si="7"/>
        <v>2.2471326263757865</v>
      </c>
      <c r="S46" s="386">
        <f t="shared" si="45"/>
        <v>1.0251839848396755</v>
      </c>
      <c r="T46" s="386">
        <f t="shared" si="46"/>
        <v>3.2723166112154622</v>
      </c>
      <c r="U46" s="4">
        <f t="shared" si="66"/>
        <v>6.8610823544923232</v>
      </c>
      <c r="V46" s="386">
        <f t="shared" si="9"/>
        <v>9.4148902150251845E-2</v>
      </c>
      <c r="W46" s="386">
        <f t="shared" si="47"/>
        <v>9.4148902150251845E-2</v>
      </c>
      <c r="X46" s="4">
        <f t="shared" si="67"/>
        <v>1.2973426641801851</v>
      </c>
      <c r="Y46" s="386">
        <f t="shared" si="11"/>
        <v>3.3661959766042807E-3</v>
      </c>
      <c r="Z46" s="603">
        <f t="shared" si="48"/>
        <v>3.3661959766042807E-3</v>
      </c>
      <c r="AA46" s="386">
        <f t="shared" si="68"/>
        <v>16.495540338974106</v>
      </c>
      <c r="AB46" s="386">
        <f t="shared" si="69"/>
        <v>1.5509862511259154</v>
      </c>
      <c r="AC46" s="386">
        <f t="shared" si="70"/>
        <v>0</v>
      </c>
      <c r="AD46" s="386">
        <f t="shared" si="71"/>
        <v>0</v>
      </c>
      <c r="AE46" s="386">
        <f t="shared" si="72"/>
        <v>2.2484489249024131</v>
      </c>
      <c r="AF46" s="386">
        <f t="shared" si="73"/>
        <v>0</v>
      </c>
      <c r="AG46" s="386">
        <f t="shared" si="74"/>
        <v>0</v>
      </c>
      <c r="AH46" s="386">
        <f t="shared" si="75"/>
        <v>0</v>
      </c>
      <c r="AI46" s="386">
        <f t="shared" si="76"/>
        <v>0</v>
      </c>
      <c r="AJ46" s="386">
        <f t="shared" si="77"/>
        <v>14.321927781610096</v>
      </c>
      <c r="AK46" s="386">
        <f t="shared" si="78"/>
        <v>0.38972346922514467</v>
      </c>
      <c r="AL46" s="386">
        <f t="shared" si="79"/>
        <v>1.4400462863046728</v>
      </c>
      <c r="AM46" s="386">
        <f t="shared" si="80"/>
        <v>0</v>
      </c>
      <c r="AN46" s="386">
        <f t="shared" si="81"/>
        <v>1.9844468583561143</v>
      </c>
      <c r="AO46" s="386">
        <f t="shared" si="49"/>
        <v>8.184450848594965</v>
      </c>
      <c r="AP46" s="386">
        <f t="shared" si="82"/>
        <v>0.12727194781682699</v>
      </c>
      <c r="AQ46" s="386">
        <f t="shared" si="83"/>
        <v>0.78933333333333344</v>
      </c>
      <c r="AR46" s="386">
        <f t="shared" si="84"/>
        <v>0.94054631341419248</v>
      </c>
      <c r="AS46" s="386">
        <f t="shared" si="85"/>
        <v>1.5509862511259154</v>
      </c>
      <c r="AT46" s="386">
        <f t="shared" si="86"/>
        <v>0</v>
      </c>
      <c r="AU46" s="386">
        <f t="shared" si="87"/>
        <v>0.95039999999999991</v>
      </c>
      <c r="AV46" s="386">
        <f t="shared" si="88"/>
        <v>0.61535284614496533</v>
      </c>
      <c r="AW46" s="386">
        <f t="shared" si="33"/>
        <v>0.249</v>
      </c>
      <c r="AX46" s="386">
        <f t="shared" si="89"/>
        <v>0.14400000000000002</v>
      </c>
      <c r="AY46" s="386">
        <f t="shared" si="90"/>
        <v>1.2671999999999999</v>
      </c>
      <c r="AZ46" s="386">
        <f t="shared" si="36"/>
        <v>0.10439999999999998</v>
      </c>
      <c r="BA46" s="386">
        <f t="shared" si="57"/>
        <v>1.4112</v>
      </c>
      <c r="BB46" s="386">
        <f t="shared" si="58"/>
        <v>11.769226652160006</v>
      </c>
      <c r="BC46">
        <f t="shared" si="91"/>
        <v>177.60000000000002</v>
      </c>
      <c r="BD46" s="604">
        <f t="shared" si="51"/>
        <v>0.93785037378972813</v>
      </c>
      <c r="BE46" s="614">
        <f t="shared" si="92"/>
        <v>130.5855429178057</v>
      </c>
      <c r="BF46" s="614">
        <f t="shared" si="93"/>
        <v>62.708915670709622</v>
      </c>
      <c r="BG46" s="9"/>
      <c r="BH46" s="4">
        <f t="shared" si="52"/>
        <v>93.785037378972817</v>
      </c>
      <c r="BI46" s="386">
        <f t="shared" si="53"/>
        <v>3.2723166112154622</v>
      </c>
      <c r="BJ46" s="386">
        <f t="shared" si="54"/>
        <v>6.1238420966727203</v>
      </c>
      <c r="BK46" s="386">
        <f t="shared" si="94"/>
        <v>2.6117108583561142</v>
      </c>
      <c r="BL46" s="386">
        <f t="shared" si="95"/>
        <v>1.2541783134141924</v>
      </c>
      <c r="BM46" s="386">
        <f t="shared" si="55"/>
        <v>0.61535284614496533</v>
      </c>
      <c r="BR46">
        <v>9.9978999999999996</v>
      </c>
      <c r="BS46">
        <v>6.1950000000000003</v>
      </c>
      <c r="BT46">
        <v>5.109191</v>
      </c>
      <c r="BU46">
        <v>93.156651672159526</v>
      </c>
      <c r="BV46">
        <v>2325.1351758999972</v>
      </c>
    </row>
    <row r="47" spans="1:74" ht="14.15" x14ac:dyDescent="0.4">
      <c r="A47" s="488" t="s">
        <v>680</v>
      </c>
      <c r="B47" s="5">
        <f>ThetaJA_Q1</f>
        <v>50</v>
      </c>
      <c r="C47" s="483" t="s">
        <v>241</v>
      </c>
      <c r="D47" s="21" t="s">
        <v>107</v>
      </c>
      <c r="G47">
        <v>38</v>
      </c>
      <c r="H47" s="610">
        <f t="shared" si="59"/>
        <v>12</v>
      </c>
      <c r="I47" s="4" t="str">
        <f t="shared" si="60"/>
        <v>BOOST</v>
      </c>
      <c r="J47">
        <f t="shared" si="43"/>
        <v>2</v>
      </c>
      <c r="K47" s="386">
        <f t="shared" si="96"/>
        <v>3.8</v>
      </c>
      <c r="L47" s="4">
        <f t="shared" si="61"/>
        <v>16.888888888888886</v>
      </c>
      <c r="M47" s="4">
        <f t="shared" si="56"/>
        <v>15.442590346469382</v>
      </c>
      <c r="N47" s="386">
        <f t="shared" si="62"/>
        <v>1</v>
      </c>
      <c r="O47" s="386">
        <f t="shared" si="63"/>
        <v>0.75392729362475197</v>
      </c>
      <c r="P47" s="4">
        <f t="shared" si="64"/>
        <v>4.4927297431405595</v>
      </c>
      <c r="Q47" s="4">
        <f t="shared" si="65"/>
        <v>16.938613273031223</v>
      </c>
      <c r="R47" s="386">
        <f t="shared" si="7"/>
        <v>2.3928898651786028</v>
      </c>
      <c r="S47" s="386">
        <f t="shared" si="45"/>
        <v>1.0244498586343753</v>
      </c>
      <c r="T47" s="386">
        <f t="shared" si="46"/>
        <v>3.4173397238129781</v>
      </c>
      <c r="U47" s="4">
        <f t="shared" si="66"/>
        <v>7.0281846804263832</v>
      </c>
      <c r="V47" s="386">
        <f t="shared" si="9"/>
        <v>9.8790759804360209E-2</v>
      </c>
      <c r="W47" s="386">
        <f t="shared" si="47"/>
        <v>9.8790759804360209E-2</v>
      </c>
      <c r="X47" s="4">
        <f t="shared" si="67"/>
        <v>1.2969393632992201</v>
      </c>
      <c r="Y47" s="386">
        <f t="shared" si="11"/>
        <v>3.3641034241499732E-3</v>
      </c>
      <c r="Z47" s="603">
        <f t="shared" si="48"/>
        <v>3.3641034241499732E-3</v>
      </c>
      <c r="AA47" s="386">
        <f t="shared" si="68"/>
        <v>16.938613273031223</v>
      </c>
      <c r="AB47" s="386">
        <f t="shared" si="69"/>
        <v>1.6354247317958643</v>
      </c>
      <c r="AC47" s="386">
        <f t="shared" si="70"/>
        <v>0</v>
      </c>
      <c r="AD47" s="386">
        <f t="shared" si="71"/>
        <v>0</v>
      </c>
      <c r="AE47" s="386">
        <f t="shared" si="72"/>
        <v>2.4303583683369094</v>
      </c>
      <c r="AF47" s="386">
        <f t="shared" si="73"/>
        <v>0</v>
      </c>
      <c r="AG47" s="386">
        <f t="shared" si="74"/>
        <v>0</v>
      </c>
      <c r="AH47" s="386">
        <f t="shared" si="75"/>
        <v>0</v>
      </c>
      <c r="AI47" s="386">
        <f t="shared" si="76"/>
        <v>0</v>
      </c>
      <c r="AJ47" s="386">
        <f t="shared" si="77"/>
        <v>14.707626270782953</v>
      </c>
      <c r="AK47" s="386">
        <f t="shared" si="78"/>
        <v>0.41099711398994726</v>
      </c>
      <c r="AL47" s="386">
        <f t="shared" si="79"/>
        <v>1.4789664562047984</v>
      </c>
      <c r="AM47" s="386">
        <f t="shared" si="80"/>
        <v>0</v>
      </c>
      <c r="AN47" s="386">
        <f t="shared" si="81"/>
        <v>2.0592311850102041</v>
      </c>
      <c r="AO47" s="386">
        <f t="shared" si="49"/>
        <v>8.4025204011822918</v>
      </c>
      <c r="AP47" s="386">
        <f t="shared" si="82"/>
        <v>0.1341444632753408</v>
      </c>
      <c r="AQ47" s="386">
        <f t="shared" si="83"/>
        <v>0.81066666666666654</v>
      </c>
      <c r="AR47" s="386">
        <f t="shared" si="84"/>
        <v>0.97085817983201528</v>
      </c>
      <c r="AS47" s="386">
        <f t="shared" si="85"/>
        <v>1.6354247317958643</v>
      </c>
      <c r="AT47" s="386">
        <f t="shared" si="86"/>
        <v>0</v>
      </c>
      <c r="AU47" s="386">
        <f t="shared" si="87"/>
        <v>0.95039999999999991</v>
      </c>
      <c r="AV47" s="386">
        <f t="shared" si="88"/>
        <v>0.64894281156307465</v>
      </c>
      <c r="AW47" s="386">
        <f t="shared" si="33"/>
        <v>0.249</v>
      </c>
      <c r="AX47" s="386">
        <f t="shared" si="89"/>
        <v>0.14400000000000002</v>
      </c>
      <c r="AY47" s="386">
        <f t="shared" si="90"/>
        <v>1.2671999999999999</v>
      </c>
      <c r="AZ47" s="386">
        <f t="shared" si="36"/>
        <v>0.10439999999999998</v>
      </c>
      <c r="BA47" s="386">
        <f t="shared" si="57"/>
        <v>1.4112</v>
      </c>
      <c r="BB47" s="386">
        <f t="shared" si="58"/>
        <v>12.239485131783693</v>
      </c>
      <c r="BC47">
        <f t="shared" si="91"/>
        <v>182.39999999999998</v>
      </c>
      <c r="BD47" s="604">
        <f t="shared" si="51"/>
        <v>0.93711715213643954</v>
      </c>
      <c r="BE47" s="614">
        <f t="shared" si="92"/>
        <v>134.3247592505102</v>
      </c>
      <c r="BF47" s="614">
        <f t="shared" si="93"/>
        <v>64.224508991600757</v>
      </c>
      <c r="BG47" s="9"/>
      <c r="BH47" s="4">
        <f t="shared" si="52"/>
        <v>93.711715213643956</v>
      </c>
      <c r="BI47" s="386">
        <f t="shared" si="53"/>
        <v>3.4173397238129781</v>
      </c>
      <c r="BJ47" s="386">
        <f t="shared" si="54"/>
        <v>6.4108477331791285</v>
      </c>
      <c r="BK47" s="386">
        <f t="shared" si="94"/>
        <v>2.6864951850102039</v>
      </c>
      <c r="BL47" s="386">
        <f t="shared" si="95"/>
        <v>1.2844901798320152</v>
      </c>
      <c r="BM47" s="386">
        <f t="shared" si="55"/>
        <v>0.64894281156307465</v>
      </c>
      <c r="BR47">
        <v>9.9976269999999996</v>
      </c>
      <c r="BS47">
        <v>6.9470000000000001</v>
      </c>
      <c r="BT47">
        <v>5.1086669999999996</v>
      </c>
      <c r="BU47">
        <v>92.656807634751772</v>
      </c>
      <c r="BV47">
        <v>2812.6290012010018</v>
      </c>
    </row>
    <row r="48" spans="1:74" x14ac:dyDescent="0.3">
      <c r="A48" s="24" t="s">
        <v>767</v>
      </c>
      <c r="B48" s="15" t="s">
        <v>115</v>
      </c>
      <c r="C48" s="24" t="s">
        <v>80</v>
      </c>
      <c r="D48" s="17" t="s">
        <v>111</v>
      </c>
      <c r="G48">
        <v>39</v>
      </c>
      <c r="H48" s="610">
        <f t="shared" si="59"/>
        <v>12</v>
      </c>
      <c r="I48" s="4" t="str">
        <f t="shared" si="60"/>
        <v>BOOST</v>
      </c>
      <c r="J48">
        <f t="shared" si="43"/>
        <v>2</v>
      </c>
      <c r="K48" s="386">
        <f t="shared" si="96"/>
        <v>3.9</v>
      </c>
      <c r="L48" s="4">
        <f t="shared" si="61"/>
        <v>17.333333333333332</v>
      </c>
      <c r="M48" s="4">
        <f t="shared" si="56"/>
        <v>15.85564084881236</v>
      </c>
      <c r="N48" s="386">
        <f t="shared" si="62"/>
        <v>1</v>
      </c>
      <c r="O48" s="386">
        <f t="shared" si="63"/>
        <v>0.75403075554072463</v>
      </c>
      <c r="P48" s="4">
        <f t="shared" si="64"/>
        <v>4.4913321494844265</v>
      </c>
      <c r="Q48" s="4">
        <f t="shared" si="65"/>
        <v>17.381756235131338</v>
      </c>
      <c r="R48" s="386">
        <f t="shared" si="7"/>
        <v>2.5455625112171552</v>
      </c>
      <c r="S48" s="386">
        <f t="shared" si="45"/>
        <v>1.0237157578023843</v>
      </c>
      <c r="T48" s="386">
        <f t="shared" si="46"/>
        <v>3.5692782690195397</v>
      </c>
      <c r="U48" s="4">
        <f t="shared" si="66"/>
        <v>7.195846270074691</v>
      </c>
      <c r="V48" s="386">
        <f t="shared" si="9"/>
        <v>0.10356040708509569</v>
      </c>
      <c r="W48" s="386">
        <f t="shared" si="47"/>
        <v>0.10356040708509569</v>
      </c>
      <c r="X48" s="4">
        <f t="shared" si="67"/>
        <v>1.2965359127624272</v>
      </c>
      <c r="Y48" s="386">
        <f t="shared" si="11"/>
        <v>3.3620107461654002E-3</v>
      </c>
      <c r="Z48" s="603">
        <f t="shared" si="48"/>
        <v>3.3620107461654002E-3</v>
      </c>
      <c r="AA48" s="386">
        <f t="shared" si="68"/>
        <v>17.381756235131338</v>
      </c>
      <c r="AB48" s="386">
        <f t="shared" si="69"/>
        <v>1.7221150639599045</v>
      </c>
      <c r="AC48" s="386">
        <f t="shared" si="70"/>
        <v>0</v>
      </c>
      <c r="AD48" s="386">
        <f t="shared" si="71"/>
        <v>0</v>
      </c>
      <c r="AE48" s="386">
        <f t="shared" si="72"/>
        <v>2.6268693037778426</v>
      </c>
      <c r="AF48" s="386">
        <f t="shared" si="73"/>
        <v>0</v>
      </c>
      <c r="AG48" s="386">
        <f t="shared" si="74"/>
        <v>0</v>
      </c>
      <c r="AH48" s="386">
        <f t="shared" si="75"/>
        <v>0</v>
      </c>
      <c r="AI48" s="386">
        <f t="shared" si="76"/>
        <v>0</v>
      </c>
      <c r="AJ48" s="386">
        <f t="shared" si="77"/>
        <v>15.093438348964469</v>
      </c>
      <c r="AK48" s="386">
        <f t="shared" si="78"/>
        <v>0.43284257426858341</v>
      </c>
      <c r="AL48" s="386">
        <f t="shared" si="79"/>
        <v>1.5178866261049249</v>
      </c>
      <c r="AM48" s="386">
        <f t="shared" si="80"/>
        <v>0</v>
      </c>
      <c r="AN48" s="386">
        <f t="shared" si="81"/>
        <v>2.1356053870434573</v>
      </c>
      <c r="AO48" s="386">
        <f t="shared" si="49"/>
        <v>8.6205318063061434</v>
      </c>
      <c r="AP48" s="386">
        <f t="shared" si="82"/>
        <v>0.14119578038471814</v>
      </c>
      <c r="AQ48" s="386">
        <f t="shared" si="83"/>
        <v>0.83199999999999996</v>
      </c>
      <c r="AR48" s="386">
        <f t="shared" si="84"/>
        <v>1.0014766353991675</v>
      </c>
      <c r="AS48" s="386">
        <f t="shared" si="85"/>
        <v>1.7221150639599045</v>
      </c>
      <c r="AT48" s="386">
        <f t="shared" si="86"/>
        <v>0</v>
      </c>
      <c r="AU48" s="386">
        <f t="shared" si="87"/>
        <v>0.95039999999999991</v>
      </c>
      <c r="AV48" s="386">
        <f t="shared" si="88"/>
        <v>0.68343564358197384</v>
      </c>
      <c r="AW48" s="386">
        <f t="shared" si="33"/>
        <v>0.249</v>
      </c>
      <c r="AX48" s="386">
        <f t="shared" si="89"/>
        <v>0.14400000000000002</v>
      </c>
      <c r="AY48" s="386">
        <f t="shared" si="90"/>
        <v>1.2671999999999999</v>
      </c>
      <c r="AZ48" s="386">
        <f t="shared" si="36"/>
        <v>0.10439999999999998</v>
      </c>
      <c r="BA48" s="386">
        <f t="shared" si="57"/>
        <v>1.4112</v>
      </c>
      <c r="BB48" s="386">
        <f t="shared" si="58"/>
        <v>12.734187656653244</v>
      </c>
      <c r="BC48">
        <f t="shared" si="91"/>
        <v>187.2</v>
      </c>
      <c r="BD48" s="604">
        <f t="shared" si="51"/>
        <v>0.9363081031518149</v>
      </c>
      <c r="BE48" s="614">
        <f t="shared" si="92"/>
        <v>138.14346935217284</v>
      </c>
      <c r="BF48" s="614">
        <f t="shared" si="93"/>
        <v>65.755431769958378</v>
      </c>
      <c r="BG48" s="9"/>
      <c r="BH48" s="4">
        <f t="shared" si="52"/>
        <v>93.630810315181492</v>
      </c>
      <c r="BI48" s="386">
        <f t="shared" si="53"/>
        <v>3.5692782690195397</v>
      </c>
      <c r="BJ48" s="386">
        <f t="shared" si="54"/>
        <v>6.7143513262204673</v>
      </c>
      <c r="BK48" s="386">
        <f t="shared" si="94"/>
        <v>2.7628693870434571</v>
      </c>
      <c r="BL48" s="386">
        <f t="shared" si="95"/>
        <v>1.3151086353991674</v>
      </c>
      <c r="BM48" s="386">
        <f t="shared" si="55"/>
        <v>0.68343564358197384</v>
      </c>
      <c r="BR48">
        <v>9.9975280000000009</v>
      </c>
      <c r="BS48">
        <v>7.7530000000000001</v>
      </c>
      <c r="BT48">
        <v>5.10853</v>
      </c>
      <c r="BU48">
        <v>92.034336419785248</v>
      </c>
      <c r="BV48">
        <v>3427.976173640001</v>
      </c>
    </row>
    <row r="49" spans="1:74" x14ac:dyDescent="0.3">
      <c r="A49" s="23" t="s">
        <v>72</v>
      </c>
      <c r="B49" s="5">
        <f>Rdson2*1000</f>
        <v>5.7</v>
      </c>
      <c r="C49" s="484" t="s">
        <v>674</v>
      </c>
      <c r="D49" s="482" t="s">
        <v>768</v>
      </c>
      <c r="G49">
        <v>40</v>
      </c>
      <c r="H49" s="610">
        <f t="shared" si="59"/>
        <v>12</v>
      </c>
      <c r="I49" s="4" t="str">
        <f t="shared" si="60"/>
        <v>BOOST</v>
      </c>
      <c r="J49">
        <f t="shared" si="43"/>
        <v>2</v>
      </c>
      <c r="K49" s="386">
        <f t="shared" si="96"/>
        <v>4</v>
      </c>
      <c r="L49" s="4">
        <f t="shared" si="61"/>
        <v>17.777777777777775</v>
      </c>
      <c r="M49" s="4">
        <f t="shared" si="56"/>
        <v>16.269039360579097</v>
      </c>
      <c r="N49" s="386">
        <f t="shared" si="62"/>
        <v>1</v>
      </c>
      <c r="O49" s="386">
        <f t="shared" si="63"/>
        <v>0.75413422321097512</v>
      </c>
      <c r="P49" s="4">
        <f t="shared" si="64"/>
        <v>4.489934037362044</v>
      </c>
      <c r="Q49" s="4">
        <f t="shared" si="65"/>
        <v>17.824964002423805</v>
      </c>
      <c r="R49" s="386">
        <f t="shared" si="7"/>
        <v>2.7054887635307998</v>
      </c>
      <c r="S49" s="386">
        <f t="shared" si="45"/>
        <v>1.0229816826242613</v>
      </c>
      <c r="T49" s="386">
        <f t="shared" si="46"/>
        <v>3.7284704461550611</v>
      </c>
      <c r="U49" s="4">
        <f t="shared" si="66"/>
        <v>7.3640361303544166</v>
      </c>
      <c r="V49" s="386">
        <f t="shared" si="9"/>
        <v>0.10845805625833051</v>
      </c>
      <c r="W49" s="386">
        <f t="shared" si="47"/>
        <v>0.10845805625833051</v>
      </c>
      <c r="X49" s="4">
        <f t="shared" si="67"/>
        <v>1.2961323125573196</v>
      </c>
      <c r="Y49" s="386">
        <f t="shared" si="11"/>
        <v>3.3599179433103704E-3</v>
      </c>
      <c r="Z49" s="603">
        <f t="shared" si="48"/>
        <v>3.3599179433103704E-3</v>
      </c>
      <c r="AA49" s="386">
        <f t="shared" si="68"/>
        <v>17.824964002423805</v>
      </c>
      <c r="AB49" s="386">
        <f t="shared" si="69"/>
        <v>1.8110572476199154</v>
      </c>
      <c r="AC49" s="386">
        <f t="shared" si="70"/>
        <v>0</v>
      </c>
      <c r="AD49" s="386">
        <f t="shared" si="71"/>
        <v>0</v>
      </c>
      <c r="AE49" s="386">
        <f t="shared" si="72"/>
        <v>2.8395888359366488</v>
      </c>
      <c r="AF49" s="386">
        <f t="shared" si="73"/>
        <v>0</v>
      </c>
      <c r="AG49" s="386">
        <f t="shared" si="74"/>
        <v>0</v>
      </c>
      <c r="AH49" s="386">
        <f t="shared" si="75"/>
        <v>0</v>
      </c>
      <c r="AI49" s="386">
        <f t="shared" si="76"/>
        <v>0</v>
      </c>
      <c r="AJ49" s="386">
        <f t="shared" si="77"/>
        <v>15.479359492078201</v>
      </c>
      <c r="AK49" s="386">
        <f t="shared" si="78"/>
        <v>0.45526008354148384</v>
      </c>
      <c r="AL49" s="386">
        <f t="shared" si="79"/>
        <v>1.5568067960050511</v>
      </c>
      <c r="AM49" s="386">
        <f t="shared" si="80"/>
        <v>0</v>
      </c>
      <c r="AN49" s="386">
        <f t="shared" si="81"/>
        <v>2.2136215894994891</v>
      </c>
      <c r="AO49" s="386">
        <f t="shared" si="49"/>
        <v>8.8384824151385271</v>
      </c>
      <c r="AP49" s="386">
        <f t="shared" si="82"/>
        <v>0.14842566566515464</v>
      </c>
      <c r="AQ49" s="386">
        <f t="shared" si="83"/>
        <v>0.85333333333333317</v>
      </c>
      <c r="AR49" s="386">
        <f t="shared" si="84"/>
        <v>1.0324061118769088</v>
      </c>
      <c r="AS49" s="386">
        <f t="shared" si="85"/>
        <v>1.8110572476199154</v>
      </c>
      <c r="AT49" s="386">
        <f t="shared" si="86"/>
        <v>0</v>
      </c>
      <c r="AU49" s="386">
        <f t="shared" si="87"/>
        <v>0.95039999999999991</v>
      </c>
      <c r="AV49" s="386">
        <f t="shared" si="88"/>
        <v>0.71883171085497455</v>
      </c>
      <c r="AW49" s="386">
        <f t="shared" si="33"/>
        <v>0.249</v>
      </c>
      <c r="AX49" s="386">
        <f t="shared" si="89"/>
        <v>0.14400000000000002</v>
      </c>
      <c r="AY49" s="386">
        <f t="shared" si="90"/>
        <v>1.2671999999999999</v>
      </c>
      <c r="AZ49" s="386">
        <f t="shared" si="36"/>
        <v>0.10439999999999998</v>
      </c>
      <c r="BA49" s="386">
        <f t="shared" si="57"/>
        <v>1.4112</v>
      </c>
      <c r="BB49" s="386">
        <f t="shared" si="58"/>
        <v>13.255336668524725</v>
      </c>
      <c r="BC49">
        <f t="shared" si="91"/>
        <v>192</v>
      </c>
      <c r="BD49" s="604">
        <f t="shared" si="51"/>
        <v>0.93542025808599893</v>
      </c>
      <c r="BE49" s="614">
        <f t="shared" si="92"/>
        <v>142.04427947497445</v>
      </c>
      <c r="BF49" s="614">
        <f t="shared" si="93"/>
        <v>67.301905593845433</v>
      </c>
      <c r="BG49" s="9"/>
      <c r="BH49" s="4">
        <f t="shared" si="52"/>
        <v>93.542025808599888</v>
      </c>
      <c r="BI49" s="386">
        <f t="shared" si="53"/>
        <v>3.7284704461550611</v>
      </c>
      <c r="BJ49" s="386">
        <f t="shared" si="54"/>
        <v>7.0360165373130465</v>
      </c>
      <c r="BK49" s="386">
        <f t="shared" si="94"/>
        <v>2.8408855894994889</v>
      </c>
      <c r="BL49" s="386">
        <f t="shared" si="95"/>
        <v>1.3460381118769087</v>
      </c>
      <c r="BM49" s="386">
        <f t="shared" si="55"/>
        <v>0.71883171085497455</v>
      </c>
      <c r="BR49">
        <v>9.9970090000000003</v>
      </c>
      <c r="BS49">
        <v>8.6120000000000001</v>
      </c>
      <c r="BT49">
        <v>5.1085419999999999</v>
      </c>
      <c r="BU49">
        <v>91.346378256658895</v>
      </c>
      <c r="BV49">
        <v>4167.8065612820019</v>
      </c>
    </row>
    <row r="50" spans="1:74" x14ac:dyDescent="0.3">
      <c r="A50" s="23" t="s">
        <v>84</v>
      </c>
      <c r="B50" s="5">
        <f>RdsonBotTc*1000000</f>
        <v>4000</v>
      </c>
      <c r="C50" s="482" t="s">
        <v>85</v>
      </c>
      <c r="D50" s="21" t="s">
        <v>108</v>
      </c>
      <c r="G50">
        <v>41</v>
      </c>
      <c r="H50" s="610">
        <f t="shared" si="59"/>
        <v>12</v>
      </c>
      <c r="I50" s="4" t="str">
        <f t="shared" si="60"/>
        <v>BOOST</v>
      </c>
      <c r="J50">
        <f t="shared" si="43"/>
        <v>2</v>
      </c>
      <c r="K50" s="386">
        <f t="shared" si="96"/>
        <v>4.0999999999999996</v>
      </c>
      <c r="L50" s="4">
        <f t="shared" si="61"/>
        <v>18.222222222222218</v>
      </c>
      <c r="M50" s="4">
        <f t="shared" si="56"/>
        <v>16.68278635038341</v>
      </c>
      <c r="N50" s="386">
        <f t="shared" si="62"/>
        <v>1</v>
      </c>
      <c r="O50" s="386">
        <f t="shared" si="63"/>
        <v>0.75423769663598361</v>
      </c>
      <c r="P50" s="4">
        <f t="shared" si="64"/>
        <v>4.4885354067301604</v>
      </c>
      <c r="Q50" s="4">
        <f t="shared" si="65"/>
        <v>18.268231858178606</v>
      </c>
      <c r="R50" s="386">
        <f t="shared" si="7"/>
        <v>2.8730330165885651</v>
      </c>
      <c r="S50" s="386">
        <f t="shared" si="45"/>
        <v>1.0222476333806569</v>
      </c>
      <c r="T50" s="386">
        <f t="shared" si="46"/>
        <v>3.8952806499692221</v>
      </c>
      <c r="U50" s="4">
        <f t="shared" si="66"/>
        <v>7.5327259332542598</v>
      </c>
      <c r="V50" s="386">
        <f t="shared" si="9"/>
        <v>0.11348391997104251</v>
      </c>
      <c r="W50" s="386">
        <f t="shared" si="47"/>
        <v>0.11348391997104251</v>
      </c>
      <c r="X50" s="4">
        <f t="shared" si="67"/>
        <v>1.2957285626714123</v>
      </c>
      <c r="Y50" s="386">
        <f t="shared" si="11"/>
        <v>3.3578250162450488E-3</v>
      </c>
      <c r="Z50" s="603">
        <f t="shared" si="48"/>
        <v>3.3578250162450488E-3</v>
      </c>
      <c r="AA50" s="386">
        <f t="shared" si="68"/>
        <v>18.268231858178606</v>
      </c>
      <c r="AB50" s="386">
        <f t="shared" si="69"/>
        <v>1.9022512827777791</v>
      </c>
      <c r="AC50" s="386">
        <f t="shared" si="70"/>
        <v>0</v>
      </c>
      <c r="AD50" s="386">
        <f t="shared" si="71"/>
        <v>0</v>
      </c>
      <c r="AE50" s="386">
        <f t="shared" si="72"/>
        <v>3.0703770002422033</v>
      </c>
      <c r="AF50" s="386">
        <f t="shared" si="73"/>
        <v>0</v>
      </c>
      <c r="AG50" s="386">
        <f t="shared" si="74"/>
        <v>0</v>
      </c>
      <c r="AH50" s="386">
        <f t="shared" si="75"/>
        <v>0</v>
      </c>
      <c r="AI50" s="386">
        <f t="shared" si="76"/>
        <v>0</v>
      </c>
      <c r="AJ50" s="386">
        <f t="shared" si="77"/>
        <v>15.865385614353432</v>
      </c>
      <c r="AK50" s="386">
        <f t="shared" si="78"/>
        <v>0.47824987531505236</v>
      </c>
      <c r="AL50" s="386">
        <f t="shared" si="79"/>
        <v>1.5957269659051772</v>
      </c>
      <c r="AM50" s="386">
        <f t="shared" si="80"/>
        <v>0</v>
      </c>
      <c r="AN50" s="386">
        <f t="shared" si="81"/>
        <v>2.2933342002890238</v>
      </c>
      <c r="AO50" s="386">
        <f t="shared" si="49"/>
        <v>9.0563698318939547</v>
      </c>
      <c r="AP50" s="386">
        <f t="shared" si="82"/>
        <v>0.15583388561087397</v>
      </c>
      <c r="AQ50" s="386">
        <f t="shared" si="83"/>
        <v>0.87466666666666648</v>
      </c>
      <c r="AR50" s="386">
        <f t="shared" si="84"/>
        <v>1.0636511299814209</v>
      </c>
      <c r="AS50" s="386">
        <f t="shared" si="85"/>
        <v>1.9022512827777791</v>
      </c>
      <c r="AT50" s="386">
        <f t="shared" si="86"/>
        <v>0</v>
      </c>
      <c r="AU50" s="386">
        <f t="shared" si="87"/>
        <v>0.95039999999999991</v>
      </c>
      <c r="AV50" s="386">
        <f t="shared" si="88"/>
        <v>0.75513138207639841</v>
      </c>
      <c r="AW50" s="386">
        <f t="shared" si="33"/>
        <v>0.249</v>
      </c>
      <c r="AX50" s="386">
        <f t="shared" si="89"/>
        <v>0.14400000000000002</v>
      </c>
      <c r="AY50" s="386">
        <f t="shared" si="90"/>
        <v>1.2671999999999999</v>
      </c>
      <c r="AZ50" s="386">
        <f t="shared" si="36"/>
        <v>0.10439999999999998</v>
      </c>
      <c r="BA50" s="386">
        <f t="shared" si="57"/>
        <v>1.4112</v>
      </c>
      <c r="BB50" s="386">
        <f t="shared" si="58"/>
        <v>13.805216107545558</v>
      </c>
      <c r="BC50">
        <f t="shared" si="91"/>
        <v>196.79999999999998</v>
      </c>
      <c r="BD50" s="604">
        <f t="shared" si="51"/>
        <v>0.93444979016808427</v>
      </c>
      <c r="BE50" s="614">
        <f t="shared" si="92"/>
        <v>146.02991001445119</v>
      </c>
      <c r="BF50" s="614">
        <f t="shared" si="93"/>
        <v>68.864156499071044</v>
      </c>
      <c r="BG50" s="9"/>
      <c r="BH50" s="4">
        <f t="shared" si="52"/>
        <v>93.444979016808432</v>
      </c>
      <c r="BI50" s="386">
        <f t="shared" si="53"/>
        <v>3.8952806499692221</v>
      </c>
      <c r="BJ50" s="386">
        <f t="shared" si="54"/>
        <v>7.377762330512649</v>
      </c>
      <c r="BK50" s="386">
        <f t="shared" si="94"/>
        <v>2.9205982002890236</v>
      </c>
      <c r="BL50" s="386">
        <f t="shared" si="95"/>
        <v>1.3772831299814208</v>
      </c>
      <c r="BM50" s="386">
        <f t="shared" si="55"/>
        <v>0.75513138207639841</v>
      </c>
      <c r="BR50">
        <v>9.9969590000000004</v>
      </c>
      <c r="BS50">
        <v>9.5229999999999997</v>
      </c>
      <c r="BT50">
        <v>5.1087540000000002</v>
      </c>
      <c r="BU50">
        <v>90.547826191651922</v>
      </c>
      <c r="BV50">
        <v>5078.5816240809982</v>
      </c>
    </row>
    <row r="51" spans="1:74" x14ac:dyDescent="0.3">
      <c r="A51" s="23" t="s">
        <v>71</v>
      </c>
      <c r="B51" s="5">
        <f>Qg_Q2*1000000000</f>
        <v>11</v>
      </c>
      <c r="C51" s="482" t="s">
        <v>69</v>
      </c>
      <c r="D51" s="21" t="s">
        <v>103</v>
      </c>
      <c r="G51">
        <v>42</v>
      </c>
      <c r="H51" s="610">
        <f t="shared" si="59"/>
        <v>12</v>
      </c>
      <c r="I51" s="4" t="str">
        <f t="shared" si="60"/>
        <v>BOOST</v>
      </c>
      <c r="J51">
        <f t="shared" si="43"/>
        <v>2</v>
      </c>
      <c r="K51" s="386">
        <f t="shared" si="96"/>
        <v>4.2</v>
      </c>
      <c r="L51" s="4">
        <f t="shared" si="61"/>
        <v>18.666666666666668</v>
      </c>
      <c r="M51" s="4">
        <f t="shared" si="56"/>
        <v>17.096882287680849</v>
      </c>
      <c r="N51" s="386">
        <f t="shared" si="62"/>
        <v>1</v>
      </c>
      <c r="O51" s="386">
        <f t="shared" si="63"/>
        <v>0.75434117581623006</v>
      </c>
      <c r="P51" s="4">
        <f t="shared" si="64"/>
        <v>4.4871362575455134</v>
      </c>
      <c r="Q51" s="4">
        <f t="shared" si="65"/>
        <v>18.711555532003732</v>
      </c>
      <c r="R51" s="386">
        <f t="shared" si="7"/>
        <v>3.0485882867001397</v>
      </c>
      <c r="S51" s="386">
        <f t="shared" si="45"/>
        <v>1.0215136103523066</v>
      </c>
      <c r="T51" s="386">
        <f t="shared" si="46"/>
        <v>4.0701018970524458</v>
      </c>
      <c r="U51" s="4">
        <f t="shared" si="66"/>
        <v>7.7018897438281604</v>
      </c>
      <c r="V51" s="386">
        <f t="shared" si="9"/>
        <v>0.11863821125217081</v>
      </c>
      <c r="W51" s="386">
        <f t="shared" si="47"/>
        <v>0.11863821125217081</v>
      </c>
      <c r="X51" s="4">
        <f t="shared" si="67"/>
        <v>1.2953246630922162</v>
      </c>
      <c r="Y51" s="386">
        <f t="shared" si="11"/>
        <v>3.355731965629927E-3</v>
      </c>
      <c r="Z51" s="603">
        <f t="shared" si="48"/>
        <v>3.355731965629927E-3</v>
      </c>
      <c r="AA51" s="386">
        <f t="shared" si="68"/>
        <v>18.711555532003732</v>
      </c>
      <c r="AB51" s="386">
        <f t="shared" si="69"/>
        <v>1.9956971694353791</v>
      </c>
      <c r="AC51" s="386">
        <f t="shared" si="70"/>
        <v>0</v>
      </c>
      <c r="AD51" s="386">
        <f t="shared" si="71"/>
        <v>0</v>
      </c>
      <c r="AE51" s="386">
        <f t="shared" si="72"/>
        <v>3.3213981445743821</v>
      </c>
      <c r="AF51" s="386">
        <f t="shared" si="73"/>
        <v>0</v>
      </c>
      <c r="AG51" s="386">
        <f t="shared" si="74"/>
        <v>0</v>
      </c>
      <c r="AH51" s="386">
        <f t="shared" si="75"/>
        <v>0</v>
      </c>
      <c r="AI51" s="386">
        <f t="shared" si="76"/>
        <v>0</v>
      </c>
      <c r="AJ51" s="386">
        <f t="shared" si="77"/>
        <v>16.251513016553073</v>
      </c>
      <c r="AK51" s="386">
        <f t="shared" si="78"/>
        <v>0.50181218312166853</v>
      </c>
      <c r="AL51" s="386">
        <f t="shared" si="79"/>
        <v>1.6346471358053039</v>
      </c>
      <c r="AM51" s="386">
        <f t="shared" si="80"/>
        <v>0</v>
      </c>
      <c r="AN51" s="386">
        <f t="shared" si="81"/>
        <v>2.3748000371510054</v>
      </c>
      <c r="AO51" s="386">
        <f t="shared" si="49"/>
        <v>9.2741918839360586</v>
      </c>
      <c r="AP51" s="386">
        <f t="shared" si="82"/>
        <v>0.16342020669012436</v>
      </c>
      <c r="AQ51" s="386">
        <f t="shared" si="83"/>
        <v>0.89600000000000013</v>
      </c>
      <c r="AR51" s="386">
        <f t="shared" si="84"/>
        <v>1.0952163015645384</v>
      </c>
      <c r="AS51" s="386">
        <f t="shared" si="85"/>
        <v>1.9956971694353791</v>
      </c>
      <c r="AT51" s="386">
        <f t="shared" si="86"/>
        <v>0</v>
      </c>
      <c r="AU51" s="386">
        <f t="shared" si="87"/>
        <v>0.95039999999999991</v>
      </c>
      <c r="AV51" s="386">
        <f t="shared" si="88"/>
        <v>0.7923350259815819</v>
      </c>
      <c r="AW51" s="386">
        <f t="shared" si="33"/>
        <v>0.249</v>
      </c>
      <c r="AX51" s="386">
        <f t="shared" si="89"/>
        <v>0.14400000000000002</v>
      </c>
      <c r="AY51" s="386">
        <f t="shared" si="90"/>
        <v>1.2671999999999999</v>
      </c>
      <c r="AZ51" s="386">
        <f t="shared" si="36"/>
        <v>0.10439999999999998</v>
      </c>
      <c r="BA51" s="386">
        <f t="shared" si="57"/>
        <v>1.4112</v>
      </c>
      <c r="BB51" s="386">
        <f t="shared" si="58"/>
        <v>14.386445349541754</v>
      </c>
      <c r="BC51">
        <f t="shared" si="91"/>
        <v>201.60000000000002</v>
      </c>
      <c r="BD51" s="604">
        <f t="shared" si="51"/>
        <v>0.9333919064862638</v>
      </c>
      <c r="BE51" s="614">
        <f t="shared" si="92"/>
        <v>150.10320185755026</v>
      </c>
      <c r="BF51" s="614">
        <f t="shared" si="93"/>
        <v>70.442415078226915</v>
      </c>
      <c r="BG51" s="9"/>
      <c r="BH51" s="4">
        <f t="shared" si="52"/>
        <v>93.339190648626385</v>
      </c>
      <c r="BI51" s="386">
        <f t="shared" si="53"/>
        <v>4.0701018970524458</v>
      </c>
      <c r="BJ51" s="386">
        <f t="shared" si="54"/>
        <v>7.7418144832899261</v>
      </c>
      <c r="BK51" s="386">
        <f t="shared" si="94"/>
        <v>3.0020640371510052</v>
      </c>
      <c r="BL51" s="386">
        <f t="shared" si="95"/>
        <v>1.4088483015645383</v>
      </c>
      <c r="BM51" s="386">
        <f t="shared" si="55"/>
        <v>0.7923350259815819</v>
      </c>
      <c r="BR51">
        <v>9.9964639999999996</v>
      </c>
      <c r="BS51">
        <v>10.493</v>
      </c>
      <c r="BT51">
        <v>5.1092279999999999</v>
      </c>
      <c r="BU51">
        <v>89.626660259106615</v>
      </c>
      <c r="BV51">
        <v>6204.9221585439973</v>
      </c>
    </row>
    <row r="52" spans="1:74" x14ac:dyDescent="0.3">
      <c r="A52" s="23" t="s">
        <v>95</v>
      </c>
      <c r="B52" s="5">
        <f>Rgate2</f>
        <v>1.5</v>
      </c>
      <c r="C52" s="486" t="s">
        <v>120</v>
      </c>
      <c r="D52" s="21" t="s">
        <v>104</v>
      </c>
      <c r="G52">
        <v>43</v>
      </c>
      <c r="H52" s="610">
        <f t="shared" si="59"/>
        <v>12</v>
      </c>
      <c r="I52" s="4" t="str">
        <f t="shared" si="60"/>
        <v>BOOST</v>
      </c>
      <c r="J52">
        <f t="shared" si="43"/>
        <v>2</v>
      </c>
      <c r="K52" s="386">
        <f t="shared" si="96"/>
        <v>4.3</v>
      </c>
      <c r="L52" s="4">
        <f t="shared" si="61"/>
        <v>19.111111111111107</v>
      </c>
      <c r="M52" s="4">
        <f t="shared" si="56"/>
        <v>17.511327642770581</v>
      </c>
      <c r="N52" s="386">
        <f t="shared" si="62"/>
        <v>1</v>
      </c>
      <c r="O52" s="386">
        <f t="shared" si="63"/>
        <v>0.75444466075219474</v>
      </c>
      <c r="P52" s="4">
        <f t="shared" si="64"/>
        <v>4.4857365897648398</v>
      </c>
      <c r="Q52" s="4">
        <f t="shared" si="65"/>
        <v>19.154931148330899</v>
      </c>
      <c r="R52" s="386">
        <f t="shared" si="7"/>
        <v>3.2325789201117545</v>
      </c>
      <c r="S52" s="386">
        <f t="shared" si="45"/>
        <v>1.0207796138200347</v>
      </c>
      <c r="T52" s="386">
        <f t="shared" si="46"/>
        <v>4.253358533931789</v>
      </c>
      <c r="U52" s="4">
        <f t="shared" si="66"/>
        <v>7.8715037798845495</v>
      </c>
      <c r="V52" s="386">
        <f t="shared" si="9"/>
        <v>0.1239211435134735</v>
      </c>
      <c r="W52" s="386">
        <f t="shared" si="47"/>
        <v>0.1239211435134735</v>
      </c>
      <c r="X52" s="4">
        <f t="shared" si="67"/>
        <v>1.2949206138072422</v>
      </c>
      <c r="Y52" s="386">
        <f t="shared" si="11"/>
        <v>3.3536387921258501E-3</v>
      </c>
      <c r="Z52" s="603">
        <f t="shared" si="48"/>
        <v>3.3536387921258501E-3</v>
      </c>
      <c r="AA52" s="386">
        <f t="shared" si="68"/>
        <v>19.154931148330899</v>
      </c>
      <c r="AB52" s="386">
        <f t="shared" si="69"/>
        <v>2.0913949075945943</v>
      </c>
      <c r="AC52" s="386">
        <f t="shared" si="70"/>
        <v>0</v>
      </c>
      <c r="AD52" s="386">
        <f t="shared" si="71"/>
        <v>0</v>
      </c>
      <c r="AE52" s="386">
        <f t="shared" si="72"/>
        <v>3.5951853915393834</v>
      </c>
      <c r="AF52" s="386">
        <f t="shared" si="73"/>
        <v>0</v>
      </c>
      <c r="AG52" s="386">
        <f t="shared" si="74"/>
        <v>0</v>
      </c>
      <c r="AH52" s="386">
        <f t="shared" si="75"/>
        <v>0</v>
      </c>
      <c r="AI52" s="386">
        <f t="shared" si="76"/>
        <v>0</v>
      </c>
      <c r="AJ52" s="386">
        <f t="shared" si="77"/>
        <v>16.637738341361985</v>
      </c>
      <c r="AK52" s="386">
        <f t="shared" si="78"/>
        <v>0.52594724051969066</v>
      </c>
      <c r="AL52" s="386">
        <f t="shared" si="79"/>
        <v>1.6735673057054297</v>
      </c>
      <c r="AM52" s="386">
        <f t="shared" si="80"/>
        <v>0</v>
      </c>
      <c r="AN52" s="386">
        <f t="shared" si="81"/>
        <v>2.4580784631612262</v>
      </c>
      <c r="AO52" s="386">
        <f t="shared" si="49"/>
        <v>9.4919465960186855</v>
      </c>
      <c r="AP52" s="386">
        <f t="shared" si="82"/>
        <v>0.17118439534517435</v>
      </c>
      <c r="AQ52" s="386">
        <f t="shared" si="83"/>
        <v>0.91733333333333311</v>
      </c>
      <c r="AR52" s="386">
        <f t="shared" si="84"/>
        <v>1.1271063318603538</v>
      </c>
      <c r="AS52" s="386">
        <f t="shared" si="85"/>
        <v>2.0913949075945943</v>
      </c>
      <c r="AT52" s="386">
        <f t="shared" si="86"/>
        <v>0</v>
      </c>
      <c r="AU52" s="386">
        <f t="shared" si="87"/>
        <v>0.95039999999999991</v>
      </c>
      <c r="AV52" s="386">
        <f t="shared" si="88"/>
        <v>0.83044301134687992</v>
      </c>
      <c r="AW52" s="386">
        <f t="shared" si="33"/>
        <v>0.249</v>
      </c>
      <c r="AX52" s="386">
        <f t="shared" si="89"/>
        <v>0.14400000000000002</v>
      </c>
      <c r="AY52" s="386">
        <f t="shared" si="90"/>
        <v>1.2671999999999999</v>
      </c>
      <c r="AZ52" s="386">
        <f t="shared" si="36"/>
        <v>0.10439999999999998</v>
      </c>
      <c r="BA52" s="386">
        <f t="shared" si="57"/>
        <v>1.4112</v>
      </c>
      <c r="BB52" s="386">
        <f t="shared" si="58"/>
        <v>15.002046514145229</v>
      </c>
      <c r="BC52">
        <f t="shared" si="91"/>
        <v>206.39999999999998</v>
      </c>
      <c r="BD52" s="604">
        <f t="shared" si="51"/>
        <v>0.93224070531260073</v>
      </c>
      <c r="BE52" s="614">
        <f t="shared" si="92"/>
        <v>154.26712315806131</v>
      </c>
      <c r="BF52" s="614">
        <f t="shared" si="93"/>
        <v>72.036916593017679</v>
      </c>
      <c r="BG52" s="9"/>
      <c r="BH52" s="4">
        <f t="shared" si="52"/>
        <v>93.224070531260068</v>
      </c>
      <c r="BI52" s="386">
        <f t="shared" si="53"/>
        <v>4.253358533931789</v>
      </c>
      <c r="BJ52" s="386">
        <f t="shared" si="54"/>
        <v>8.1307701865609641</v>
      </c>
      <c r="BK52" s="386">
        <f t="shared" si="94"/>
        <v>3.0853424631612261</v>
      </c>
      <c r="BL52" s="386">
        <f t="shared" si="95"/>
        <v>1.4407383318603537</v>
      </c>
      <c r="BM52" s="386">
        <f t="shared" si="55"/>
        <v>0.83044301134687992</v>
      </c>
      <c r="BR52">
        <v>9.9959819999999997</v>
      </c>
      <c r="BS52">
        <v>11.519</v>
      </c>
      <c r="BT52">
        <v>5.1101260000000002</v>
      </c>
      <c r="BU52">
        <v>88.591390420220321</v>
      </c>
      <c r="BV52">
        <v>7580.3207309739973</v>
      </c>
    </row>
    <row r="53" spans="1:74" x14ac:dyDescent="0.3">
      <c r="A53" s="23" t="s">
        <v>76</v>
      </c>
      <c r="B53" s="5">
        <f>Vsd_Q2</f>
        <v>0.8</v>
      </c>
      <c r="C53" s="482" t="s">
        <v>0</v>
      </c>
      <c r="D53" s="21" t="s">
        <v>109</v>
      </c>
      <c r="G53">
        <v>44</v>
      </c>
      <c r="H53" s="610">
        <f t="shared" si="59"/>
        <v>12</v>
      </c>
      <c r="I53" s="4" t="str">
        <f t="shared" si="60"/>
        <v>BOOST</v>
      </c>
      <c r="J53">
        <f t="shared" si="43"/>
        <v>2</v>
      </c>
      <c r="K53" s="386">
        <f t="shared" si="96"/>
        <v>4.4000000000000004</v>
      </c>
      <c r="L53" s="4">
        <f t="shared" si="61"/>
        <v>19.555555555555557</v>
      </c>
      <c r="M53" s="4">
        <f t="shared" si="56"/>
        <v>17.926122886797309</v>
      </c>
      <c r="N53" s="386">
        <f t="shared" si="62"/>
        <v>1</v>
      </c>
      <c r="O53" s="386">
        <f t="shared" si="63"/>
        <v>0.75454815144435805</v>
      </c>
      <c r="P53" s="4">
        <f t="shared" si="64"/>
        <v>4.4843364033448712</v>
      </c>
      <c r="Q53" s="4">
        <f t="shared" si="65"/>
        <v>19.598355181867095</v>
      </c>
      <c r="R53" s="386">
        <f t="shared" si="7"/>
        <v>3.4254636213237477</v>
      </c>
      <c r="S53" s="386">
        <f t="shared" si="45"/>
        <v>1.0200456440647558</v>
      </c>
      <c r="T53" s="386">
        <f t="shared" si="46"/>
        <v>4.4455092653885036</v>
      </c>
      <c r="U53" s="4">
        <f t="shared" si="66"/>
        <v>8.0415461992824628</v>
      </c>
      <c r="V53" s="386">
        <f t="shared" si="9"/>
        <v>0.12933293055038847</v>
      </c>
      <c r="W53" s="386">
        <f t="shared" si="47"/>
        <v>0.12933293055038847</v>
      </c>
      <c r="X53" s="4">
        <f t="shared" si="67"/>
        <v>1.2945164148039998</v>
      </c>
      <c r="Y53" s="386">
        <f t="shared" si="11"/>
        <v>3.3515454963940028E-3</v>
      </c>
      <c r="Z53" s="603">
        <f t="shared" si="48"/>
        <v>3.3515454963940028E-3</v>
      </c>
      <c r="AA53" s="386">
        <f t="shared" si="68"/>
        <v>19.598355181867095</v>
      </c>
      <c r="AB53" s="386">
        <f t="shared" si="69"/>
        <v>2.1893444972573159</v>
      </c>
      <c r="AC53" s="386">
        <f t="shared" si="70"/>
        <v>0</v>
      </c>
      <c r="AD53" s="386">
        <f t="shared" si="71"/>
        <v>0</v>
      </c>
      <c r="AE53" s="386">
        <f t="shared" si="72"/>
        <v>3.8947222367182985</v>
      </c>
      <c r="AF53" s="386">
        <f t="shared" si="73"/>
        <v>0</v>
      </c>
      <c r="AG53" s="386">
        <f t="shared" si="74"/>
        <v>0</v>
      </c>
      <c r="AH53" s="386">
        <f t="shared" si="75"/>
        <v>0</v>
      </c>
      <c r="AI53" s="386">
        <f t="shared" si="76"/>
        <v>0</v>
      </c>
      <c r="AJ53" s="386">
        <f t="shared" si="77"/>
        <v>17.024058534807697</v>
      </c>
      <c r="AK53" s="386">
        <f t="shared" si="78"/>
        <v>0.55065528109346173</v>
      </c>
      <c r="AL53" s="386">
        <f t="shared" si="79"/>
        <v>1.7124874756055564</v>
      </c>
      <c r="AM53" s="386">
        <f t="shared" si="80"/>
        <v>0</v>
      </c>
      <c r="AN53" s="386">
        <f t="shared" si="81"/>
        <v>2.5432315314683054</v>
      </c>
      <c r="AO53" s="386">
        <f t="shared" si="49"/>
        <v>9.7096321680101791</v>
      </c>
      <c r="AP53" s="386">
        <f t="shared" si="82"/>
        <v>0.17912621799231029</v>
      </c>
      <c r="AQ53" s="386">
        <f t="shared" si="83"/>
        <v>0.93866666666666676</v>
      </c>
      <c r="AR53" s="386">
        <f t="shared" si="84"/>
        <v>1.1593260217999979</v>
      </c>
      <c r="AS53" s="386">
        <f t="shared" si="85"/>
        <v>2.1893444972573159</v>
      </c>
      <c r="AT53" s="386">
        <f t="shared" si="86"/>
        <v>0</v>
      </c>
      <c r="AU53" s="386">
        <f t="shared" si="87"/>
        <v>0.95039999999999991</v>
      </c>
      <c r="AV53" s="386">
        <f t="shared" si="88"/>
        <v>0.86945570698967634</v>
      </c>
      <c r="AW53" s="386">
        <f t="shared" si="33"/>
        <v>0.249</v>
      </c>
      <c r="AX53" s="386">
        <f t="shared" si="89"/>
        <v>0.14400000000000002</v>
      </c>
      <c r="AY53" s="386">
        <f t="shared" si="90"/>
        <v>1.2671999999999999</v>
      </c>
      <c r="AZ53" s="386">
        <f t="shared" si="36"/>
        <v>0.10439999999999998</v>
      </c>
      <c r="BA53" s="386">
        <f t="shared" si="57"/>
        <v>1.4112</v>
      </c>
      <c r="BB53" s="386">
        <f t="shared" si="58"/>
        <v>15.655529238411566</v>
      </c>
      <c r="BC53">
        <f t="shared" si="91"/>
        <v>211.20000000000002</v>
      </c>
      <c r="BD53" s="604">
        <f t="shared" si="51"/>
        <v>0.93098898981669287</v>
      </c>
      <c r="BE53" s="614">
        <f t="shared" si="92"/>
        <v>158.52477657341527</v>
      </c>
      <c r="BF53" s="614">
        <f t="shared" si="93"/>
        <v>73.647901089999891</v>
      </c>
      <c r="BG53" s="9"/>
      <c r="BH53" s="4">
        <f t="shared" si="52"/>
        <v>93.098898981669294</v>
      </c>
      <c r="BI53" s="386">
        <f t="shared" si="53"/>
        <v>4.4455092653885036</v>
      </c>
      <c r="BJ53" s="386">
        <f t="shared" si="54"/>
        <v>8.5476797899866028</v>
      </c>
      <c r="BK53" s="386">
        <f t="shared" si="94"/>
        <v>3.1704955314683052</v>
      </c>
      <c r="BL53" s="386">
        <f t="shared" si="95"/>
        <v>1.4729580217999978</v>
      </c>
      <c r="BM53" s="386">
        <f t="shared" si="55"/>
        <v>0.86945570698967634</v>
      </c>
      <c r="BR53">
        <v>9.9955739999999995</v>
      </c>
      <c r="BS53">
        <v>12.605</v>
      </c>
      <c r="BT53">
        <v>5.1111979999999999</v>
      </c>
      <c r="BU53">
        <v>87.386508098290477</v>
      </c>
      <c r="BV53">
        <v>9299.4335961019988</v>
      </c>
    </row>
    <row r="54" spans="1:74" x14ac:dyDescent="0.3">
      <c r="A54" s="23" t="s">
        <v>77</v>
      </c>
      <c r="B54" s="5">
        <f>Qrr_Q2*1000000000</f>
        <v>62.999999999999993</v>
      </c>
      <c r="C54" s="482" t="s">
        <v>69</v>
      </c>
      <c r="D54" s="21" t="s">
        <v>114</v>
      </c>
      <c r="G54">
        <v>45</v>
      </c>
      <c r="H54" s="610">
        <f t="shared" si="59"/>
        <v>12</v>
      </c>
      <c r="I54" s="4" t="str">
        <f t="shared" si="60"/>
        <v>BOOST</v>
      </c>
      <c r="J54">
        <f t="shared" si="43"/>
        <v>2</v>
      </c>
      <c r="K54" s="386">
        <f t="shared" si="96"/>
        <v>4.5</v>
      </c>
      <c r="L54" s="4">
        <f t="shared" si="61"/>
        <v>20</v>
      </c>
      <c r="M54" s="4">
        <f t="shared" si="56"/>
        <v>18.341268491753102</v>
      </c>
      <c r="N54" s="386">
        <f t="shared" si="62"/>
        <v>1</v>
      </c>
      <c r="O54" s="386">
        <f t="shared" si="63"/>
        <v>0.75465164789319983</v>
      </c>
      <c r="P54" s="4">
        <f t="shared" si="64"/>
        <v>4.4829356982423327</v>
      </c>
      <c r="Q54" s="4">
        <f t="shared" si="65"/>
        <v>20.041824418938212</v>
      </c>
      <c r="R54" s="386">
        <f t="shared" si="7"/>
        <v>3.6277388463334943</v>
      </c>
      <c r="S54" s="386">
        <f t="shared" si="45"/>
        <v>1.0193117013674706</v>
      </c>
      <c r="T54" s="386">
        <f t="shared" si="46"/>
        <v>4.6470505477009647</v>
      </c>
      <c r="U54" s="4">
        <f t="shared" si="66"/>
        <v>8.2119969113150262</v>
      </c>
      <c r="V54" s="386">
        <f t="shared" si="9"/>
        <v>0.13487378654289506</v>
      </c>
      <c r="W54" s="386">
        <f t="shared" si="47"/>
        <v>0.13487378654289506</v>
      </c>
      <c r="X54" s="4">
        <f t="shared" si="67"/>
        <v>1.294112066069997</v>
      </c>
      <c r="Y54" s="386">
        <f t="shared" si="11"/>
        <v>3.3494520790959123E-3</v>
      </c>
      <c r="Z54" s="603">
        <f t="shared" si="48"/>
        <v>3.3494520790959123E-3</v>
      </c>
      <c r="AA54" s="386">
        <f t="shared" si="68"/>
        <v>20.041824418938212</v>
      </c>
      <c r="AB54" s="386">
        <f t="shared" si="69"/>
        <v>2.289545938425424</v>
      </c>
      <c r="AC54" s="386">
        <f t="shared" si="70"/>
        <v>0</v>
      </c>
      <c r="AD54" s="386">
        <f t="shared" si="71"/>
        <v>0</v>
      </c>
      <c r="AE54" s="386">
        <f t="shared" si="72"/>
        <v>4.2235468419917899</v>
      </c>
      <c r="AF54" s="386">
        <f t="shared" si="73"/>
        <v>0</v>
      </c>
      <c r="AG54" s="386">
        <f t="shared" si="74"/>
        <v>0</v>
      </c>
      <c r="AH54" s="386">
        <f t="shared" si="75"/>
        <v>0</v>
      </c>
      <c r="AI54" s="386">
        <f t="shared" si="76"/>
        <v>0</v>
      </c>
      <c r="AJ54" s="386">
        <f t="shared" si="77"/>
        <v>17.410470812783739</v>
      </c>
      <c r="AK54" s="386">
        <f t="shared" si="78"/>
        <v>0.5759365384533095</v>
      </c>
      <c r="AL54" s="386">
        <f t="shared" si="79"/>
        <v>1.7514076455056826</v>
      </c>
      <c r="AM54" s="386">
        <f t="shared" si="80"/>
        <v>0</v>
      </c>
      <c r="AN54" s="386">
        <f t="shared" si="81"/>
        <v>2.6303241399992627</v>
      </c>
      <c r="AO54" s="386">
        <f t="shared" si="49"/>
        <v>9.9272469555639411</v>
      </c>
      <c r="AP54" s="386">
        <f t="shared" si="82"/>
        <v>0.18724544102183172</v>
      </c>
      <c r="AQ54" s="386">
        <f t="shared" si="83"/>
        <v>0.96</v>
      </c>
      <c r="AR54" s="386">
        <f t="shared" si="84"/>
        <v>1.191880270396972</v>
      </c>
      <c r="AS54" s="386">
        <f t="shared" si="85"/>
        <v>2.289545938425424</v>
      </c>
      <c r="AT54" s="386">
        <f t="shared" si="86"/>
        <v>0</v>
      </c>
      <c r="AU54" s="386">
        <f t="shared" si="87"/>
        <v>0.95039999999999991</v>
      </c>
      <c r="AV54" s="386">
        <f t="shared" si="88"/>
        <v>0.90937348176838351</v>
      </c>
      <c r="AW54" s="386">
        <f t="shared" si="33"/>
        <v>0.249</v>
      </c>
      <c r="AX54" s="386">
        <f t="shared" si="89"/>
        <v>0.14400000000000002</v>
      </c>
      <c r="AY54" s="386">
        <f t="shared" si="90"/>
        <v>1.2671999999999999</v>
      </c>
      <c r="AZ54" s="386">
        <f t="shared" si="36"/>
        <v>0.10439999999999998</v>
      </c>
      <c r="BA54" s="386">
        <f t="shared" si="57"/>
        <v>1.4112</v>
      </c>
      <c r="BB54" s="386">
        <f t="shared" si="58"/>
        <v>16.350998520479362</v>
      </c>
      <c r="BC54">
        <f t="shared" si="91"/>
        <v>216</v>
      </c>
      <c r="BD54" s="604">
        <f t="shared" si="51"/>
        <v>0.92962802559663549</v>
      </c>
      <c r="BE54" s="614">
        <f t="shared" si="92"/>
        <v>162.87940699996312</v>
      </c>
      <c r="BF54" s="614">
        <f t="shared" si="93"/>
        <v>75.275613519848591</v>
      </c>
      <c r="BG54" s="9"/>
      <c r="BH54" s="4">
        <f t="shared" si="52"/>
        <v>92.962802559663544</v>
      </c>
      <c r="BI54" s="386">
        <f t="shared" si="53"/>
        <v>4.6470505477009647</v>
      </c>
      <c r="BJ54" s="386">
        <f t="shared" si="54"/>
        <v>8.9961512523880245</v>
      </c>
      <c r="BK54" s="386">
        <f t="shared" si="94"/>
        <v>3.2575881399992626</v>
      </c>
      <c r="BL54" s="386">
        <f t="shared" si="95"/>
        <v>1.5055122703969719</v>
      </c>
      <c r="BM54" s="386">
        <f t="shared" si="55"/>
        <v>0.90937348176838351</v>
      </c>
      <c r="BR54">
        <v>9.9949670000000008</v>
      </c>
      <c r="BS54">
        <v>13.75</v>
      </c>
      <c r="BT54">
        <v>5.1122329999999998</v>
      </c>
      <c r="BU54">
        <v>85.985113444924963</v>
      </c>
      <c r="BV54">
        <v>11457.230537720005</v>
      </c>
    </row>
    <row r="55" spans="1:74" x14ac:dyDescent="0.3">
      <c r="A55" s="23" t="s">
        <v>78</v>
      </c>
      <c r="B55" s="5">
        <f>Trr_Q2*1000000000</f>
        <v>40</v>
      </c>
      <c r="C55" s="482" t="s">
        <v>79</v>
      </c>
      <c r="D55" s="76" t="s">
        <v>110</v>
      </c>
      <c r="G55">
        <v>46</v>
      </c>
      <c r="H55" s="610">
        <f t="shared" si="59"/>
        <v>12</v>
      </c>
      <c r="I55" s="4" t="str">
        <f t="shared" si="60"/>
        <v>BOOST</v>
      </c>
      <c r="J55">
        <f t="shared" si="43"/>
        <v>2</v>
      </c>
      <c r="K55" s="386">
        <f t="shared" si="96"/>
        <v>4.5999999999999996</v>
      </c>
      <c r="L55" s="4">
        <f t="shared" si="61"/>
        <v>20.444444444444443</v>
      </c>
      <c r="M55" s="4">
        <f t="shared" si="56"/>
        <v>18.75676493047942</v>
      </c>
      <c r="N55" s="386">
        <f t="shared" si="62"/>
        <v>1</v>
      </c>
      <c r="O55" s="386">
        <f t="shared" si="63"/>
        <v>0.7547551500992008</v>
      </c>
      <c r="P55" s="4">
        <f t="shared" si="64"/>
        <v>4.4815344744139436</v>
      </c>
      <c r="Q55" s="4">
        <f t="shared" si="65"/>
        <v>20.485335923836395</v>
      </c>
      <c r="R55" s="386">
        <f t="shared" si="7"/>
        <v>3.8399426128062779</v>
      </c>
      <c r="S55" s="386">
        <f t="shared" si="45"/>
        <v>1.0185777860092682</v>
      </c>
      <c r="T55" s="386">
        <f t="shared" si="46"/>
        <v>4.8585203988155463</v>
      </c>
      <c r="U55" s="4">
        <f t="shared" si="66"/>
        <v>8.3828374091467523</v>
      </c>
      <c r="V55" s="386">
        <f t="shared" si="9"/>
        <v>0.1405439260563805</v>
      </c>
      <c r="W55" s="386">
        <f t="shared" si="47"/>
        <v>0.1405439260563805</v>
      </c>
      <c r="X55" s="4">
        <f t="shared" si="67"/>
        <v>1.2937075675927392</v>
      </c>
      <c r="Y55" s="386">
        <f t="shared" si="11"/>
        <v>3.3473585408934437E-3</v>
      </c>
      <c r="Z55" s="603">
        <f t="shared" si="48"/>
        <v>3.3473585408934437E-3</v>
      </c>
      <c r="AA55" s="386">
        <f t="shared" si="68"/>
        <v>20.485335923836395</v>
      </c>
      <c r="AB55" s="386">
        <f t="shared" si="69"/>
        <v>2.3919992311008054</v>
      </c>
      <c r="AC55" s="386">
        <f t="shared" si="70"/>
        <v>0</v>
      </c>
      <c r="AD55" s="386">
        <f t="shared" si="71"/>
        <v>0</v>
      </c>
      <c r="AE55" s="386">
        <f t="shared" si="72"/>
        <v>4.5858867444092803</v>
      </c>
      <c r="AF55" s="386">
        <f t="shared" si="73"/>
        <v>0</v>
      </c>
      <c r="AG55" s="386">
        <f t="shared" si="74"/>
        <v>0</v>
      </c>
      <c r="AH55" s="386">
        <f t="shared" si="75"/>
        <v>0</v>
      </c>
      <c r="AI55" s="386">
        <f t="shared" si="76"/>
        <v>0</v>
      </c>
      <c r="AJ55" s="386">
        <f t="shared" si="77"/>
        <v>17.796972631906183</v>
      </c>
      <c r="AK55" s="386">
        <f t="shared" si="78"/>
        <v>0.60179124623555358</v>
      </c>
      <c r="AL55" s="386">
        <f t="shared" si="79"/>
        <v>1.7903278154058089</v>
      </c>
      <c r="AM55" s="386">
        <f t="shared" si="80"/>
        <v>0</v>
      </c>
      <c r="AN55" s="386">
        <f t="shared" si="81"/>
        <v>2.7194241969460147</v>
      </c>
      <c r="AO55" s="386">
        <f t="shared" si="49"/>
        <v>10.144789453290995</v>
      </c>
      <c r="AP55" s="386">
        <f t="shared" si="82"/>
        <v>0.19554183079804799</v>
      </c>
      <c r="AQ55" s="386">
        <f t="shared" si="83"/>
        <v>0.98133333333333328</v>
      </c>
      <c r="AR55" s="386">
        <f t="shared" si="84"/>
        <v>1.2247740772055331</v>
      </c>
      <c r="AS55" s="386">
        <f t="shared" si="85"/>
        <v>2.3919992311008054</v>
      </c>
      <c r="AT55" s="386">
        <f t="shared" si="86"/>
        <v>0</v>
      </c>
      <c r="AU55" s="386">
        <f t="shared" si="87"/>
        <v>0.95039999999999991</v>
      </c>
      <c r="AV55" s="386">
        <f t="shared" si="88"/>
        <v>0.95019670458245309</v>
      </c>
      <c r="AW55" s="386">
        <f t="shared" si="33"/>
        <v>0.249</v>
      </c>
      <c r="AX55" s="386">
        <f t="shared" si="89"/>
        <v>0.14400000000000002</v>
      </c>
      <c r="AY55" s="386">
        <f t="shared" si="90"/>
        <v>1.2671999999999999</v>
      </c>
      <c r="AZ55" s="386">
        <f t="shared" si="36"/>
        <v>0.10439999999999998</v>
      </c>
      <c r="BA55" s="386">
        <f t="shared" si="57"/>
        <v>1.4112</v>
      </c>
      <c r="BB55" s="386">
        <f t="shared" si="58"/>
        <v>17.0932934065561</v>
      </c>
      <c r="BC55">
        <f t="shared" si="91"/>
        <v>220.79999999999998</v>
      </c>
      <c r="BD55" s="604">
        <f t="shared" si="51"/>
        <v>0.92814722448966258</v>
      </c>
      <c r="BE55" s="614">
        <f t="shared" si="92"/>
        <v>167.33440984730072</v>
      </c>
      <c r="BF55" s="614">
        <f t="shared" si="93"/>
        <v>76.920303860276647</v>
      </c>
      <c r="BG55" s="9"/>
      <c r="BH55" s="4">
        <f t="shared" si="52"/>
        <v>92.814722448966265</v>
      </c>
      <c r="BI55" s="386">
        <f t="shared" si="53"/>
        <v>4.8585203988155463</v>
      </c>
      <c r="BJ55" s="386">
        <f t="shared" si="54"/>
        <v>9.4804850185608274</v>
      </c>
      <c r="BK55" s="386">
        <f t="shared" si="94"/>
        <v>3.3466881969460145</v>
      </c>
      <c r="BL55" s="386">
        <f t="shared" si="95"/>
        <v>1.538406077205533</v>
      </c>
      <c r="BM55" s="386">
        <f t="shared" si="55"/>
        <v>0.95019670458245309</v>
      </c>
      <c r="BR55">
        <v>9.9943860000000004</v>
      </c>
      <c r="BS55">
        <v>14.954000000000001</v>
      </c>
      <c r="BT55">
        <v>5.1130310000000003</v>
      </c>
      <c r="BU55">
        <v>84.352650264578628</v>
      </c>
      <c r="BV55">
        <v>14183.318533699994</v>
      </c>
    </row>
    <row r="56" spans="1:74" ht="14.15" x14ac:dyDescent="0.4">
      <c r="A56" s="488" t="s">
        <v>679</v>
      </c>
      <c r="B56" s="5">
        <f>ThetaJA_Q2</f>
        <v>50</v>
      </c>
      <c r="C56" s="483" t="s">
        <v>241</v>
      </c>
      <c r="D56" s="76" t="s">
        <v>107</v>
      </c>
      <c r="E56" s="2"/>
      <c r="G56">
        <v>47</v>
      </c>
      <c r="H56" s="610">
        <f t="shared" si="59"/>
        <v>12</v>
      </c>
      <c r="I56" s="4" t="str">
        <f t="shared" si="60"/>
        <v>BOOST</v>
      </c>
      <c r="J56">
        <f t="shared" si="43"/>
        <v>2</v>
      </c>
      <c r="K56" s="386">
        <f t="shared" si="96"/>
        <v>4.7</v>
      </c>
      <c r="L56" s="4">
        <f t="shared" si="61"/>
        <v>20.888888888888889</v>
      </c>
      <c r="M56" s="4">
        <f t="shared" si="56"/>
        <v>19.172612676668919</v>
      </c>
      <c r="N56" s="386">
        <f t="shared" si="62"/>
        <v>1</v>
      </c>
      <c r="O56" s="386">
        <f t="shared" si="63"/>
        <v>0.75485865806284125</v>
      </c>
      <c r="P56" s="4">
        <f t="shared" si="64"/>
        <v>4.4801327318164246</v>
      </c>
      <c r="Q56" s="4">
        <f t="shared" si="65"/>
        <v>20.928887009431964</v>
      </c>
      <c r="R56" s="386">
        <f t="shared" si="7"/>
        <v>4.0626587878420324</v>
      </c>
      <c r="S56" s="386">
        <f t="shared" si="45"/>
        <v>1.0178438982713287</v>
      </c>
      <c r="T56" s="386">
        <f t="shared" si="46"/>
        <v>5.0805026861133609</v>
      </c>
      <c r="U56" s="4">
        <f t="shared" si="66"/>
        <v>8.5540506206856683</v>
      </c>
      <c r="V56" s="386">
        <f t="shared" si="9"/>
        <v>0.14634356404250573</v>
      </c>
      <c r="W56" s="386">
        <f t="shared" si="47"/>
        <v>0.14634356404250573</v>
      </c>
      <c r="X56" s="4">
        <f t="shared" si="67"/>
        <v>1.2933029193597332</v>
      </c>
      <c r="Y56" s="386">
        <f t="shared" si="11"/>
        <v>3.3452648824488168E-3</v>
      </c>
      <c r="Z56" s="603">
        <f t="shared" si="48"/>
        <v>3.3452648824488168E-3</v>
      </c>
      <c r="AA56" s="386">
        <f t="shared" si="68"/>
        <v>20.928887009431964</v>
      </c>
      <c r="AB56" s="386">
        <f t="shared" si="69"/>
        <v>2.4967043752853493</v>
      </c>
      <c r="AC56" s="386">
        <f t="shared" si="70"/>
        <v>0</v>
      </c>
      <c r="AD56" s="386">
        <f t="shared" si="71"/>
        <v>0</v>
      </c>
      <c r="AE56" s="386">
        <f t="shared" si="72"/>
        <v>4.9868348560908524</v>
      </c>
      <c r="AF56" s="386">
        <f t="shared" si="73"/>
        <v>0</v>
      </c>
      <c r="AG56" s="386">
        <f t="shared" si="74"/>
        <v>0</v>
      </c>
      <c r="AH56" s="386">
        <f t="shared" si="75"/>
        <v>0</v>
      </c>
      <c r="AI56" s="386">
        <f t="shared" si="76"/>
        <v>0</v>
      </c>
      <c r="AJ56" s="386">
        <f t="shared" si="77"/>
        <v>18.183561664063326</v>
      </c>
      <c r="AK56" s="386">
        <f t="shared" si="78"/>
        <v>0.62821963810250758</v>
      </c>
      <c r="AL56" s="386">
        <f t="shared" si="79"/>
        <v>1.8292479853059351</v>
      </c>
      <c r="AM56" s="386">
        <f t="shared" si="80"/>
        <v>0</v>
      </c>
      <c r="AN56" s="386">
        <f t="shared" si="81"/>
        <v>2.8106027979203225</v>
      </c>
      <c r="AO56" s="386">
        <f t="shared" si="49"/>
        <v>10.36225828006504</v>
      </c>
      <c r="AP56" s="386">
        <f t="shared" si="82"/>
        <v>0.20401515365927533</v>
      </c>
      <c r="AQ56" s="386">
        <f t="shared" si="83"/>
        <v>1.0026666666666668</v>
      </c>
      <c r="AR56" s="386">
        <f t="shared" si="84"/>
        <v>1.2580125448547081</v>
      </c>
      <c r="AS56" s="386">
        <f t="shared" si="85"/>
        <v>2.4967043752853493</v>
      </c>
      <c r="AT56" s="386">
        <f t="shared" si="86"/>
        <v>0</v>
      </c>
      <c r="AU56" s="386">
        <f t="shared" si="87"/>
        <v>0.95039999999999991</v>
      </c>
      <c r="AV56" s="386">
        <f t="shared" si="88"/>
        <v>0.99192574437238046</v>
      </c>
      <c r="AW56" s="386">
        <f t="shared" si="33"/>
        <v>0.249</v>
      </c>
      <c r="AX56" s="386">
        <f t="shared" si="89"/>
        <v>0.14400000000000002</v>
      </c>
      <c r="AY56" s="386">
        <f t="shared" si="90"/>
        <v>1.2671999999999999</v>
      </c>
      <c r="AZ56" s="386">
        <f t="shared" si="36"/>
        <v>0.10439999999999998</v>
      </c>
      <c r="BA56" s="386">
        <f t="shared" si="57"/>
        <v>1.4112</v>
      </c>
      <c r="BB56" s="386">
        <f t="shared" si="58"/>
        <v>17.88816745827658</v>
      </c>
      <c r="BC56">
        <f t="shared" si="91"/>
        <v>225.60000000000002</v>
      </c>
      <c r="BD56" s="604">
        <f t="shared" si="51"/>
        <v>0.92653372997543371</v>
      </c>
      <c r="BE56" s="614">
        <f t="shared" si="92"/>
        <v>171.89333989601613</v>
      </c>
      <c r="BF56" s="614">
        <f t="shared" si="93"/>
        <v>78.582227242735399</v>
      </c>
      <c r="BG56" s="9"/>
      <c r="BH56" s="4">
        <f t="shared" si="52"/>
        <v>92.653372997543372</v>
      </c>
      <c r="BI56" s="386">
        <f t="shared" si="53"/>
        <v>5.0805026861133609</v>
      </c>
      <c r="BJ56" s="386">
        <f t="shared" si="54"/>
        <v>10.005850198865883</v>
      </c>
      <c r="BK56" s="386">
        <f t="shared" si="94"/>
        <v>3.4378667979203223</v>
      </c>
      <c r="BL56" s="386">
        <f t="shared" si="95"/>
        <v>1.5716445448547081</v>
      </c>
      <c r="BM56" s="386">
        <f t="shared" si="55"/>
        <v>0.99192574437238046</v>
      </c>
      <c r="BS56" s="18"/>
      <c r="BT56" s="19"/>
    </row>
    <row r="57" spans="1:74" x14ac:dyDescent="0.3">
      <c r="A57" s="24" t="s">
        <v>279</v>
      </c>
      <c r="B57" s="15" t="s">
        <v>115</v>
      </c>
      <c r="C57" s="24" t="s">
        <v>80</v>
      </c>
      <c r="D57" s="24" t="s">
        <v>249</v>
      </c>
      <c r="G57">
        <v>48</v>
      </c>
      <c r="H57" s="610">
        <f t="shared" si="59"/>
        <v>12</v>
      </c>
      <c r="I57" s="4" t="str">
        <f t="shared" si="60"/>
        <v>BOOST</v>
      </c>
      <c r="J57">
        <f t="shared" si="43"/>
        <v>2</v>
      </c>
      <c r="K57" s="386">
        <f t="shared" si="96"/>
        <v>4.8</v>
      </c>
      <c r="L57" s="4">
        <f t="shared" si="61"/>
        <v>21.333333333333329</v>
      </c>
      <c r="M57" s="4">
        <f t="shared" si="56"/>
        <v>19.588812204867416</v>
      </c>
      <c r="N57" s="386">
        <f t="shared" si="62"/>
        <v>1</v>
      </c>
      <c r="O57" s="386">
        <f t="shared" si="63"/>
        <v>0.75496217178460168</v>
      </c>
      <c r="P57" s="4">
        <f t="shared" si="64"/>
        <v>4.4787304704064832</v>
      </c>
      <c r="Q57" s="4">
        <f t="shared" si="65"/>
        <v>21.37247521143312</v>
      </c>
      <c r="R57" s="386">
        <f t="shared" si="7"/>
        <v>4.2965219243295278</v>
      </c>
      <c r="S57" s="386">
        <f t="shared" si="45"/>
        <v>1.0171100384349168</v>
      </c>
      <c r="T57" s="386">
        <f t="shared" si="46"/>
        <v>5.313631962764445</v>
      </c>
      <c r="U57" s="4">
        <f t="shared" si="66"/>
        <v>8.7256207756261102</v>
      </c>
      <c r="V57" s="386">
        <f t="shared" si="9"/>
        <v>0.15227291584007599</v>
      </c>
      <c r="W57" s="386">
        <f t="shared" si="47"/>
        <v>0.15227291584007599</v>
      </c>
      <c r="X57" s="4">
        <f t="shared" si="67"/>
        <v>1.2928981213584811</v>
      </c>
      <c r="Y57" s="386">
        <f t="shared" si="11"/>
        <v>3.3431711044245795E-3</v>
      </c>
      <c r="Z57" s="603">
        <f t="shared" si="48"/>
        <v>3.3431711044245795E-3</v>
      </c>
      <c r="AA57" s="386">
        <f t="shared" si="68"/>
        <v>21.37247521143312</v>
      </c>
      <c r="AB57" s="386">
        <f t="shared" si="69"/>
        <v>2.6036613709809422</v>
      </c>
      <c r="AC57" s="386">
        <f t="shared" si="70"/>
        <v>0</v>
      </c>
      <c r="AD57" s="386">
        <f t="shared" si="71"/>
        <v>0</v>
      </c>
      <c r="AE57" s="386">
        <f t="shared" si="72"/>
        <v>5.432582314225666</v>
      </c>
      <c r="AF57" s="386">
        <f t="shared" si="73"/>
        <v>0</v>
      </c>
      <c r="AG57" s="386">
        <f t="shared" si="74"/>
        <v>0</v>
      </c>
      <c r="AH57" s="386">
        <f t="shared" si="75"/>
        <v>0</v>
      </c>
      <c r="AI57" s="386">
        <f t="shared" si="76"/>
        <v>0</v>
      </c>
      <c r="AJ57" s="386">
        <f t="shared" si="77"/>
        <v>18.570235774124395</v>
      </c>
      <c r="AK57" s="386">
        <f t="shared" si="78"/>
        <v>0.65522194774248199</v>
      </c>
      <c r="AL57" s="386">
        <f t="shared" si="79"/>
        <v>1.8681681552060612</v>
      </c>
      <c r="AM57" s="386">
        <f t="shared" si="80"/>
        <v>0</v>
      </c>
      <c r="AN57" s="386">
        <f t="shared" si="81"/>
        <v>2.9039344157492764</v>
      </c>
      <c r="AO57" s="386">
        <f t="shared" si="49"/>
        <v>10.579652166151483</v>
      </c>
      <c r="AP57" s="386">
        <f t="shared" si="82"/>
        <v>0.21266517591783216</v>
      </c>
      <c r="AQ57" s="386">
        <f t="shared" si="83"/>
        <v>1.0239999999999998</v>
      </c>
      <c r="AR57" s="386">
        <f t="shared" si="84"/>
        <v>1.291600881660629</v>
      </c>
      <c r="AS57" s="386">
        <f t="shared" si="85"/>
        <v>2.6036613709809422</v>
      </c>
      <c r="AT57" s="386">
        <f t="shared" si="86"/>
        <v>0</v>
      </c>
      <c r="AU57" s="386">
        <f t="shared" si="87"/>
        <v>0.95039999999999991</v>
      </c>
      <c r="AV57" s="386">
        <f t="shared" si="88"/>
        <v>1.0345609701197085</v>
      </c>
      <c r="AW57" s="386">
        <f t="shared" si="33"/>
        <v>0.249</v>
      </c>
      <c r="AX57" s="386">
        <f t="shared" si="89"/>
        <v>0.14400000000000002</v>
      </c>
      <c r="AY57" s="386">
        <f t="shared" si="90"/>
        <v>1.2671999999999999</v>
      </c>
      <c r="AZ57" s="386">
        <f t="shared" si="36"/>
        <v>0.10439999999999998</v>
      </c>
      <c r="BA57" s="386">
        <f t="shared" si="57"/>
        <v>1.4112</v>
      </c>
      <c r="BB57" s="386">
        <f t="shared" si="58"/>
        <v>18.742526631464226</v>
      </c>
      <c r="BC57">
        <f t="shared" si="91"/>
        <v>230.39999999999998</v>
      </c>
      <c r="BD57" s="604">
        <f t="shared" si="51"/>
        <v>0.92477186899854924</v>
      </c>
      <c r="BE57" s="614">
        <f t="shared" si="92"/>
        <v>176.5599207874638</v>
      </c>
      <c r="BF57" s="614">
        <f t="shared" si="93"/>
        <v>80.261644083031442</v>
      </c>
      <c r="BG57" s="9"/>
      <c r="BH57" s="4">
        <f t="shared" si="52"/>
        <v>92.477186899854928</v>
      </c>
      <c r="BI57" s="386">
        <f t="shared" si="53"/>
        <v>5.313631962764445</v>
      </c>
      <c r="BJ57" s="386">
        <f t="shared" si="54"/>
        <v>10.578517611635572</v>
      </c>
      <c r="BK57" s="386">
        <f t="shared" si="94"/>
        <v>3.5311984157492762</v>
      </c>
      <c r="BL57" s="386">
        <f t="shared" si="95"/>
        <v>1.6052328816606289</v>
      </c>
      <c r="BM57" s="386">
        <f t="shared" si="55"/>
        <v>1.0345609701197085</v>
      </c>
      <c r="BS57" s="18"/>
      <c r="BT57" s="19"/>
    </row>
    <row r="58" spans="1:74" x14ac:dyDescent="0.3">
      <c r="A58" s="23" t="s">
        <v>231</v>
      </c>
      <c r="B58" s="73">
        <f>VfdSky_Q2</f>
        <v>0</v>
      </c>
      <c r="C58" s="482" t="s">
        <v>0</v>
      </c>
      <c r="D58" s="76" t="s">
        <v>234</v>
      </c>
      <c r="G58">
        <v>49</v>
      </c>
      <c r="H58" s="610">
        <f t="shared" si="59"/>
        <v>12</v>
      </c>
      <c r="I58" s="4" t="str">
        <f t="shared" si="60"/>
        <v>BOOST</v>
      </c>
      <c r="J58">
        <f t="shared" si="43"/>
        <v>2</v>
      </c>
      <c r="K58" s="386">
        <f t="shared" si="96"/>
        <v>4.9000000000000004</v>
      </c>
      <c r="L58" s="4">
        <f t="shared" si="61"/>
        <v>21.777777777777779</v>
      </c>
      <c r="M58" s="4">
        <f t="shared" si="56"/>
        <v>20.005363990475804</v>
      </c>
      <c r="N58" s="386">
        <f t="shared" si="62"/>
        <v>1</v>
      </c>
      <c r="O58" s="386">
        <f t="shared" si="63"/>
        <v>0.75506569126496259</v>
      </c>
      <c r="P58" s="4">
        <f t="shared" si="64"/>
        <v>4.4773276901408288</v>
      </c>
      <c r="Q58" s="4">
        <f t="shared" si="65"/>
        <v>21.816098265776432</v>
      </c>
      <c r="R58" s="386">
        <f t="shared" si="7"/>
        <v>4.5422227292208435</v>
      </c>
      <c r="S58" s="386">
        <f t="shared" si="45"/>
        <v>1.0163762067813866</v>
      </c>
      <c r="T58" s="386">
        <f t="shared" si="46"/>
        <v>5.5585989360022303</v>
      </c>
      <c r="U58" s="4">
        <f t="shared" si="66"/>
        <v>8.8975332867012202</v>
      </c>
      <c r="V58" s="386">
        <f t="shared" si="9"/>
        <v>0.15833219717591243</v>
      </c>
      <c r="W58" s="386">
        <f t="shared" si="47"/>
        <v>0.15833219717591243</v>
      </c>
      <c r="X58" s="4">
        <f t="shared" si="67"/>
        <v>1.2924931735764864</v>
      </c>
      <c r="Y58" s="386">
        <f t="shared" si="11"/>
        <v>3.3410772074836349E-3</v>
      </c>
      <c r="Z58" s="603">
        <f t="shared" si="48"/>
        <v>3.3410772074836349E-3</v>
      </c>
      <c r="AA58" s="386">
        <f t="shared" si="68"/>
        <v>21.816098265776432</v>
      </c>
      <c r="AB58" s="386">
        <f t="shared" si="69"/>
        <v>2.7128702181894768</v>
      </c>
      <c r="AC58" s="386">
        <f t="shared" si="70"/>
        <v>0</v>
      </c>
      <c r="AD58" s="386">
        <f t="shared" si="71"/>
        <v>0</v>
      </c>
      <c r="AE58" s="386">
        <f t="shared" si="72"/>
        <v>5.9307308220216779</v>
      </c>
      <c r="AF58" s="386">
        <f t="shared" si="73"/>
        <v>0</v>
      </c>
      <c r="AG58" s="386">
        <f t="shared" si="74"/>
        <v>0</v>
      </c>
      <c r="AH58" s="386">
        <f t="shared" si="75"/>
        <v>0</v>
      </c>
      <c r="AI58" s="386">
        <f t="shared" si="76"/>
        <v>0</v>
      </c>
      <c r="AJ58" s="386">
        <f t="shared" si="77"/>
        <v>18.956993000359482</v>
      </c>
      <c r="AK58" s="386">
        <f t="shared" si="78"/>
        <v>0.68279840886978893</v>
      </c>
      <c r="AL58" s="386">
        <f t="shared" si="79"/>
        <v>1.9070883251061881</v>
      </c>
      <c r="AM58" s="386">
        <f t="shared" si="80"/>
        <v>0</v>
      </c>
      <c r="AN58" s="386">
        <f t="shared" si="81"/>
        <v>2.9994971039769815</v>
      </c>
      <c r="AO58" s="386">
        <f t="shared" si="49"/>
        <v>10.796969941901988</v>
      </c>
      <c r="AP58" s="386">
        <f t="shared" si="82"/>
        <v>0.22149166386003655</v>
      </c>
      <c r="AQ58" s="386">
        <f t="shared" si="83"/>
        <v>1.0453333333333334</v>
      </c>
      <c r="AR58" s="386">
        <f t="shared" si="84"/>
        <v>1.3255444043200102</v>
      </c>
      <c r="AS58" s="386">
        <f t="shared" si="85"/>
        <v>2.7128702181894768</v>
      </c>
      <c r="AT58" s="386">
        <f t="shared" si="86"/>
        <v>0</v>
      </c>
      <c r="AU58" s="386">
        <f t="shared" si="87"/>
        <v>0.95039999999999991</v>
      </c>
      <c r="AV58" s="386">
        <f t="shared" si="88"/>
        <v>1.0781027508470351</v>
      </c>
      <c r="AW58" s="386">
        <f t="shared" si="33"/>
        <v>0.249</v>
      </c>
      <c r="AX58" s="386">
        <f t="shared" si="89"/>
        <v>0.14400000000000002</v>
      </c>
      <c r="AY58" s="386">
        <f t="shared" si="90"/>
        <v>1.2671999999999999</v>
      </c>
      <c r="AZ58" s="386">
        <f t="shared" si="36"/>
        <v>0.10439999999999998</v>
      </c>
      <c r="BA58" s="386">
        <f t="shared" si="57"/>
        <v>1.4112</v>
      </c>
      <c r="BB58" s="386">
        <f t="shared" si="58"/>
        <v>19.664747291551329</v>
      </c>
      <c r="BC58">
        <f t="shared" si="91"/>
        <v>235.20000000000002</v>
      </c>
      <c r="BD58" s="604">
        <f t="shared" si="51"/>
        <v>0.92284241935956746</v>
      </c>
      <c r="BE58" s="614">
        <f t="shared" si="92"/>
        <v>181.33805519884908</v>
      </c>
      <c r="BF58" s="614">
        <f t="shared" si="93"/>
        <v>81.958820216000504</v>
      </c>
      <c r="BG58" s="9"/>
      <c r="BH58" s="4">
        <f t="shared" si="52"/>
        <v>92.284241935956743</v>
      </c>
      <c r="BI58" s="386">
        <f t="shared" si="53"/>
        <v>5.5585989360022303</v>
      </c>
      <c r="BJ58" s="386">
        <f t="shared" si="54"/>
        <v>11.206172330318671</v>
      </c>
      <c r="BK58" s="386">
        <f t="shared" si="94"/>
        <v>3.6267611039769814</v>
      </c>
      <c r="BL58" s="386">
        <f t="shared" si="95"/>
        <v>1.6391764043200101</v>
      </c>
      <c r="BM58" s="386">
        <f t="shared" si="55"/>
        <v>1.0781027508470351</v>
      </c>
      <c r="BS58" s="18"/>
      <c r="BT58" s="19"/>
    </row>
    <row r="59" spans="1:74" x14ac:dyDescent="0.3">
      <c r="A59" s="23" t="s">
        <v>232</v>
      </c>
      <c r="B59" s="73">
        <f>QrrSky_Q2*1000000000</f>
        <v>0</v>
      </c>
      <c r="C59" s="482" t="s">
        <v>69</v>
      </c>
      <c r="D59" s="76" t="s">
        <v>235</v>
      </c>
      <c r="G59">
        <v>50</v>
      </c>
      <c r="H59" s="610">
        <f t="shared" si="59"/>
        <v>12</v>
      </c>
      <c r="I59" s="4" t="str">
        <f t="shared" si="60"/>
        <v>BOOST</v>
      </c>
      <c r="J59">
        <f t="shared" si="43"/>
        <v>2</v>
      </c>
      <c r="K59" s="386">
        <f t="shared" si="96"/>
        <v>5</v>
      </c>
      <c r="L59" s="4">
        <f t="shared" si="61"/>
        <v>22.222222222222221</v>
      </c>
      <c r="M59" s="4">
        <f t="shared" si="56"/>
        <v>20.422268509751952</v>
      </c>
      <c r="N59" s="386">
        <f t="shared" si="62"/>
        <v>1</v>
      </c>
      <c r="O59" s="386">
        <f t="shared" si="63"/>
        <v>0.75516921650440438</v>
      </c>
      <c r="P59" s="4">
        <f t="shared" si="64"/>
        <v>4.4759243909761608</v>
      </c>
      <c r="Q59" s="4">
        <f t="shared" si="65"/>
        <v>22.259754088712924</v>
      </c>
      <c r="R59" s="386">
        <f t="shared" si="7"/>
        <v>4.8005142618660974</v>
      </c>
      <c r="S59" s="386">
        <f t="shared" si="45"/>
        <v>1.0156424035921794</v>
      </c>
      <c r="T59" s="386">
        <f t="shared" si="46"/>
        <v>5.8161566654582764</v>
      </c>
      <c r="U59" s="4">
        <f t="shared" si="66"/>
        <v>9.0697746434441839</v>
      </c>
      <c r="V59" s="386">
        <f t="shared" si="9"/>
        <v>0.16452162416572613</v>
      </c>
      <c r="W59" s="386">
        <f t="shared" si="47"/>
        <v>0.16452162416572613</v>
      </c>
      <c r="X59" s="4">
        <f t="shared" si="67"/>
        <v>1.2920880760012492</v>
      </c>
      <c r="Y59" s="386">
        <f t="shared" si="11"/>
        <v>3.3389831922892199E-3</v>
      </c>
      <c r="Z59" s="603">
        <f t="shared" si="48"/>
        <v>3.3389831922892199E-3</v>
      </c>
      <c r="AA59" s="386">
        <f t="shared" si="68"/>
        <v>22.259754088712924</v>
      </c>
      <c r="AB59" s="386">
        <f t="shared" si="69"/>
        <v>2.8243309169128392</v>
      </c>
      <c r="AC59" s="386">
        <f t="shared" si="70"/>
        <v>0</v>
      </c>
      <c r="AD59" s="386">
        <f t="shared" si="71"/>
        <v>0</v>
      </c>
      <c r="AE59" s="386">
        <f t="shared" si="72"/>
        <v>6.4907180482274018</v>
      </c>
      <c r="AF59" s="386">
        <f t="shared" si="73"/>
        <v>0</v>
      </c>
      <c r="AG59" s="386">
        <f t="shared" si="74"/>
        <v>0</v>
      </c>
      <c r="AH59" s="386">
        <f t="shared" si="75"/>
        <v>0</v>
      </c>
      <c r="AI59" s="386">
        <f t="shared" si="76"/>
        <v>0</v>
      </c>
      <c r="AJ59" s="386">
        <f t="shared" si="77"/>
        <v>19.343831537193953</v>
      </c>
      <c r="AK59" s="386">
        <f t="shared" si="78"/>
        <v>0.71094925522474484</v>
      </c>
      <c r="AL59" s="386">
        <f t="shared" si="79"/>
        <v>1.9460084950063137</v>
      </c>
      <c r="AM59" s="386">
        <f t="shared" si="80"/>
        <v>0</v>
      </c>
      <c r="AN59" s="386">
        <f t="shared" si="81"/>
        <v>3.0973727152420087</v>
      </c>
      <c r="AO59" s="386">
        <f t="shared" si="49"/>
        <v>11.014210527796912</v>
      </c>
      <c r="AP59" s="386">
        <f t="shared" si="82"/>
        <v>0.23049438374620143</v>
      </c>
      <c r="AQ59" s="386">
        <f t="shared" si="83"/>
        <v>1.0666666666666667</v>
      </c>
      <c r="AR59" s="386">
        <f t="shared" si="84"/>
        <v>1.359848540687663</v>
      </c>
      <c r="AS59" s="386">
        <f t="shared" si="85"/>
        <v>2.8243309169128392</v>
      </c>
      <c r="AT59" s="386">
        <f t="shared" si="86"/>
        <v>0</v>
      </c>
      <c r="AU59" s="386">
        <f t="shared" si="87"/>
        <v>0.95039999999999991</v>
      </c>
      <c r="AV59" s="386">
        <f t="shared" si="88"/>
        <v>1.1225514556180181</v>
      </c>
      <c r="AW59" s="386">
        <f t="shared" si="33"/>
        <v>0.249</v>
      </c>
      <c r="AX59" s="386">
        <f t="shared" si="89"/>
        <v>0.14400000000000002</v>
      </c>
      <c r="AY59" s="386">
        <f t="shared" si="90"/>
        <v>1.2671999999999999</v>
      </c>
      <c r="AZ59" s="386">
        <f t="shared" si="36"/>
        <v>0.10439999999999998</v>
      </c>
      <c r="BA59" s="386">
        <f t="shared" si="57"/>
        <v>1.4112</v>
      </c>
      <c r="BB59" s="386">
        <f t="shared" si="58"/>
        <v>20.66510803259138</v>
      </c>
      <c r="BC59">
        <f t="shared" si="91"/>
        <v>240</v>
      </c>
      <c r="BD59" s="604">
        <f t="shared" si="51"/>
        <v>0.92072161790826412</v>
      </c>
      <c r="BE59" s="614">
        <f t="shared" si="92"/>
        <v>186.23183576210042</v>
      </c>
      <c r="BF59" s="614">
        <f t="shared" si="93"/>
        <v>83.674027034383144</v>
      </c>
      <c r="BG59" s="9"/>
      <c r="BH59" s="4">
        <f t="shared" si="52"/>
        <v>92.072161790826414</v>
      </c>
      <c r="BI59" s="386">
        <f t="shared" si="53"/>
        <v>5.8161566654582764</v>
      </c>
      <c r="BJ59" s="386">
        <f t="shared" si="54"/>
        <v>11.898339304157073</v>
      </c>
      <c r="BK59" s="386">
        <f t="shared" si="94"/>
        <v>3.7246367152420086</v>
      </c>
      <c r="BL59" s="386">
        <f t="shared" si="95"/>
        <v>1.6734805406876629</v>
      </c>
      <c r="BM59" s="386">
        <f t="shared" si="55"/>
        <v>1.1225514556180181</v>
      </c>
      <c r="BS59" s="18"/>
      <c r="BT59" s="19"/>
    </row>
    <row r="60" spans="1:74" x14ac:dyDescent="0.3">
      <c r="A60" s="23" t="s">
        <v>233</v>
      </c>
      <c r="B60" s="73">
        <f>Ireverse</f>
        <v>0</v>
      </c>
      <c r="C60" s="482" t="s">
        <v>68</v>
      </c>
      <c r="D60" s="76" t="s">
        <v>236</v>
      </c>
      <c r="E60" s="2"/>
      <c r="G60">
        <v>51</v>
      </c>
      <c r="H60" s="610">
        <f t="shared" si="59"/>
        <v>12</v>
      </c>
      <c r="I60" s="4" t="str">
        <f t="shared" si="60"/>
        <v>BOOST</v>
      </c>
      <c r="J60">
        <f t="shared" si="43"/>
        <v>2</v>
      </c>
      <c r="K60" s="386">
        <f t="shared" si="96"/>
        <v>5.0999999999999996</v>
      </c>
      <c r="L60" s="4">
        <f t="shared" si="61"/>
        <v>22.666666666666664</v>
      </c>
      <c r="M60" s="4">
        <f t="shared" si="56"/>
        <v>20.839526239812681</v>
      </c>
      <c r="N60" s="386">
        <f t="shared" si="62"/>
        <v>1</v>
      </c>
      <c r="O60" s="386">
        <f t="shared" si="63"/>
        <v>0.75527274750340767</v>
      </c>
      <c r="P60" s="4">
        <f t="shared" si="64"/>
        <v>4.4745205728691788</v>
      </c>
      <c r="Q60" s="4">
        <f t="shared" si="65"/>
        <v>22.703440759222602</v>
      </c>
      <c r="R60" s="386">
        <f t="shared" si="7"/>
        <v>5.0722189783818665</v>
      </c>
      <c r="S60" s="386">
        <f t="shared" si="45"/>
        <v>1.0149086291488281</v>
      </c>
      <c r="T60" s="386">
        <f t="shared" si="46"/>
        <v>6.0871276075306948</v>
      </c>
      <c r="U60" s="4">
        <f t="shared" si="66"/>
        <v>9.2423323169802636</v>
      </c>
      <c r="V60" s="386">
        <f t="shared" si="9"/>
        <v>0.17084141331499555</v>
      </c>
      <c r="W60" s="386">
        <f t="shared" si="47"/>
        <v>0.17084141331499555</v>
      </c>
      <c r="X60" s="4">
        <f t="shared" si="67"/>
        <v>1.2916828286202695</v>
      </c>
      <c r="Y60" s="386">
        <f t="shared" si="11"/>
        <v>3.3368890595049214E-3</v>
      </c>
      <c r="Z60" s="603">
        <f t="shared" si="48"/>
        <v>3.3368890595049214E-3</v>
      </c>
      <c r="AA60" s="386">
        <f t="shared" si="68"/>
        <v>22.703440759222602</v>
      </c>
      <c r="AB60" s="386">
        <f t="shared" si="69"/>
        <v>2.9380434671529216</v>
      </c>
      <c r="AC60" s="386">
        <f t="shared" si="70"/>
        <v>0</v>
      </c>
      <c r="AD60" s="386">
        <f t="shared" si="71"/>
        <v>0</v>
      </c>
      <c r="AE60" s="386">
        <f t="shared" si="72"/>
        <v>7.1244068930400131</v>
      </c>
      <c r="AF60" s="386">
        <f t="shared" si="73"/>
        <v>0</v>
      </c>
      <c r="AG60" s="386">
        <f t="shared" si="74"/>
        <v>0</v>
      </c>
      <c r="AH60" s="386">
        <f t="shared" si="75"/>
        <v>0</v>
      </c>
      <c r="AI60" s="386">
        <f t="shared" si="76"/>
        <v>0</v>
      </c>
      <c r="AJ60" s="386">
        <f t="shared" si="77"/>
        <v>19.730749719979233</v>
      </c>
      <c r="AK60" s="386">
        <f t="shared" si="78"/>
        <v>0.73967472057367512</v>
      </c>
      <c r="AL60" s="386">
        <f t="shared" si="79"/>
        <v>1.9849286649064404</v>
      </c>
      <c r="AM60" s="386">
        <f t="shared" si="80"/>
        <v>0</v>
      </c>
      <c r="AN60" s="386">
        <f t="shared" si="81"/>
        <v>3.1976471358156457</v>
      </c>
      <c r="AO60" s="386">
        <f t="shared" si="49"/>
        <v>11.231372925652037</v>
      </c>
      <c r="AP60" s="386">
        <f t="shared" si="82"/>
        <v>0.23967310181063223</v>
      </c>
      <c r="AQ60" s="386">
        <f t="shared" si="83"/>
        <v>1.0879999999999999</v>
      </c>
      <c r="AR60" s="386">
        <f t="shared" si="84"/>
        <v>1.39451883264112</v>
      </c>
      <c r="AS60" s="386">
        <f t="shared" si="85"/>
        <v>2.9380434671529216</v>
      </c>
      <c r="AT60" s="386">
        <f t="shared" si="86"/>
        <v>0</v>
      </c>
      <c r="AU60" s="386">
        <f t="shared" si="87"/>
        <v>0.95039999999999991</v>
      </c>
      <c r="AV60" s="386">
        <f t="shared" si="88"/>
        <v>1.1679074535373817</v>
      </c>
      <c r="AW60" s="386">
        <f t="shared" si="33"/>
        <v>0.249</v>
      </c>
      <c r="AX60" s="386">
        <f t="shared" si="89"/>
        <v>0.14400000000000002</v>
      </c>
      <c r="AY60" s="386">
        <f t="shared" si="90"/>
        <v>1.2671999999999999</v>
      </c>
      <c r="AZ60" s="386">
        <f t="shared" si="36"/>
        <v>0.10439999999999998</v>
      </c>
      <c r="BA60" s="386">
        <f t="shared" si="57"/>
        <v>1.4112</v>
      </c>
      <c r="BB60" s="386">
        <f t="shared" si="58"/>
        <v>21.756386224939352</v>
      </c>
      <c r="BC60">
        <f t="shared" si="91"/>
        <v>244.79999999999998</v>
      </c>
      <c r="BD60" s="604">
        <f t="shared" si="51"/>
        <v>0.91837979748652598</v>
      </c>
      <c r="BE60" s="614">
        <f t="shared" si="92"/>
        <v>191.24555679078227</v>
      </c>
      <c r="BF60" s="614">
        <f t="shared" si="93"/>
        <v>85.407541632055995</v>
      </c>
      <c r="BG60" s="9"/>
      <c r="BH60" s="4">
        <f t="shared" si="52"/>
        <v>91.8379797486526</v>
      </c>
      <c r="BI60" s="386">
        <f t="shared" si="53"/>
        <v>6.0871276075306948</v>
      </c>
      <c r="BJ60" s="386">
        <f t="shared" si="54"/>
        <v>12.666972861496779</v>
      </c>
      <c r="BK60" s="386">
        <f t="shared" si="94"/>
        <v>3.8249111358156456</v>
      </c>
      <c r="BL60" s="386">
        <f t="shared" si="95"/>
        <v>1.7081508326411199</v>
      </c>
      <c r="BM60" s="386">
        <f t="shared" si="55"/>
        <v>1.1679074535373817</v>
      </c>
      <c r="BS60" s="18"/>
      <c r="BT60" s="19"/>
    </row>
    <row r="61" spans="1:74" x14ac:dyDescent="0.3">
      <c r="A61" s="24" t="s">
        <v>121</v>
      </c>
      <c r="B61" s="15" t="s">
        <v>115</v>
      </c>
      <c r="C61" s="24" t="s">
        <v>80</v>
      </c>
      <c r="D61" s="24" t="s">
        <v>249</v>
      </c>
      <c r="G61">
        <v>52</v>
      </c>
      <c r="H61" s="610">
        <f t="shared" si="59"/>
        <v>12</v>
      </c>
      <c r="I61" s="4" t="str">
        <f t="shared" si="60"/>
        <v>BOOST</v>
      </c>
      <c r="J61">
        <f t="shared" si="43"/>
        <v>2</v>
      </c>
      <c r="K61" s="386">
        <f t="shared" si="96"/>
        <v>5.2</v>
      </c>
      <c r="L61" s="4">
        <f t="shared" si="61"/>
        <v>23.111111111111111</v>
      </c>
      <c r="M61" s="4">
        <f t="shared" si="56"/>
        <v>21.257137658635688</v>
      </c>
      <c r="N61" s="386">
        <f t="shared" si="62"/>
        <v>1</v>
      </c>
      <c r="O61" s="386">
        <f t="shared" si="63"/>
        <v>0.75537628426245307</v>
      </c>
      <c r="P61" s="4">
        <f t="shared" si="64"/>
        <v>4.4731162357765717</v>
      </c>
      <c r="Q61" s="4">
        <f t="shared" si="65"/>
        <v>23.147156503445963</v>
      </c>
      <c r="R61" s="386">
        <f t="shared" si="7"/>
        <v>5.3582367595886877</v>
      </c>
      <c r="S61" s="386">
        <f t="shared" si="45"/>
        <v>1.0141748837329454</v>
      </c>
      <c r="T61" s="386">
        <f t="shared" si="46"/>
        <v>6.3724116433216329</v>
      </c>
      <c r="U61" s="4">
        <f t="shared" si="66"/>
        <v>9.4151946745631623</v>
      </c>
      <c r="V61" s="386">
        <f t="shared" si="9"/>
        <v>0.17729178151984507</v>
      </c>
      <c r="W61" s="386">
        <f t="shared" si="47"/>
        <v>0.17729178151984507</v>
      </c>
      <c r="X61" s="4">
        <f t="shared" si="67"/>
        <v>1.2912774314210447</v>
      </c>
      <c r="Y61" s="386">
        <f t="shared" si="11"/>
        <v>3.3347948097946617E-3</v>
      </c>
      <c r="Z61" s="603">
        <f t="shared" si="48"/>
        <v>3.3347948097946617E-3</v>
      </c>
      <c r="AA61" s="386">
        <f t="shared" si="68"/>
        <v>23.147156503445963</v>
      </c>
      <c r="AB61" s="386">
        <f t="shared" si="69"/>
        <v>3.0540078689116186</v>
      </c>
      <c r="AC61" s="386">
        <f t="shared" si="70"/>
        <v>0</v>
      </c>
      <c r="AD61" s="386">
        <f t="shared" si="71"/>
        <v>0</v>
      </c>
      <c r="AE61" s="386">
        <f t="shared" si="72"/>
        <v>7.8469173130816579</v>
      </c>
      <c r="AF61" s="386">
        <f t="shared" si="73"/>
        <v>0</v>
      </c>
      <c r="AG61" s="386">
        <f t="shared" si="74"/>
        <v>0</v>
      </c>
      <c r="AH61" s="386">
        <f t="shared" si="75"/>
        <v>0</v>
      </c>
      <c r="AI61" s="386">
        <f t="shared" si="76"/>
        <v>0</v>
      </c>
      <c r="AJ61" s="386">
        <f t="shared" si="77"/>
        <v>20.117746011510349</v>
      </c>
      <c r="AK61" s="386">
        <f t="shared" si="78"/>
        <v>0.76897503870891704</v>
      </c>
      <c r="AL61" s="386">
        <f t="shared" si="79"/>
        <v>2.0238488348065666</v>
      </c>
      <c r="AM61" s="386">
        <f t="shared" si="80"/>
        <v>0</v>
      </c>
      <c r="AN61" s="386">
        <f t="shared" si="81"/>
        <v>3.3004105377143209</v>
      </c>
      <c r="AO61" s="386">
        <f t="shared" si="49"/>
        <v>11.448456210833852</v>
      </c>
      <c r="AP61" s="386">
        <f t="shared" si="82"/>
        <v>0.24902758426162236</v>
      </c>
      <c r="AQ61" s="386">
        <f t="shared" si="83"/>
        <v>1.1093333333333333</v>
      </c>
      <c r="AR61" s="386">
        <f t="shared" si="84"/>
        <v>1.4295609390355137</v>
      </c>
      <c r="AS61" s="386">
        <f t="shared" si="85"/>
        <v>3.0540078689116186</v>
      </c>
      <c r="AT61" s="386">
        <f t="shared" si="86"/>
        <v>0</v>
      </c>
      <c r="AU61" s="386">
        <f t="shared" si="87"/>
        <v>0.95039999999999991</v>
      </c>
      <c r="AV61" s="386">
        <f t="shared" si="88"/>
        <v>1.2141711137509217</v>
      </c>
      <c r="AW61" s="386">
        <f t="shared" si="33"/>
        <v>0.249</v>
      </c>
      <c r="AX61" s="386">
        <f t="shared" si="89"/>
        <v>0.14400000000000002</v>
      </c>
      <c r="AY61" s="386">
        <f t="shared" si="90"/>
        <v>1.2671999999999999</v>
      </c>
      <c r="AZ61" s="386">
        <f t="shared" si="36"/>
        <v>0.10439999999999998</v>
      </c>
      <c r="BA61" s="386">
        <f t="shared" si="57"/>
        <v>1.4112</v>
      </c>
      <c r="BB61" s="386">
        <f t="shared" si="58"/>
        <v>22.954698123233687</v>
      </c>
      <c r="BC61">
        <f t="shared" si="91"/>
        <v>249.60000000000002</v>
      </c>
      <c r="BD61" s="604">
        <f t="shared" si="51"/>
        <v>0.91577948103152895</v>
      </c>
      <c r="BE61" s="614">
        <f t="shared" si="92"/>
        <v>196.38372688571604</v>
      </c>
      <c r="BF61" s="614">
        <f t="shared" si="93"/>
        <v>87.159646951775684</v>
      </c>
      <c r="BG61" s="9"/>
      <c r="BH61" s="4">
        <f t="shared" si="52"/>
        <v>91.577948103152892</v>
      </c>
      <c r="BI61" s="386">
        <f t="shared" si="53"/>
        <v>6.3724116433216329</v>
      </c>
      <c r="BJ61" s="386">
        <f t="shared" si="54"/>
        <v>13.527288789831493</v>
      </c>
      <c r="BK61" s="386">
        <f t="shared" si="94"/>
        <v>3.9276745377143207</v>
      </c>
      <c r="BL61" s="386">
        <f t="shared" si="95"/>
        <v>1.7431929390355136</v>
      </c>
      <c r="BM61" s="386">
        <f t="shared" si="55"/>
        <v>1.2141711137509217</v>
      </c>
      <c r="BS61" s="18"/>
      <c r="BT61" s="19"/>
    </row>
    <row r="62" spans="1:74" ht="14.15" x14ac:dyDescent="0.4">
      <c r="A62" s="488" t="s">
        <v>678</v>
      </c>
      <c r="B62" s="74">
        <v>30</v>
      </c>
      <c r="C62" s="483" t="s">
        <v>241</v>
      </c>
      <c r="D62" s="76" t="s">
        <v>107</v>
      </c>
      <c r="G62">
        <v>53</v>
      </c>
      <c r="H62" s="610">
        <f t="shared" si="59"/>
        <v>12</v>
      </c>
      <c r="I62" s="4" t="str">
        <f t="shared" si="60"/>
        <v>BOOST</v>
      </c>
      <c r="J62">
        <f t="shared" si="43"/>
        <v>2</v>
      </c>
      <c r="K62" s="386">
        <f t="shared" si="96"/>
        <v>5.3</v>
      </c>
      <c r="L62" s="4">
        <f t="shared" si="61"/>
        <v>23.555555555555554</v>
      </c>
      <c r="M62" s="4">
        <f t="shared" si="56"/>
        <v>21.675103245061486</v>
      </c>
      <c r="N62" s="386">
        <f t="shared" si="62"/>
        <v>1</v>
      </c>
      <c r="O62" s="386">
        <f t="shared" si="63"/>
        <v>0.75547982678202164</v>
      </c>
      <c r="P62" s="4">
        <f t="shared" si="64"/>
        <v>4.4717113796550318</v>
      </c>
      <c r="Q62" s="4">
        <f t="shared" si="65"/>
        <v>23.590899680867949</v>
      </c>
      <c r="R62" s="386">
        <f t="shared" si="7"/>
        <v>5.6595540862317604</v>
      </c>
      <c r="S62" s="386">
        <f t="shared" si="45"/>
        <v>1.0134411676262425</v>
      </c>
      <c r="T62" s="386">
        <f t="shared" si="46"/>
        <v>6.6729952538580033</v>
      </c>
      <c r="U62" s="4">
        <f t="shared" si="66"/>
        <v>9.5883509027341898</v>
      </c>
      <c r="V62" s="386">
        <f t="shared" si="9"/>
        <v>0.18387294606792712</v>
      </c>
      <c r="W62" s="386">
        <f t="shared" si="47"/>
        <v>0.18387294606792712</v>
      </c>
      <c r="X62" s="4">
        <f t="shared" si="67"/>
        <v>1.2908718843910727</v>
      </c>
      <c r="Y62" s="386">
        <f t="shared" si="11"/>
        <v>3.3327004438227182E-3</v>
      </c>
      <c r="Z62" s="603">
        <f t="shared" si="48"/>
        <v>3.3327004438227182E-3</v>
      </c>
      <c r="AA62" s="386">
        <f t="shared" si="68"/>
        <v>23.590899680867949</v>
      </c>
      <c r="AB62" s="386">
        <f t="shared" si="69"/>
        <v>3.1722241221908205</v>
      </c>
      <c r="AC62" s="386">
        <f t="shared" si="70"/>
        <v>0</v>
      </c>
      <c r="AD62" s="386">
        <f t="shared" si="71"/>
        <v>0</v>
      </c>
      <c r="AE62" s="386">
        <f t="shared" si="72"/>
        <v>8.6778257682039559</v>
      </c>
      <c r="AF62" s="386">
        <f t="shared" si="73"/>
        <v>0</v>
      </c>
      <c r="AG62" s="386">
        <f t="shared" si="74"/>
        <v>0</v>
      </c>
      <c r="AH62" s="386">
        <f t="shared" si="75"/>
        <v>0</v>
      </c>
      <c r="AI62" s="386">
        <f t="shared" si="76"/>
        <v>0</v>
      </c>
      <c r="AJ62" s="386">
        <f t="shared" si="77"/>
        <v>20.504818990061104</v>
      </c>
      <c r="AK62" s="386">
        <f t="shared" si="78"/>
        <v>0.79885044344882383</v>
      </c>
      <c r="AL62" s="386">
        <f t="shared" si="79"/>
        <v>2.0627690047066927</v>
      </c>
      <c r="AM62" s="386">
        <f t="shared" si="80"/>
        <v>0</v>
      </c>
      <c r="AN62" s="386">
        <f t="shared" si="81"/>
        <v>3.4057576499427076</v>
      </c>
      <c r="AO62" s="386">
        <f t="shared" si="49"/>
        <v>11.665459525351114</v>
      </c>
      <c r="AP62" s="386">
        <f t="shared" si="82"/>
        <v>0.25855759728144961</v>
      </c>
      <c r="AQ62" s="386">
        <f t="shared" si="83"/>
        <v>1.1306666666666665</v>
      </c>
      <c r="AR62" s="386">
        <f t="shared" si="84"/>
        <v>1.4649806387520297</v>
      </c>
      <c r="AS62" s="386">
        <f t="shared" si="85"/>
        <v>3.1722241221908205</v>
      </c>
      <c r="AT62" s="386">
        <f t="shared" si="86"/>
        <v>0</v>
      </c>
      <c r="AU62" s="386">
        <f t="shared" si="87"/>
        <v>0.95039999999999991</v>
      </c>
      <c r="AV62" s="386">
        <f t="shared" si="88"/>
        <v>1.2613428054455114</v>
      </c>
      <c r="AW62" s="386">
        <f t="shared" si="33"/>
        <v>0.249</v>
      </c>
      <c r="AX62" s="386">
        <f t="shared" si="89"/>
        <v>0.14400000000000002</v>
      </c>
      <c r="AY62" s="386">
        <f t="shared" si="90"/>
        <v>1.2671999999999999</v>
      </c>
      <c r="AZ62" s="386">
        <f t="shared" si="36"/>
        <v>0.10439999999999998</v>
      </c>
      <c r="BA62" s="386">
        <f t="shared" si="57"/>
        <v>1.4112</v>
      </c>
      <c r="BB62" s="386">
        <f t="shared" si="58"/>
        <v>24.280707762713956</v>
      </c>
      <c r="BC62">
        <f t="shared" si="91"/>
        <v>254.39999999999998</v>
      </c>
      <c r="BD62" s="604">
        <f t="shared" si="51"/>
        <v>0.91287266363846009</v>
      </c>
      <c r="BE62" s="614">
        <f t="shared" si="92"/>
        <v>201.65108249713538</v>
      </c>
      <c r="BF62" s="614">
        <f t="shared" si="93"/>
        <v>88.930631937601476</v>
      </c>
      <c r="BG62" s="9"/>
      <c r="BH62" s="4">
        <f t="shared" si="52"/>
        <v>91.287266363846015</v>
      </c>
      <c r="BI62" s="386">
        <f t="shared" si="53"/>
        <v>6.6729952538580033</v>
      </c>
      <c r="BJ62" s="386">
        <f t="shared" si="54"/>
        <v>14.498964056898693</v>
      </c>
      <c r="BK62" s="386">
        <f t="shared" si="94"/>
        <v>4.0330216499427074</v>
      </c>
      <c r="BL62" s="386">
        <f t="shared" si="95"/>
        <v>1.7786126387520296</v>
      </c>
      <c r="BM62" s="386">
        <f t="shared" si="55"/>
        <v>1.2613428054455114</v>
      </c>
      <c r="BS62" s="18"/>
      <c r="BT62" s="19"/>
    </row>
    <row r="63" spans="1:74" x14ac:dyDescent="0.3">
      <c r="A63" s="23" t="s">
        <v>122</v>
      </c>
      <c r="B63" s="74">
        <v>2</v>
      </c>
      <c r="C63" s="483" t="s">
        <v>241</v>
      </c>
      <c r="D63" s="21" t="s">
        <v>107</v>
      </c>
      <c r="G63">
        <v>54</v>
      </c>
      <c r="H63" s="610">
        <f t="shared" si="59"/>
        <v>12</v>
      </c>
      <c r="I63" s="4" t="str">
        <f t="shared" si="60"/>
        <v>BOOST</v>
      </c>
      <c r="J63">
        <f t="shared" si="43"/>
        <v>2</v>
      </c>
      <c r="K63" s="386">
        <f t="shared" si="96"/>
        <v>5.4</v>
      </c>
      <c r="L63" s="4">
        <f t="shared" si="61"/>
        <v>24.000000000000004</v>
      </c>
      <c r="M63" s="4">
        <f t="shared" si="56"/>
        <v>22.09342347879533</v>
      </c>
      <c r="N63" s="386">
        <f t="shared" si="62"/>
        <v>1</v>
      </c>
      <c r="O63" s="386">
        <f t="shared" si="63"/>
        <v>0.75558337506259388</v>
      </c>
      <c r="P63" s="4">
        <f t="shared" si="64"/>
        <v>4.4703060044612375</v>
      </c>
      <c r="Q63" s="4">
        <f t="shared" si="65"/>
        <v>24.034668772028606</v>
      </c>
      <c r="R63" s="386">
        <f t="shared" si="7"/>
        <v>5.9772545571184574</v>
      </c>
      <c r="S63" s="386">
        <f t="shared" si="45"/>
        <v>1.0127074811105095</v>
      </c>
      <c r="T63" s="386">
        <f t="shared" si="46"/>
        <v>6.9899620382289669</v>
      </c>
      <c r="U63" s="4">
        <f t="shared" si="66"/>
        <v>9.7617909381246406</v>
      </c>
      <c r="V63" s="386">
        <f t="shared" si="9"/>
        <v>0.19058512463930469</v>
      </c>
      <c r="W63" s="386">
        <f t="shared" si="47"/>
        <v>0.19058512463930469</v>
      </c>
      <c r="X63" s="4">
        <f t="shared" si="67"/>
        <v>1.290466187517848</v>
      </c>
      <c r="Y63" s="386">
        <f t="shared" si="11"/>
        <v>3.3306059622536994E-3</v>
      </c>
      <c r="Z63" s="603">
        <f t="shared" si="48"/>
        <v>3.3306059622536994E-3</v>
      </c>
      <c r="AA63" s="386">
        <f t="shared" si="68"/>
        <v>24.034668772028606</v>
      </c>
      <c r="AB63" s="386">
        <f t="shared" si="69"/>
        <v>3.2926922269924246</v>
      </c>
      <c r="AC63" s="386">
        <f t="shared" si="70"/>
        <v>0</v>
      </c>
      <c r="AD63" s="386">
        <f t="shared" si="71"/>
        <v>0</v>
      </c>
      <c r="AE63" s="386">
        <f t="shared" si="72"/>
        <v>9.6429369064256427</v>
      </c>
      <c r="AF63" s="386">
        <f t="shared" si="73"/>
        <v>0</v>
      </c>
      <c r="AG63" s="386">
        <f t="shared" si="74"/>
        <v>0</v>
      </c>
      <c r="AH63" s="386">
        <f t="shared" si="75"/>
        <v>0</v>
      </c>
      <c r="AI63" s="386">
        <f t="shared" si="76"/>
        <v>0</v>
      </c>
      <c r="AJ63" s="386">
        <f t="shared" si="77"/>
        <v>20.891967338741363</v>
      </c>
      <c r="AK63" s="386">
        <f t="shared" si="78"/>
        <v>0.82930116863776815</v>
      </c>
      <c r="AL63" s="386">
        <f t="shared" si="79"/>
        <v>2.1016891746068196</v>
      </c>
      <c r="AM63" s="386">
        <f t="shared" si="80"/>
        <v>0</v>
      </c>
      <c r="AN63" s="386">
        <f t="shared" si="81"/>
        <v>3.5137880505834427</v>
      </c>
      <c r="AO63" s="386">
        <f t="shared" si="49"/>
        <v>11.882382071709831</v>
      </c>
      <c r="AP63" s="386">
        <f t="shared" si="82"/>
        <v>0.26826290702637329</v>
      </c>
      <c r="AQ63" s="386">
        <f t="shared" si="83"/>
        <v>1.1520000000000001</v>
      </c>
      <c r="AR63" s="386">
        <f t="shared" si="84"/>
        <v>1.5007838338433752</v>
      </c>
      <c r="AS63" s="386">
        <f t="shared" si="85"/>
        <v>3.2926922269924246</v>
      </c>
      <c r="AT63" s="386">
        <f t="shared" si="86"/>
        <v>0</v>
      </c>
      <c r="AU63" s="386">
        <f t="shared" si="87"/>
        <v>0.95039999999999991</v>
      </c>
      <c r="AV63" s="386">
        <f t="shared" si="88"/>
        <v>1.3094228978491076</v>
      </c>
      <c r="AW63" s="386">
        <f t="shared" si="33"/>
        <v>0.249</v>
      </c>
      <c r="AX63" s="386">
        <f t="shared" si="89"/>
        <v>0.14400000000000002</v>
      </c>
      <c r="AY63" s="386">
        <f t="shared" si="90"/>
        <v>1.2671999999999999</v>
      </c>
      <c r="AZ63" s="386">
        <f t="shared" si="36"/>
        <v>0.10439999999999998</v>
      </c>
      <c r="BA63" s="386">
        <f t="shared" si="57"/>
        <v>1.4112</v>
      </c>
      <c r="BB63" s="386">
        <f t="shared" si="58"/>
        <v>25.761409457532089</v>
      </c>
      <c r="BC63">
        <f t="shared" si="91"/>
        <v>259.20000000000005</v>
      </c>
      <c r="BD63" s="604">
        <f t="shared" si="51"/>
        <v>0.90959684854671063</v>
      </c>
      <c r="BE63" s="614">
        <f t="shared" si="92"/>
        <v>207.05260252917213</v>
      </c>
      <c r="BF63" s="614">
        <f t="shared" si="93"/>
        <v>90.72079169216876</v>
      </c>
      <c r="BG63" s="9"/>
      <c r="BH63" s="4">
        <f t="shared" si="52"/>
        <v>90.959684854671067</v>
      </c>
      <c r="BI63" s="386">
        <f t="shared" si="53"/>
        <v>6.9899620382289669</v>
      </c>
      <c r="BJ63" s="386">
        <f t="shared" si="54"/>
        <v>15.607908790852461</v>
      </c>
      <c r="BK63" s="386">
        <f t="shared" si="94"/>
        <v>4.1410520505834425</v>
      </c>
      <c r="BL63" s="386">
        <f t="shared" si="95"/>
        <v>1.8144158338433751</v>
      </c>
      <c r="BM63" s="386">
        <f t="shared" si="55"/>
        <v>1.3094228978491076</v>
      </c>
      <c r="BS63" s="18"/>
      <c r="BT63" s="19"/>
    </row>
    <row r="64" spans="1:74" x14ac:dyDescent="0.3">
      <c r="A64" s="75"/>
      <c r="B64" s="30"/>
      <c r="G64">
        <v>55</v>
      </c>
      <c r="H64" s="610">
        <f t="shared" si="59"/>
        <v>12</v>
      </c>
      <c r="I64" s="4" t="str">
        <f t="shared" si="60"/>
        <v>BOOST</v>
      </c>
      <c r="J64">
        <f t="shared" si="43"/>
        <v>2</v>
      </c>
      <c r="K64" s="386">
        <f t="shared" si="96"/>
        <v>5.5</v>
      </c>
      <c r="L64" s="4">
        <f t="shared" si="61"/>
        <v>24.444444444444443</v>
      </c>
      <c r="M64" s="4">
        <f t="shared" si="56"/>
        <v>22.512098840409177</v>
      </c>
      <c r="N64" s="386">
        <f t="shared" si="62"/>
        <v>1</v>
      </c>
      <c r="O64" s="386">
        <f t="shared" si="63"/>
        <v>0.75568692910465063</v>
      </c>
      <c r="P64" s="4">
        <f t="shared" si="64"/>
        <v>4.4689001101518686</v>
      </c>
      <c r="Q64" s="4">
        <f t="shared" si="65"/>
        <v>24.478462367567271</v>
      </c>
      <c r="R64" s="386">
        <f t="shared" si="7"/>
        <v>6.3125309849008673</v>
      </c>
      <c r="S64" s="386">
        <f t="shared" si="45"/>
        <v>1.011973824467628</v>
      </c>
      <c r="T64" s="386">
        <f t="shared" si="46"/>
        <v>7.324504809368495</v>
      </c>
      <c r="U64" s="4">
        <f t="shared" si="66"/>
        <v>9.9355054050445464</v>
      </c>
      <c r="V64" s="386">
        <f t="shared" si="9"/>
        <v>0.19742853530733878</v>
      </c>
      <c r="W64" s="386">
        <f t="shared" si="47"/>
        <v>0.19742853530733878</v>
      </c>
      <c r="X64" s="4">
        <f t="shared" si="67"/>
        <v>1.2900603407888649</v>
      </c>
      <c r="Y64" s="386">
        <f t="shared" si="11"/>
        <v>3.3285113657525647E-3</v>
      </c>
      <c r="Z64" s="603">
        <f t="shared" si="48"/>
        <v>3.3285113657525647E-3</v>
      </c>
      <c r="AA64" s="386">
        <f t="shared" si="68"/>
        <v>24.478462367567271</v>
      </c>
      <c r="AB64" s="386">
        <f t="shared" si="69"/>
        <v>3.4154121833183204</v>
      </c>
      <c r="AC64" s="386">
        <f t="shared" si="70"/>
        <v>0</v>
      </c>
      <c r="AD64" s="386">
        <f t="shared" si="71"/>
        <v>0</v>
      </c>
      <c r="AE64" s="386">
        <f t="shared" si="72"/>
        <v>10.776973504916283</v>
      </c>
      <c r="AF64" s="386">
        <f t="shared" si="73"/>
        <v>0</v>
      </c>
      <c r="AG64" s="386">
        <f t="shared" si="74"/>
        <v>0</v>
      </c>
      <c r="AH64" s="386">
        <f t="shared" si="75"/>
        <v>0</v>
      </c>
      <c r="AI64" s="386">
        <f t="shared" si="76"/>
        <v>0</v>
      </c>
      <c r="AJ64" s="386">
        <f t="shared" si="77"/>
        <v>21.279189836009213</v>
      </c>
      <c r="AK64" s="386">
        <f t="shared" si="78"/>
        <v>0.86032744814614381</v>
      </c>
      <c r="AL64" s="386">
        <f t="shared" si="79"/>
        <v>2.1406093445069456</v>
      </c>
      <c r="AM64" s="386">
        <f t="shared" si="80"/>
        <v>0</v>
      </c>
      <c r="AN64" s="386">
        <f t="shared" si="81"/>
        <v>3.6246064816276222</v>
      </c>
      <c r="AO64" s="386">
        <f t="shared" si="49"/>
        <v>12.099223107435009</v>
      </c>
      <c r="AP64" s="386">
        <f t="shared" si="82"/>
        <v>0.2781432796266296</v>
      </c>
      <c r="AQ64" s="386">
        <f t="shared" si="83"/>
        <v>1.1733333333333333</v>
      </c>
      <c r="AR64" s="386">
        <f t="shared" si="84"/>
        <v>1.5369765527798467</v>
      </c>
      <c r="AS64" s="386">
        <f t="shared" si="85"/>
        <v>3.4154121833183204</v>
      </c>
      <c r="AT64" s="386">
        <f t="shared" si="86"/>
        <v>0</v>
      </c>
      <c r="AU64" s="386">
        <f t="shared" si="87"/>
        <v>0.95039999999999991</v>
      </c>
      <c r="AV64" s="386">
        <f t="shared" si="88"/>
        <v>1.3584117602307535</v>
      </c>
      <c r="AW64" s="386">
        <f t="shared" si="33"/>
        <v>0.249</v>
      </c>
      <c r="AX64" s="386">
        <f t="shared" si="89"/>
        <v>0.14400000000000002</v>
      </c>
      <c r="AY64" s="386">
        <f t="shared" si="90"/>
        <v>1.2671999999999999</v>
      </c>
      <c r="AZ64" s="386">
        <f t="shared" si="36"/>
        <v>0.10439999999999998</v>
      </c>
      <c r="BA64" s="386">
        <f t="shared" si="57"/>
        <v>1.4112</v>
      </c>
      <c r="BB64" s="386">
        <f t="shared" si="58"/>
        <v>27.432830155596093</v>
      </c>
      <c r="BC64">
        <f t="shared" si="91"/>
        <v>264</v>
      </c>
      <c r="BD64" s="604">
        <f t="shared" si="51"/>
        <v>0.90586911522305258</v>
      </c>
      <c r="BE64" s="614">
        <f t="shared" si="92"/>
        <v>212.59352408138113</v>
      </c>
      <c r="BF64" s="614">
        <f t="shared" si="93"/>
        <v>92.530427638992336</v>
      </c>
      <c r="BG64" s="9"/>
      <c r="BH64" s="4">
        <f t="shared" si="52"/>
        <v>90.586911522305257</v>
      </c>
      <c r="BI64" s="386">
        <f t="shared" si="53"/>
        <v>7.324504809368495</v>
      </c>
      <c r="BJ64" s="386">
        <f t="shared" si="54"/>
        <v>16.88895653932375</v>
      </c>
      <c r="BK64" s="386">
        <f t="shared" si="94"/>
        <v>4.2518704816276225</v>
      </c>
      <c r="BL64" s="386">
        <f t="shared" si="95"/>
        <v>1.8506085527798466</v>
      </c>
      <c r="BM64" s="386">
        <f t="shared" si="55"/>
        <v>1.3584117602307535</v>
      </c>
      <c r="BS64" s="18"/>
      <c r="BT64" s="19"/>
    </row>
    <row r="65" spans="1:72" x14ac:dyDescent="0.3">
      <c r="G65">
        <v>56</v>
      </c>
      <c r="H65" s="610">
        <f t="shared" si="59"/>
        <v>12</v>
      </c>
      <c r="I65" s="4" t="str">
        <f t="shared" si="60"/>
        <v>BOOST</v>
      </c>
      <c r="J65">
        <f t="shared" si="43"/>
        <v>2</v>
      </c>
      <c r="K65" s="386">
        <f t="shared" si="96"/>
        <v>5.6</v>
      </c>
      <c r="L65" s="4">
        <f t="shared" si="61"/>
        <v>24.888888888888882</v>
      </c>
      <c r="M65" s="4">
        <f t="shared" si="56"/>
        <v>22.931129811343681</v>
      </c>
      <c r="N65" s="386">
        <f t="shared" si="62"/>
        <v>1</v>
      </c>
      <c r="O65" s="386">
        <f t="shared" si="63"/>
        <v>0.75579048890867273</v>
      </c>
      <c r="P65" s="4">
        <f t="shared" si="64"/>
        <v>4.4674936966835972</v>
      </c>
      <c r="Q65" s="4">
        <f t="shared" si="65"/>
        <v>24.922279158434701</v>
      </c>
      <c r="R65" s="386">
        <f t="shared" si="7"/>
        <v>6.6666993523395766</v>
      </c>
      <c r="S65" s="386">
        <f t="shared" si="45"/>
        <v>1.0112401979795664</v>
      </c>
      <c r="T65" s="386">
        <f t="shared" si="46"/>
        <v>7.6779395503191434</v>
      </c>
      <c r="U65" s="4">
        <f t="shared" si="66"/>
        <v>10.109485559106771</v>
      </c>
      <c r="V65" s="386">
        <f t="shared" si="9"/>
        <v>0.20440339653957668</v>
      </c>
      <c r="W65" s="386">
        <f t="shared" si="47"/>
        <v>0.20440339653957668</v>
      </c>
      <c r="X65" s="4">
        <f t="shared" si="67"/>
        <v>1.2896543441916157</v>
      </c>
      <c r="Y65" s="386">
        <f t="shared" si="11"/>
        <v>3.326416654984613E-3</v>
      </c>
      <c r="Z65" s="603">
        <f t="shared" si="48"/>
        <v>3.326416654984613E-3</v>
      </c>
      <c r="AA65" s="386">
        <f t="shared" si="68"/>
        <v>24.922279158434701</v>
      </c>
      <c r="AB65" s="386">
        <f t="shared" si="69"/>
        <v>3.5403839911704078</v>
      </c>
      <c r="AC65" s="386">
        <f t="shared" si="70"/>
        <v>0</v>
      </c>
      <c r="AD65" s="386">
        <f t="shared" si="71"/>
        <v>0</v>
      </c>
      <c r="AE65" s="386">
        <f t="shared" si="72"/>
        <v>12.127792411681275</v>
      </c>
      <c r="AF65" s="386">
        <f t="shared" si="73"/>
        <v>0</v>
      </c>
      <c r="AG65" s="386">
        <f t="shared" si="74"/>
        <v>0</v>
      </c>
      <c r="AH65" s="386">
        <f t="shared" si="75"/>
        <v>0</v>
      </c>
      <c r="AI65" s="386">
        <f t="shared" si="76"/>
        <v>0</v>
      </c>
      <c r="AJ65" s="386">
        <f t="shared" si="77"/>
        <v>21.666485347194559</v>
      </c>
      <c r="AK65" s="386">
        <f t="shared" si="78"/>
        <v>0.89192951587037339</v>
      </c>
      <c r="AL65" s="386">
        <f t="shared" si="79"/>
        <v>2.1795295144070712</v>
      </c>
      <c r="AM65" s="386">
        <f t="shared" si="80"/>
        <v>0</v>
      </c>
      <c r="AN65" s="386">
        <f t="shared" si="81"/>
        <v>3.7383231886394857</v>
      </c>
      <c r="AO65" s="386">
        <f t="shared" si="49"/>
        <v>12.315981940176435</v>
      </c>
      <c r="AP65" s="386">
        <f t="shared" si="82"/>
        <v>0.28819848118642899</v>
      </c>
      <c r="AQ65" s="386">
        <f t="shared" si="83"/>
        <v>1.1946666666666663</v>
      </c>
      <c r="AR65" s="386">
        <f t="shared" si="84"/>
        <v>1.5735649537997518</v>
      </c>
      <c r="AS65" s="386">
        <f t="shared" si="85"/>
        <v>3.5403839911704078</v>
      </c>
      <c r="AT65" s="386">
        <f t="shared" si="86"/>
        <v>0</v>
      </c>
      <c r="AU65" s="386">
        <f t="shared" si="87"/>
        <v>0.95039999999999991</v>
      </c>
      <c r="AV65" s="386">
        <f t="shared" si="88"/>
        <v>1.4083097619005898</v>
      </c>
      <c r="AW65" s="386">
        <f t="shared" si="33"/>
        <v>0.249</v>
      </c>
      <c r="AX65" s="386">
        <f t="shared" si="89"/>
        <v>0.14400000000000002</v>
      </c>
      <c r="AY65" s="386">
        <f t="shared" si="90"/>
        <v>1.2671999999999999</v>
      </c>
      <c r="AZ65" s="386">
        <f t="shared" si="36"/>
        <v>0.10439999999999998</v>
      </c>
      <c r="BA65" s="386">
        <f t="shared" si="57"/>
        <v>1.4112</v>
      </c>
      <c r="BB65" s="386">
        <f t="shared" si="58"/>
        <v>29.344259679534808</v>
      </c>
      <c r="BC65">
        <f t="shared" si="91"/>
        <v>268.79999999999995</v>
      </c>
      <c r="BD65" s="604">
        <f t="shared" si="51"/>
        <v>0.90157697582010821</v>
      </c>
      <c r="BE65" s="614">
        <f t="shared" si="92"/>
        <v>218.27935943197429</v>
      </c>
      <c r="BF65" s="614">
        <f t="shared" si="93"/>
        <v>94.359847689987589</v>
      </c>
      <c r="BG65" s="9"/>
      <c r="BH65" s="4">
        <f t="shared" si="52"/>
        <v>90.157697582010826</v>
      </c>
      <c r="BI65" s="386">
        <f t="shared" si="53"/>
        <v>7.6779395503191434</v>
      </c>
      <c r="BJ65" s="386">
        <f t="shared" si="54"/>
        <v>18.390080554120512</v>
      </c>
      <c r="BK65" s="386">
        <f t="shared" si="94"/>
        <v>4.3655871886394859</v>
      </c>
      <c r="BL65" s="386">
        <f t="shared" si="95"/>
        <v>1.8871969537997517</v>
      </c>
      <c r="BM65" s="386">
        <f t="shared" si="55"/>
        <v>1.4083097619005898</v>
      </c>
      <c r="BS65" s="18"/>
      <c r="BT65" s="19"/>
    </row>
    <row r="66" spans="1:72" x14ac:dyDescent="0.3">
      <c r="A66" s="11" t="s">
        <v>81</v>
      </c>
      <c r="B66" s="31"/>
      <c r="C66" s="31"/>
      <c r="G66">
        <v>57</v>
      </c>
      <c r="H66" s="610">
        <f t="shared" si="59"/>
        <v>12</v>
      </c>
      <c r="I66" s="4" t="str">
        <f t="shared" si="60"/>
        <v>BOOST</v>
      </c>
      <c r="J66">
        <f t="shared" si="43"/>
        <v>2</v>
      </c>
      <c r="K66" s="386">
        <f t="shared" si="96"/>
        <v>5.7</v>
      </c>
      <c r="L66" s="4">
        <f t="shared" si="61"/>
        <v>25.333333333333332</v>
      </c>
      <c r="M66" s="4">
        <f t="shared" si="56"/>
        <v>23.350516873910124</v>
      </c>
      <c r="N66" s="386">
        <f t="shared" si="62"/>
        <v>1</v>
      </c>
      <c r="O66" s="386">
        <f t="shared" si="63"/>
        <v>0.75589405447514124</v>
      </c>
      <c r="P66" s="4">
        <f t="shared" si="64"/>
        <v>4.4660867640130926</v>
      </c>
      <c r="Q66" s="4">
        <f t="shared" si="65"/>
        <v>25.366117927130382</v>
      </c>
      <c r="R66" s="386">
        <f t="shared" si="7"/>
        <v>7.0412149713752514</v>
      </c>
      <c r="S66" s="386">
        <f t="shared" si="45"/>
        <v>1.0105066019283837</v>
      </c>
      <c r="T66" s="386">
        <f t="shared" si="46"/>
        <v>8.0517215733036345</v>
      </c>
      <c r="U66" s="4">
        <f t="shared" si="66"/>
        <v>10.283723236227315</v>
      </c>
      <c r="V66" s="386">
        <f t="shared" si="9"/>
        <v>0.2115099271986432</v>
      </c>
      <c r="W66" s="386">
        <f t="shared" si="47"/>
        <v>0.2115099271986432</v>
      </c>
      <c r="X66" s="4">
        <f t="shared" si="67"/>
        <v>1.2892481977135919</v>
      </c>
      <c r="Y66" s="386">
        <f t="shared" si="11"/>
        <v>3.3243218306154899E-3</v>
      </c>
      <c r="Z66" s="603">
        <f t="shared" si="48"/>
        <v>3.3243218306154899E-3</v>
      </c>
      <c r="AA66" s="386">
        <f t="shared" si="68"/>
        <v>25.366117927130382</v>
      </c>
      <c r="AB66" s="386">
        <f t="shared" si="69"/>
        <v>3.6676076505505866</v>
      </c>
      <c r="AC66" s="386">
        <f t="shared" si="70"/>
        <v>0</v>
      </c>
      <c r="AD66" s="386">
        <f t="shared" si="71"/>
        <v>0</v>
      </c>
      <c r="AE66" s="386">
        <f t="shared" si="72"/>
        <v>13.763241931200513</v>
      </c>
      <c r="AF66" s="386">
        <f t="shared" si="73"/>
        <v>0</v>
      </c>
      <c r="AG66" s="386">
        <f t="shared" si="74"/>
        <v>0</v>
      </c>
      <c r="AH66" s="386">
        <f t="shared" si="75"/>
        <v>0</v>
      </c>
      <c r="AI66" s="386">
        <f t="shared" si="76"/>
        <v>0</v>
      </c>
      <c r="AJ66" s="386">
        <f t="shared" si="77"/>
        <v>22.053852816910531</v>
      </c>
      <c r="AK66" s="386">
        <f t="shared" si="78"/>
        <v>0.92410760573290984</v>
      </c>
      <c r="AL66" s="386">
        <f t="shared" si="79"/>
        <v>2.2184496843071981</v>
      </c>
      <c r="AM66" s="386">
        <f t="shared" si="80"/>
        <v>0</v>
      </c>
      <c r="AN66" s="386">
        <f t="shared" si="81"/>
        <v>3.8550542875717766</v>
      </c>
      <c r="AO66" s="386">
        <f t="shared" si="49"/>
        <v>12.532657923327069</v>
      </c>
      <c r="AP66" s="386">
        <f t="shared" si="82"/>
        <v>0.2984282777839522</v>
      </c>
      <c r="AQ66" s="386">
        <f t="shared" si="83"/>
        <v>1.216</v>
      </c>
      <c r="AR66" s="386">
        <f t="shared" si="84"/>
        <v>1.6105553283680831</v>
      </c>
      <c r="AS66" s="386">
        <f t="shared" si="85"/>
        <v>3.6676076505505866</v>
      </c>
      <c r="AT66" s="386">
        <f t="shared" si="86"/>
        <v>0</v>
      </c>
      <c r="AU66" s="386">
        <f t="shared" si="87"/>
        <v>0.95039999999999991</v>
      </c>
      <c r="AV66" s="386">
        <f t="shared" si="88"/>
        <v>1.4591172722098578</v>
      </c>
      <c r="AW66" s="386">
        <f t="shared" si="33"/>
        <v>0.249</v>
      </c>
      <c r="AX66" s="386">
        <f t="shared" si="89"/>
        <v>0.14400000000000002</v>
      </c>
      <c r="AY66" s="386">
        <f t="shared" si="90"/>
        <v>1.2671999999999999</v>
      </c>
      <c r="AZ66" s="386">
        <f t="shared" si="36"/>
        <v>0.10439999999999998</v>
      </c>
      <c r="BA66" s="386">
        <f t="shared" si="57"/>
        <v>1.4112</v>
      </c>
      <c r="BB66" s="386">
        <f t="shared" si="58"/>
        <v>31.56512464168312</v>
      </c>
      <c r="BC66">
        <f t="shared" si="91"/>
        <v>273.60000000000002</v>
      </c>
      <c r="BD66" s="604">
        <f t="shared" si="51"/>
        <v>0.89656378762564681</v>
      </c>
      <c r="BE66" s="614">
        <f t="shared" si="92"/>
        <v>224.11591437858883</v>
      </c>
      <c r="BF66" s="614">
        <f t="shared" si="93"/>
        <v>96.209366418404159</v>
      </c>
      <c r="BG66" s="9"/>
      <c r="BH66" s="4">
        <f t="shared" si="52"/>
        <v>89.656378762564685</v>
      </c>
      <c r="BI66" s="386">
        <f t="shared" si="53"/>
        <v>8.0517215733036345</v>
      </c>
      <c r="BJ66" s="386">
        <f t="shared" si="54"/>
        <v>20.179251547140371</v>
      </c>
      <c r="BK66" s="386">
        <f t="shared" si="94"/>
        <v>4.4823182875717764</v>
      </c>
      <c r="BL66" s="386">
        <f t="shared" si="95"/>
        <v>1.924187328368083</v>
      </c>
      <c r="BM66" s="386">
        <f t="shared" si="55"/>
        <v>1.4591172722098578</v>
      </c>
      <c r="BS66" s="18"/>
      <c r="BT66" s="19"/>
    </row>
    <row r="67" spans="1:72" x14ac:dyDescent="0.3">
      <c r="A67" s="14" t="s">
        <v>59</v>
      </c>
      <c r="B67" s="15" t="s">
        <v>8</v>
      </c>
      <c r="C67" s="15" t="s">
        <v>80</v>
      </c>
      <c r="G67">
        <v>58</v>
      </c>
      <c r="H67" s="610">
        <f t="shared" si="59"/>
        <v>12</v>
      </c>
      <c r="I67" s="4" t="str">
        <f t="shared" si="60"/>
        <v>BOOST</v>
      </c>
      <c r="J67">
        <f t="shared" si="43"/>
        <v>2</v>
      </c>
      <c r="K67" s="386">
        <f t="shared" si="96"/>
        <v>5.8</v>
      </c>
      <c r="L67" s="4">
        <f t="shared" si="61"/>
        <v>25.777777777777775</v>
      </c>
      <c r="M67" s="4">
        <f t="shared" si="56"/>
        <v>23.770260511292364</v>
      </c>
      <c r="N67" s="386">
        <f t="shared" si="62"/>
        <v>1</v>
      </c>
      <c r="O67" s="386">
        <f t="shared" si="63"/>
        <v>0.75599762580453689</v>
      </c>
      <c r="P67" s="4">
        <f t="shared" si="64"/>
        <v>4.4646793120970161</v>
      </c>
      <c r="Q67" s="4">
        <f t="shared" si="65"/>
        <v>25.809977539842013</v>
      </c>
      <c r="R67" s="386">
        <f t="shared" si="7"/>
        <v>7.4376912612814765</v>
      </c>
      <c r="S67" s="386">
        <f t="shared" si="45"/>
        <v>1.0097730365962203</v>
      </c>
      <c r="T67" s="386">
        <f t="shared" si="46"/>
        <v>8.4474642978776977</v>
      </c>
      <c r="U67" s="4">
        <f t="shared" si="66"/>
        <v>10.45821080642223</v>
      </c>
      <c r="V67" s="386">
        <f t="shared" si="9"/>
        <v>0.21874834654313341</v>
      </c>
      <c r="W67" s="386">
        <f t="shared" si="47"/>
        <v>0.21874834654313341</v>
      </c>
      <c r="X67" s="4">
        <f t="shared" si="67"/>
        <v>1.2888419013422827</v>
      </c>
      <c r="Y67" s="386">
        <f t="shared" si="11"/>
        <v>3.3222268933111808E-3</v>
      </c>
      <c r="Z67" s="603">
        <f t="shared" si="48"/>
        <v>3.3222268933111808E-3</v>
      </c>
      <c r="AA67" s="386">
        <f t="shared" si="68"/>
        <v>25.809977539842013</v>
      </c>
      <c r="AB67" s="386">
        <f t="shared" si="69"/>
        <v>3.7970831614607503</v>
      </c>
      <c r="AC67" s="386">
        <f t="shared" si="70"/>
        <v>0</v>
      </c>
      <c r="AD67" s="386">
        <f t="shared" si="71"/>
        <v>0</v>
      </c>
      <c r="AE67" s="386">
        <f t="shared" si="72"/>
        <v>15.782816566404129</v>
      </c>
      <c r="AF67" s="386">
        <f t="shared" si="73"/>
        <v>0</v>
      </c>
      <c r="AG67" s="386">
        <f t="shared" si="74"/>
        <v>0</v>
      </c>
      <c r="AH67" s="386">
        <f t="shared" si="75"/>
        <v>0</v>
      </c>
      <c r="AI67" s="386">
        <f t="shared" si="76"/>
        <v>0</v>
      </c>
      <c r="AJ67" s="386">
        <f t="shared" si="77"/>
        <v>22.441291262246189</v>
      </c>
      <c r="AK67" s="386">
        <f t="shared" si="78"/>
        <v>0.95686195168223753</v>
      </c>
      <c r="AL67" s="386">
        <f t="shared" si="79"/>
        <v>2.2573698542073242</v>
      </c>
      <c r="AM67" s="386">
        <f t="shared" si="80"/>
        <v>0</v>
      </c>
      <c r="AN67" s="386">
        <f t="shared" si="81"/>
        <v>3.9749221612985912</v>
      </c>
      <c r="AO67" s="386">
        <f t="shared" si="49"/>
        <v>12.74925045209255</v>
      </c>
      <c r="AP67" s="386">
        <f t="shared" si="82"/>
        <v>0.30883243547134592</v>
      </c>
      <c r="AQ67" s="386">
        <f t="shared" si="83"/>
        <v>1.2373333333333332</v>
      </c>
      <c r="AR67" s="386">
        <f t="shared" si="84"/>
        <v>1.6479541047475141</v>
      </c>
      <c r="AS67" s="386">
        <f t="shared" si="85"/>
        <v>3.7970831614607503</v>
      </c>
      <c r="AT67" s="386">
        <f t="shared" si="86"/>
        <v>0</v>
      </c>
      <c r="AU67" s="386">
        <f t="shared" si="87"/>
        <v>0.95039999999999991</v>
      </c>
      <c r="AV67" s="386">
        <f t="shared" si="88"/>
        <v>1.5108346605509015</v>
      </c>
      <c r="AW67" s="386">
        <f t="shared" si="33"/>
        <v>0.249</v>
      </c>
      <c r="AX67" s="386">
        <f t="shared" si="89"/>
        <v>0.14400000000000002</v>
      </c>
      <c r="AY67" s="386">
        <f t="shared" si="90"/>
        <v>1.2671999999999999</v>
      </c>
      <c r="AZ67" s="386">
        <f t="shared" si="36"/>
        <v>0.10439999999999998</v>
      </c>
      <c r="BA67" s="386">
        <f t="shared" si="57"/>
        <v>1.4112</v>
      </c>
      <c r="BB67" s="386">
        <f t="shared" si="58"/>
        <v>34.196662364315273</v>
      </c>
      <c r="BC67">
        <f t="shared" si="91"/>
        <v>278.39999999999998</v>
      </c>
      <c r="BD67" s="604">
        <f t="shared" si="51"/>
        <v>0.89060451859700018</v>
      </c>
      <c r="BE67" s="614">
        <f t="shared" si="92"/>
        <v>230.10930806492956</v>
      </c>
      <c r="BF67" s="614">
        <f t="shared" si="93"/>
        <v>98.079305237375706</v>
      </c>
      <c r="BG67" s="9"/>
      <c r="BH67" s="4">
        <f t="shared" si="52"/>
        <v>89.060451859700024</v>
      </c>
      <c r="BI67" s="386">
        <f t="shared" si="53"/>
        <v>8.4474642978776977</v>
      </c>
      <c r="BJ67" s="386">
        <f t="shared" si="54"/>
        <v>22.356092832450233</v>
      </c>
      <c r="BK67" s="386">
        <f t="shared" si="94"/>
        <v>4.602186161298591</v>
      </c>
      <c r="BL67" s="386">
        <f t="shared" si="95"/>
        <v>1.961586104747514</v>
      </c>
      <c r="BM67" s="386">
        <f t="shared" si="55"/>
        <v>1.5108346605509015</v>
      </c>
      <c r="BS67" s="18"/>
      <c r="BT67" s="19"/>
    </row>
    <row r="68" spans="1:72" x14ac:dyDescent="0.3">
      <c r="A68" s="32" t="s">
        <v>244</v>
      </c>
      <c r="B68" s="491" t="e">
        <f>#REF!</f>
        <v>#REF!</v>
      </c>
      <c r="C68" s="21" t="s">
        <v>19</v>
      </c>
      <c r="G68">
        <v>59</v>
      </c>
      <c r="H68" s="610">
        <f t="shared" si="59"/>
        <v>12</v>
      </c>
      <c r="I68" s="4" t="str">
        <f t="shared" si="60"/>
        <v>BOOST</v>
      </c>
      <c r="J68">
        <f t="shared" si="43"/>
        <v>2</v>
      </c>
      <c r="K68" s="386">
        <f t="shared" si="96"/>
        <v>5.9</v>
      </c>
      <c r="L68" s="4">
        <f t="shared" si="61"/>
        <v>26.222222222222225</v>
      </c>
      <c r="M68" s="4">
        <f t="shared" si="56"/>
        <v>24.190361207548886</v>
      </c>
      <c r="N68" s="386">
        <f t="shared" si="62"/>
        <v>1</v>
      </c>
      <c r="O68" s="386">
        <f t="shared" si="63"/>
        <v>0.75610120289734095</v>
      </c>
      <c r="P68" s="4">
        <f t="shared" si="64"/>
        <v>4.4632713408920281</v>
      </c>
      <c r="Q68" s="4">
        <f t="shared" si="65"/>
        <v>26.253856939380814</v>
      </c>
      <c r="R68" s="386">
        <f t="shared" si="7"/>
        <v>7.8579216545867121</v>
      </c>
      <c r="S68" s="386">
        <f t="shared" si="45"/>
        <v>1.0090395022653098</v>
      </c>
      <c r="T68" s="386">
        <f t="shared" si="46"/>
        <v>8.866961156852021</v>
      </c>
      <c r="U68" s="4">
        <f t="shared" si="66"/>
        <v>10.632941131890783</v>
      </c>
      <c r="V68" s="386">
        <f t="shared" si="9"/>
        <v>0.22611887422850971</v>
      </c>
      <c r="W68" s="386">
        <f t="shared" si="47"/>
        <v>0.22611887422850971</v>
      </c>
      <c r="X68" s="4">
        <f t="shared" si="67"/>
        <v>1.2884354550651773</v>
      </c>
      <c r="Y68" s="386">
        <f t="shared" si="11"/>
        <v>3.3201318437380213E-3</v>
      </c>
      <c r="Z68" s="603">
        <f t="shared" si="48"/>
        <v>3.3201318437380213E-3</v>
      </c>
      <c r="AA68" s="386">
        <f t="shared" si="68"/>
        <v>26.253856939380814</v>
      </c>
      <c r="AB68" s="386">
        <f t="shared" si="69"/>
        <v>3.9288105239028028</v>
      </c>
      <c r="AC68" s="386">
        <f t="shared" si="70"/>
        <v>0</v>
      </c>
      <c r="AD68" s="386">
        <f t="shared" si="71"/>
        <v>0</v>
      </c>
      <c r="AE68" s="386">
        <f t="shared" si="72"/>
        <v>18.33854146055068</v>
      </c>
      <c r="AF68" s="386">
        <f t="shared" si="73"/>
        <v>0</v>
      </c>
      <c r="AG68" s="386">
        <f t="shared" si="74"/>
        <v>0</v>
      </c>
      <c r="AH68" s="386">
        <f t="shared" si="75"/>
        <v>0</v>
      </c>
      <c r="AI68" s="386">
        <f t="shared" si="76"/>
        <v>0</v>
      </c>
      <c r="AJ68" s="386">
        <f t="shared" si="77"/>
        <v>22.828799766648412</v>
      </c>
      <c r="AK68" s="386">
        <f t="shared" si="78"/>
        <v>0.99019278769288066</v>
      </c>
      <c r="AL68" s="386">
        <f t="shared" si="79"/>
        <v>2.2962900241074506</v>
      </c>
      <c r="AM68" s="386">
        <f t="shared" si="80"/>
        <v>0</v>
      </c>
      <c r="AN68" s="386">
        <f t="shared" si="81"/>
        <v>4.0980558887136507</v>
      </c>
      <c r="AO68" s="386">
        <f t="shared" si="49"/>
        <v>12.965758959958634</v>
      </c>
      <c r="AP68" s="386">
        <f t="shared" si="82"/>
        <v>0.31941072027472051</v>
      </c>
      <c r="AQ68" s="386">
        <f t="shared" si="83"/>
        <v>1.2586666666666668</v>
      </c>
      <c r="AR68" s="386">
        <f t="shared" si="84"/>
        <v>1.6857678516859851</v>
      </c>
      <c r="AS68" s="386">
        <f t="shared" si="85"/>
        <v>3.9288105239028028</v>
      </c>
      <c r="AT68" s="386">
        <f t="shared" si="86"/>
        <v>0</v>
      </c>
      <c r="AU68" s="386">
        <f t="shared" si="87"/>
        <v>0.95039999999999991</v>
      </c>
      <c r="AV68" s="386">
        <f t="shared" si="88"/>
        <v>1.56346229635718</v>
      </c>
      <c r="AW68" s="386">
        <f t="shared" si="33"/>
        <v>0.249</v>
      </c>
      <c r="AX68" s="386">
        <f t="shared" si="89"/>
        <v>0.14400000000000002</v>
      </c>
      <c r="AY68" s="386">
        <f t="shared" si="90"/>
        <v>1.2671999999999999</v>
      </c>
      <c r="AZ68" s="386">
        <f t="shared" si="36"/>
        <v>0.10439999999999998</v>
      </c>
      <c r="BA68" s="386">
        <f t="shared" si="57"/>
        <v>1.4112</v>
      </c>
      <c r="BB68" s="386">
        <f t="shared" si="58"/>
        <v>37.392827660231774</v>
      </c>
      <c r="BC68">
        <f t="shared" si="91"/>
        <v>283.20000000000005</v>
      </c>
      <c r="BD68" s="604">
        <f t="shared" si="51"/>
        <v>0.88336349277326587</v>
      </c>
      <c r="BE68" s="614">
        <f t="shared" si="92"/>
        <v>236.26599443568256</v>
      </c>
      <c r="BF68" s="614">
        <f t="shared" si="93"/>
        <v>99.969992584299249</v>
      </c>
      <c r="BG68" s="9"/>
      <c r="BH68" s="4">
        <f t="shared" si="52"/>
        <v>88.33634927732659</v>
      </c>
      <c r="BI68" s="386">
        <f t="shared" si="53"/>
        <v>8.866961156852021</v>
      </c>
      <c r="BJ68" s="386">
        <f t="shared" si="54"/>
        <v>25.072765200950315</v>
      </c>
      <c r="BK68" s="386">
        <f t="shared" si="94"/>
        <v>4.7253198887136509</v>
      </c>
      <c r="BL68" s="386">
        <f t="shared" si="95"/>
        <v>1.999399851685985</v>
      </c>
      <c r="BM68" s="386">
        <f t="shared" si="55"/>
        <v>1.56346229635718</v>
      </c>
      <c r="BS68" s="18"/>
      <c r="BT68" s="19"/>
    </row>
    <row r="69" spans="1:72" x14ac:dyDescent="0.3">
      <c r="A69" s="23" t="s">
        <v>82</v>
      </c>
      <c r="B69" s="491" t="e">
        <f>1-B68</f>
        <v>#REF!</v>
      </c>
      <c r="C69" s="21" t="s">
        <v>19</v>
      </c>
      <c r="G69">
        <v>60</v>
      </c>
      <c r="H69" s="610">
        <f t="shared" si="59"/>
        <v>12</v>
      </c>
      <c r="I69" s="4" t="str">
        <f t="shared" si="60"/>
        <v>BOOST</v>
      </c>
      <c r="J69">
        <f t="shared" si="43"/>
        <v>2</v>
      </c>
      <c r="K69" s="386">
        <f t="shared" si="96"/>
        <v>6</v>
      </c>
      <c r="L69" s="4">
        <f t="shared" si="61"/>
        <v>26.666666666666664</v>
      </c>
      <c r="M69" s="4">
        <f t="shared" si="56"/>
        <v>24.610819447614698</v>
      </c>
      <c r="N69" s="386">
        <f t="shared" si="62"/>
        <v>1</v>
      </c>
      <c r="O69" s="386">
        <f t="shared" si="63"/>
        <v>0.75620478575403449</v>
      </c>
      <c r="P69" s="4">
        <f t="shared" si="64"/>
        <v>4.4618628503547821</v>
      </c>
      <c r="Q69" s="4">
        <f t="shared" si="65"/>
        <v>26.69775513882005</v>
      </c>
      <c r="R69" s="386">
        <f t="shared" si="7"/>
        <v>8.3039052556060202</v>
      </c>
      <c r="S69" s="386">
        <f t="shared" si="45"/>
        <v>1.008305999217969</v>
      </c>
      <c r="T69" s="386">
        <f t="shared" si="46"/>
        <v>9.312211254823989</v>
      </c>
      <c r="U69" s="4">
        <f t="shared" si="66"/>
        <v>10.807907528934523</v>
      </c>
      <c r="V69" s="386">
        <f t="shared" si="9"/>
        <v>0.2336217303079991</v>
      </c>
      <c r="W69" s="386">
        <f t="shared" si="47"/>
        <v>0.2336217303079991</v>
      </c>
      <c r="X69" s="4">
        <f t="shared" si="67"/>
        <v>1.2880288588697621</v>
      </c>
      <c r="Y69" s="386">
        <f t="shared" si="11"/>
        <v>3.3180366825626834E-3</v>
      </c>
      <c r="Z69" s="603">
        <f t="shared" si="48"/>
        <v>3.3180366825626834E-3</v>
      </c>
      <c r="AA69" s="386">
        <f t="shared" si="68"/>
        <v>26.69775513882005</v>
      </c>
      <c r="AB69" s="386">
        <f t="shared" si="69"/>
        <v>4.0627897378786368</v>
      </c>
      <c r="AC69" s="386">
        <f t="shared" si="70"/>
        <v>0</v>
      </c>
      <c r="AD69" s="386">
        <f t="shared" si="71"/>
        <v>0</v>
      </c>
      <c r="AE69" s="386">
        <f t="shared" si="72"/>
        <v>21.674910647492091</v>
      </c>
      <c r="AF69" s="386">
        <f t="shared" si="73"/>
        <v>0</v>
      </c>
      <c r="AG69" s="386">
        <f t="shared" si="74"/>
        <v>0</v>
      </c>
      <c r="AH69" s="386">
        <f t="shared" si="75"/>
        <v>0</v>
      </c>
      <c r="AI69" s="386">
        <f t="shared" si="76"/>
        <v>0</v>
      </c>
      <c r="AJ69" s="386">
        <f t="shared" si="77"/>
        <v>23.216377474412795</v>
      </c>
      <c r="AK69" s="386">
        <f t="shared" si="78"/>
        <v>1.0241003477654016</v>
      </c>
      <c r="AL69" s="386">
        <f t="shared" si="79"/>
        <v>2.3352101940075767</v>
      </c>
      <c r="AM69" s="386">
        <f t="shared" si="80"/>
        <v>0</v>
      </c>
      <c r="AN69" s="386">
        <f t="shared" si="81"/>
        <v>4.2245917095580179</v>
      </c>
      <c r="AO69" s="386">
        <f t="shared" si="49"/>
        <v>13.182182915510261</v>
      </c>
      <c r="AP69" s="386">
        <f t="shared" si="82"/>
        <v>0.33016289819414413</v>
      </c>
      <c r="AQ69" s="386">
        <f t="shared" si="83"/>
        <v>1.2799999999999998</v>
      </c>
      <c r="AR69" s="386">
        <f t="shared" si="84"/>
        <v>1.7240032822252873</v>
      </c>
      <c r="AS69" s="386">
        <f t="shared" si="85"/>
        <v>4.0627897378786368</v>
      </c>
      <c r="AT69" s="386">
        <f t="shared" si="86"/>
        <v>0</v>
      </c>
      <c r="AU69" s="386">
        <f t="shared" si="87"/>
        <v>0.95039999999999991</v>
      </c>
      <c r="AV69" s="386">
        <f t="shared" si="88"/>
        <v>1.6170005491032657</v>
      </c>
      <c r="AW69" s="386">
        <f t="shared" si="33"/>
        <v>0.249</v>
      </c>
      <c r="AX69" s="386">
        <f t="shared" si="89"/>
        <v>0.14400000000000002</v>
      </c>
      <c r="AY69" s="386">
        <f t="shared" si="90"/>
        <v>1.2671999999999999</v>
      </c>
      <c r="AZ69" s="386">
        <f t="shared" si="36"/>
        <v>0.10439999999999998</v>
      </c>
      <c r="BA69" s="386">
        <f t="shared" si="57"/>
        <v>1.4112</v>
      </c>
      <c r="BB69" s="386">
        <f t="shared" si="58"/>
        <v>41.400257210193224</v>
      </c>
      <c r="BC69">
        <f t="shared" si="91"/>
        <v>288</v>
      </c>
      <c r="BD69" s="604">
        <f t="shared" si="51"/>
        <v>0.87431625718563011</v>
      </c>
      <c r="BE69" s="614">
        <f t="shared" si="92"/>
        <v>242.59278547790092</v>
      </c>
      <c r="BF69" s="614">
        <f t="shared" si="93"/>
        <v>101.88176411126437</v>
      </c>
      <c r="BG69" s="9"/>
      <c r="BH69" s="4">
        <f t="shared" si="52"/>
        <v>87.431625718563012</v>
      </c>
      <c r="BI69" s="386">
        <f t="shared" si="53"/>
        <v>9.312211254823989</v>
      </c>
      <c r="BJ69" s="386">
        <f t="shared" si="54"/>
        <v>28.573905639275395</v>
      </c>
      <c r="BK69" s="386">
        <f t="shared" si="94"/>
        <v>4.8518557095580181</v>
      </c>
      <c r="BL69" s="386">
        <f t="shared" si="95"/>
        <v>2.0376352822252874</v>
      </c>
      <c r="BM69" s="386">
        <f t="shared" si="55"/>
        <v>1.6170005491032657</v>
      </c>
      <c r="BS69" s="18"/>
      <c r="BT69" s="19"/>
    </row>
    <row r="70" spans="1:72" x14ac:dyDescent="0.3">
      <c r="A70" s="33" t="s">
        <v>245</v>
      </c>
      <c r="B70" s="491">
        <f>Iripple_Vinnom</f>
        <v>4.5975071044708935</v>
      </c>
      <c r="C70" s="21" t="s">
        <v>2</v>
      </c>
      <c r="G70">
        <v>61</v>
      </c>
      <c r="H70" s="610">
        <f t="shared" si="59"/>
        <v>12</v>
      </c>
      <c r="I70" s="4" t="str">
        <f t="shared" si="60"/>
        <v>BOOST</v>
      </c>
      <c r="J70">
        <f t="shared" si="43"/>
        <v>2</v>
      </c>
      <c r="K70" s="386">
        <f t="shared" si="96"/>
        <v>6.1</v>
      </c>
      <c r="L70" s="4">
        <f t="shared" si="61"/>
        <v>27.111111111111104</v>
      </c>
      <c r="M70" s="4">
        <f t="shared" si="56"/>
        <v>25.031635717303352</v>
      </c>
      <c r="N70" s="386">
        <f t="shared" si="62"/>
        <v>1</v>
      </c>
      <c r="O70" s="386">
        <f t="shared" si="63"/>
        <v>0.75630837437509857</v>
      </c>
      <c r="P70" s="4">
        <f t="shared" si="64"/>
        <v>4.4604538404419252</v>
      </c>
      <c r="Q70" s="4">
        <f t="shared" si="65"/>
        <v>27.141671215756741</v>
      </c>
      <c r="R70" s="386">
        <f t="shared" si="7"/>
        <v>8.77787702328982</v>
      </c>
      <c r="S70" s="386">
        <f t="shared" si="45"/>
        <v>1.0075725277366061</v>
      </c>
      <c r="T70" s="386">
        <f t="shared" si="46"/>
        <v>9.7854495510264261</v>
      </c>
      <c r="U70" s="4">
        <f t="shared" si="66"/>
        <v>10.983103733314518</v>
      </c>
      <c r="V70" s="386">
        <f t="shared" si="9"/>
        <v>0.24125713523349462</v>
      </c>
      <c r="W70" s="386">
        <f t="shared" si="47"/>
        <v>0.24125713523349462</v>
      </c>
      <c r="X70" s="4">
        <f t="shared" si="67"/>
        <v>1.2876221127435228</v>
      </c>
      <c r="Y70" s="386">
        <f t="shared" si="11"/>
        <v>3.3159414104521868E-3</v>
      </c>
      <c r="Z70" s="603">
        <f t="shared" si="48"/>
        <v>3.3159414104521868E-3</v>
      </c>
      <c r="AA70" s="386">
        <f t="shared" si="68"/>
        <v>27.141671215756741</v>
      </c>
      <c r="AB70" s="386">
        <f t="shared" si="69"/>
        <v>4.199020803390157</v>
      </c>
      <c r="AC70" s="386">
        <f t="shared" si="70"/>
        <v>0</v>
      </c>
      <c r="AD70" s="386">
        <f t="shared" si="71"/>
        <v>0</v>
      </c>
      <c r="AE70" s="386">
        <f t="shared" si="72"/>
        <v>26.211796892869231</v>
      </c>
      <c r="AF70" s="386">
        <f t="shared" si="73"/>
        <v>0</v>
      </c>
      <c r="AG70" s="386">
        <f t="shared" si="74"/>
        <v>0</v>
      </c>
      <c r="AH70" s="386">
        <f t="shared" si="75"/>
        <v>0</v>
      </c>
      <c r="AI70" s="386">
        <f t="shared" si="76"/>
        <v>0</v>
      </c>
      <c r="AJ70" s="386">
        <f t="shared" si="77"/>
        <v>23.604023585714206</v>
      </c>
      <c r="AK70" s="386">
        <f t="shared" si="78"/>
        <v>1.0585848659264097</v>
      </c>
      <c r="AL70" s="386">
        <f t="shared" si="79"/>
        <v>2.3741303639077023</v>
      </c>
      <c r="AM70" s="386">
        <f t="shared" si="80"/>
        <v>0</v>
      </c>
      <c r="AN70" s="386">
        <f t="shared" si="81"/>
        <v>4.3546735284977203</v>
      </c>
      <c r="AO70" s="386">
        <f t="shared" si="49"/>
        <v>13.398521819562239</v>
      </c>
      <c r="AP70" s="386">
        <f t="shared" si="82"/>
        <v>0.3410887352036423</v>
      </c>
      <c r="AQ70" s="386">
        <f t="shared" si="83"/>
        <v>1.301333333333333</v>
      </c>
      <c r="AR70" s="386">
        <f t="shared" si="84"/>
        <v>1.7626672576353157</v>
      </c>
      <c r="AS70" s="386">
        <f t="shared" si="85"/>
        <v>4.199020803390157</v>
      </c>
      <c r="AT70" s="386">
        <f t="shared" si="86"/>
        <v>0</v>
      </c>
      <c r="AU70" s="386">
        <f t="shared" si="87"/>
        <v>0.95039999999999991</v>
      </c>
      <c r="AV70" s="386">
        <f t="shared" si="88"/>
        <v>1.6714497883048574</v>
      </c>
      <c r="AW70" s="386">
        <f t="shared" si="33"/>
        <v>0.249</v>
      </c>
      <c r="AX70" s="386">
        <f t="shared" si="89"/>
        <v>0.14400000000000002</v>
      </c>
      <c r="AY70" s="386">
        <f t="shared" si="90"/>
        <v>1.2671999999999999</v>
      </c>
      <c r="AZ70" s="386">
        <f t="shared" si="36"/>
        <v>0.10439999999999998</v>
      </c>
      <c r="BA70" s="386">
        <f t="shared" si="57"/>
        <v>1.4112</v>
      </c>
      <c r="BB70" s="386">
        <f t="shared" si="58"/>
        <v>46.641210094977502</v>
      </c>
      <c r="BC70">
        <f t="shared" si="91"/>
        <v>292.79999999999995</v>
      </c>
      <c r="BD70" s="604">
        <f t="shared" si="51"/>
        <v>0.86259414382264588</v>
      </c>
      <c r="BE70" s="614">
        <f t="shared" si="92"/>
        <v>249.09687642488603</v>
      </c>
      <c r="BF70" s="614">
        <f t="shared" si="93"/>
        <v>103.81496288176579</v>
      </c>
      <c r="BG70" s="9"/>
      <c r="BH70" s="4">
        <f t="shared" si="52"/>
        <v>86.259414382264595</v>
      </c>
      <c r="BI70" s="386">
        <f t="shared" si="53"/>
        <v>9.7854495510264261</v>
      </c>
      <c r="BJ70" s="386">
        <f t="shared" si="54"/>
        <v>33.279537679002267</v>
      </c>
      <c r="BK70" s="386">
        <f t="shared" si="94"/>
        <v>4.9819375284977205</v>
      </c>
      <c r="BL70" s="386">
        <f t="shared" si="95"/>
        <v>2.0762992576353159</v>
      </c>
      <c r="BM70" s="386">
        <f t="shared" si="55"/>
        <v>1.6714497883048574</v>
      </c>
      <c r="BS70" s="18"/>
      <c r="BT70" s="19"/>
    </row>
    <row r="71" spans="1:72" x14ac:dyDescent="0.3">
      <c r="A71" s="14" t="s">
        <v>63</v>
      </c>
      <c r="B71" s="15" t="s">
        <v>8</v>
      </c>
      <c r="C71" s="17" t="s">
        <v>80</v>
      </c>
      <c r="G71">
        <v>62</v>
      </c>
      <c r="H71" s="610">
        <f t="shared" si="59"/>
        <v>12</v>
      </c>
      <c r="I71" s="4" t="str">
        <f t="shared" si="60"/>
        <v>BOOST</v>
      </c>
      <c r="J71">
        <f t="shared" si="43"/>
        <v>2</v>
      </c>
      <c r="K71" s="386">
        <f t="shared" si="96"/>
        <v>6.2</v>
      </c>
      <c r="L71" s="4">
        <f t="shared" si="61"/>
        <v>27.555555555555557</v>
      </c>
      <c r="M71" s="4">
        <f t="shared" si="56"/>
        <v>25.452810503308939</v>
      </c>
      <c r="N71" s="386">
        <f t="shared" si="62"/>
        <v>1</v>
      </c>
      <c r="O71" s="386">
        <f t="shared" si="63"/>
        <v>0.75641196876101435</v>
      </c>
      <c r="P71" s="4">
        <f t="shared" si="64"/>
        <v>4.4590443111101044</v>
      </c>
      <c r="Q71" s="4">
        <f t="shared" si="65"/>
        <v>27.58560430712631</v>
      </c>
      <c r="R71" s="386">
        <f t="shared" si="7"/>
        <v>9.2823434369722158</v>
      </c>
      <c r="S71" s="386">
        <f t="shared" si="45"/>
        <v>1.0068390881037133</v>
      </c>
      <c r="T71" s="386">
        <f t="shared" si="46"/>
        <v>10.28918252507593</v>
      </c>
      <c r="U71" s="4">
        <f t="shared" si="66"/>
        <v>11.15852386869469</v>
      </c>
      <c r="V71" s="386">
        <f t="shared" si="9"/>
        <v>0.24902530985645824</v>
      </c>
      <c r="W71" s="386">
        <f t="shared" si="47"/>
        <v>0.24902530985645824</v>
      </c>
      <c r="X71" s="4">
        <f t="shared" si="67"/>
        <v>1.2872152166739441</v>
      </c>
      <c r="Y71" s="386">
        <f t="shared" si="11"/>
        <v>3.3138460280738979E-3</v>
      </c>
      <c r="Z71" s="603">
        <f t="shared" si="48"/>
        <v>3.3138460280738979E-3</v>
      </c>
      <c r="AA71" s="386">
        <f t="shared" si="68"/>
        <v>27.58560430712631</v>
      </c>
      <c r="AB71" s="386">
        <f t="shared" si="69"/>
        <v>4.3375037204392699</v>
      </c>
      <c r="AC71" s="386">
        <f t="shared" si="70"/>
        <v>0</v>
      </c>
      <c r="AD71" s="386">
        <f t="shared" si="71"/>
        <v>0</v>
      </c>
      <c r="AE71" s="386">
        <f t="shared" si="72"/>
        <v>32.736060973167014</v>
      </c>
      <c r="AF71" s="386">
        <f t="shared" si="73"/>
        <v>0</v>
      </c>
      <c r="AG71" s="386">
        <f t="shared" si="74"/>
        <v>0</v>
      </c>
      <c r="AH71" s="386">
        <f t="shared" si="75"/>
        <v>0</v>
      </c>
      <c r="AI71" s="386">
        <f t="shared" si="76"/>
        <v>0</v>
      </c>
      <c r="AJ71" s="386">
        <f t="shared" si="77"/>
        <v>23.991737352116218</v>
      </c>
      <c r="AK71" s="386">
        <f t="shared" si="78"/>
        <v>1.0936465762285641</v>
      </c>
      <c r="AL71" s="386">
        <f t="shared" si="79"/>
        <v>2.4130505338078292</v>
      </c>
      <c r="AM71" s="386">
        <f t="shared" si="80"/>
        <v>0</v>
      </c>
      <c r="AN71" s="386">
        <f t="shared" si="81"/>
        <v>4.4884534623736254</v>
      </c>
      <c r="AO71" s="386">
        <f t="shared" si="49"/>
        <v>13.614775202566404</v>
      </c>
      <c r="AP71" s="386">
        <f t="shared" si="82"/>
        <v>0.35218799725119249</v>
      </c>
      <c r="AQ71" s="386">
        <f t="shared" si="83"/>
        <v>1.3226666666666669</v>
      </c>
      <c r="AR71" s="386">
        <f t="shared" si="84"/>
        <v>1.8017667914787834</v>
      </c>
      <c r="AS71" s="386">
        <f t="shared" si="85"/>
        <v>4.3375037204392699</v>
      </c>
      <c r="AT71" s="386">
        <f t="shared" si="86"/>
        <v>0</v>
      </c>
      <c r="AU71" s="386">
        <f t="shared" si="87"/>
        <v>0.95039999999999991</v>
      </c>
      <c r="AV71" s="386">
        <f t="shared" si="88"/>
        <v>1.7268103835187856</v>
      </c>
      <c r="AW71" s="386">
        <f t="shared" si="33"/>
        <v>0.249</v>
      </c>
      <c r="AX71" s="386">
        <f t="shared" si="89"/>
        <v>0.14400000000000002</v>
      </c>
      <c r="AY71" s="386">
        <f t="shared" si="90"/>
        <v>1.2671999999999999</v>
      </c>
      <c r="AZ71" s="386">
        <f t="shared" si="36"/>
        <v>0.10439999999999998</v>
      </c>
      <c r="BA71" s="386">
        <f t="shared" si="57"/>
        <v>1.4112</v>
      </c>
      <c r="BB71" s="386">
        <f t="shared" si="58"/>
        <v>53.905213291498683</v>
      </c>
      <c r="BC71">
        <f t="shared" si="91"/>
        <v>297.60000000000002</v>
      </c>
      <c r="BD71" s="604">
        <f t="shared" si="51"/>
        <v>0.84664462644314809</v>
      </c>
      <c r="BE71" s="614">
        <f t="shared" si="92"/>
        <v>255.78587311868128</v>
      </c>
      <c r="BF71" s="614">
        <f t="shared" si="93"/>
        <v>105.76993957393917</v>
      </c>
      <c r="BG71" s="9"/>
      <c r="BH71" s="4">
        <f t="shared" si="52"/>
        <v>84.66446264431481</v>
      </c>
      <c r="BI71" s="386">
        <f t="shared" si="53"/>
        <v>10.28918252507593</v>
      </c>
      <c r="BJ71" s="386">
        <f t="shared" si="54"/>
        <v>39.976681227019427</v>
      </c>
      <c r="BK71" s="386">
        <f t="shared" si="94"/>
        <v>5.1157174623736257</v>
      </c>
      <c r="BL71" s="386">
        <f t="shared" si="95"/>
        <v>2.1153987914787833</v>
      </c>
      <c r="BM71" s="386">
        <f t="shared" si="55"/>
        <v>1.7268103835187856</v>
      </c>
      <c r="BS71" s="18"/>
      <c r="BT71" s="19"/>
    </row>
    <row r="72" spans="1:72" x14ac:dyDescent="0.3">
      <c r="A72" s="32" t="s">
        <v>92</v>
      </c>
      <c r="B72" s="492">
        <f>(Qgd_Q1+Qgs_Q1/2)*(RdsonDRT+Rgate1)/(Vdd-Vsp_Q1)*1000000000</f>
        <v>4.0949999999999998</v>
      </c>
      <c r="C72" s="21" t="s">
        <v>79</v>
      </c>
      <c r="D72" s="118" t="s">
        <v>719</v>
      </c>
      <c r="G72">
        <v>63</v>
      </c>
      <c r="H72" s="610">
        <f t="shared" si="59"/>
        <v>12</v>
      </c>
      <c r="I72" s="4" t="str">
        <f t="shared" si="60"/>
        <v>BOOST</v>
      </c>
      <c r="J72">
        <f t="shared" si="43"/>
        <v>2</v>
      </c>
      <c r="K72" s="386">
        <f t="shared" si="96"/>
        <v>6.3</v>
      </c>
      <c r="L72" s="4">
        <f t="shared" si="61"/>
        <v>27.999999999999996</v>
      </c>
      <c r="M72" s="4">
        <f t="shared" si="56"/>
        <v>25.87434429320809</v>
      </c>
      <c r="N72" s="386">
        <f t="shared" si="62"/>
        <v>1</v>
      </c>
      <c r="O72" s="386">
        <f t="shared" si="63"/>
        <v>0.75651556891226324</v>
      </c>
      <c r="P72" s="4">
        <f t="shared" si="64"/>
        <v>4.4576342623159571</v>
      </c>
      <c r="Q72" s="4">
        <f t="shared" si="65"/>
        <v>28.029553604509072</v>
      </c>
      <c r="R72" s="386">
        <f t="shared" si="7"/>
        <v>9.8201248429764014</v>
      </c>
      <c r="S72" s="386">
        <f t="shared" si="45"/>
        <v>1.0061056806018722</v>
      </c>
      <c r="T72" s="386">
        <f t="shared" si="46"/>
        <v>10.826230523578273</v>
      </c>
      <c r="U72" s="4">
        <f t="shared" si="66"/>
        <v>11.334162417859263</v>
      </c>
      <c r="V72" s="386">
        <f t="shared" si="9"/>
        <v>0.25692647542882668</v>
      </c>
      <c r="W72" s="386">
        <f t="shared" si="47"/>
        <v>0.25692647542882668</v>
      </c>
      <c r="X72" s="4">
        <f t="shared" si="67"/>
        <v>1.2868081706485084</v>
      </c>
      <c r="Y72" s="386">
        <f t="shared" si="11"/>
        <v>3.3117505360955213E-3</v>
      </c>
      <c r="Z72" s="603">
        <f t="shared" si="48"/>
        <v>3.3117505360955213E-3</v>
      </c>
      <c r="AA72" s="386">
        <f t="shared" si="68"/>
        <v>28.029553604509072</v>
      </c>
      <c r="AB72" s="386">
        <f t="shared" si="69"/>
        <v>4.4782384890278717</v>
      </c>
      <c r="AC72" s="386">
        <f t="shared" si="70"/>
        <v>0</v>
      </c>
      <c r="AD72" s="386">
        <f t="shared" si="71"/>
        <v>0</v>
      </c>
      <c r="AE72" s="386">
        <f t="shared" si="72"/>
        <v>42.914611320066257</v>
      </c>
      <c r="AF72" s="386">
        <f t="shared" si="73"/>
        <v>0</v>
      </c>
      <c r="AG72" s="386">
        <f t="shared" si="74"/>
        <v>0</v>
      </c>
      <c r="AH72" s="386">
        <f t="shared" si="75"/>
        <v>0</v>
      </c>
      <c r="AI72" s="386">
        <f t="shared" si="76"/>
        <v>0</v>
      </c>
      <c r="AJ72" s="386">
        <f t="shared" si="77"/>
        <v>24.37951807250646</v>
      </c>
      <c r="AK72" s="386">
        <f t="shared" si="78"/>
        <v>1.1292857127505713</v>
      </c>
      <c r="AL72" s="386">
        <f t="shared" si="79"/>
        <v>2.4519707037079552</v>
      </c>
      <c r="AM72" s="386">
        <f t="shared" si="80"/>
        <v>0</v>
      </c>
      <c r="AN72" s="386">
        <f t="shared" si="81"/>
        <v>4.6260924350004222</v>
      </c>
      <c r="AO72" s="386">
        <f t="shared" si="49"/>
        <v>13.830942622264704</v>
      </c>
      <c r="AP72" s="386">
        <f t="shared" si="82"/>
        <v>0.36346045025871909</v>
      </c>
      <c r="AQ72" s="386">
        <f t="shared" si="83"/>
        <v>1.3439999999999999</v>
      </c>
      <c r="AR72" s="386">
        <f t="shared" si="84"/>
        <v>1.8413090538114738</v>
      </c>
      <c r="AS72" s="386">
        <f t="shared" si="85"/>
        <v>4.4782384890278717</v>
      </c>
      <c r="AT72" s="386">
        <f t="shared" si="86"/>
        <v>0</v>
      </c>
      <c r="AU72" s="386">
        <f t="shared" si="87"/>
        <v>0.95039999999999991</v>
      </c>
      <c r="AV72" s="386">
        <f t="shared" si="88"/>
        <v>1.7830827043430073</v>
      </c>
      <c r="AW72" s="386">
        <f t="shared" si="33"/>
        <v>0.249</v>
      </c>
      <c r="AX72" s="386">
        <f t="shared" si="89"/>
        <v>0.14400000000000002</v>
      </c>
      <c r="AY72" s="386">
        <f t="shared" si="90"/>
        <v>1.2671999999999999</v>
      </c>
      <c r="AZ72" s="386">
        <f t="shared" si="36"/>
        <v>0.10439999999999998</v>
      </c>
      <c r="BA72" s="386">
        <f t="shared" si="57"/>
        <v>1.4112</v>
      </c>
      <c r="BB72" s="386">
        <f t="shared" si="58"/>
        <v>64.862164262764352</v>
      </c>
      <c r="BC72">
        <f t="shared" si="91"/>
        <v>302.39999999999998</v>
      </c>
      <c r="BD72" s="604">
        <f t="shared" si="51"/>
        <v>0.82339001788281807</v>
      </c>
      <c r="BE72" s="614">
        <f t="shared" si="92"/>
        <v>262.66782175002112</v>
      </c>
      <c r="BF72" s="614">
        <f t="shared" si="93"/>
        <v>107.7470526905737</v>
      </c>
      <c r="BG72" s="9"/>
      <c r="BH72" s="4">
        <f t="shared" si="52"/>
        <v>82.339001788281806</v>
      </c>
      <c r="BI72" s="386">
        <f t="shared" si="53"/>
        <v>10.826230523578273</v>
      </c>
      <c r="BJ72" s="386">
        <f t="shared" si="54"/>
        <v>50.332412808878153</v>
      </c>
      <c r="BK72" s="386">
        <f t="shared" si="94"/>
        <v>5.2533564350004225</v>
      </c>
      <c r="BL72" s="386">
        <f t="shared" si="95"/>
        <v>2.1549410538114739</v>
      </c>
      <c r="BM72" s="386">
        <f t="shared" si="55"/>
        <v>1.7830827043430073</v>
      </c>
      <c r="BS72" s="18"/>
      <c r="BT72" s="19"/>
    </row>
    <row r="73" spans="1:72" x14ac:dyDescent="0.3">
      <c r="A73" s="33" t="s">
        <v>93</v>
      </c>
      <c r="B73" s="492">
        <f>(Qgd_Q1+Qgs_Q1/2)*(RdsonDRT2+Rgate1)/(Vsp_Q1)*1000000000</f>
        <v>2.7299999999999991</v>
      </c>
      <c r="C73" s="21" t="s">
        <v>79</v>
      </c>
      <c r="D73" s="118" t="s">
        <v>720</v>
      </c>
      <c r="G73">
        <v>64</v>
      </c>
      <c r="H73" s="610">
        <f t="shared" ref="H73:H109" si="97">Vin</f>
        <v>12</v>
      </c>
      <c r="I73" s="4" t="str">
        <f t="shared" ref="I73:I104" si="98">IF(H73&gt;VIN_BB_to_buck, "BUCK", IF(H73&lt;VIN_boost_to_BB,"BOOST","BUCK-BST"))</f>
        <v>BOOST</v>
      </c>
      <c r="J73">
        <f t="shared" si="43"/>
        <v>2</v>
      </c>
      <c r="K73" s="386">
        <f t="shared" si="96"/>
        <v>6.4</v>
      </c>
      <c r="L73" s="4">
        <f t="shared" ref="L73:L104" si="99">Vout*K73/(Vin*Efficiency)</f>
        <v>28.444444444444446</v>
      </c>
      <c r="M73" s="4">
        <f t="shared" si="56"/>
        <v>26.296237575461927</v>
      </c>
      <c r="N73" s="386">
        <f t="shared" ref="N73:N109" si="100">CHOOSE(J73,(Vout+(Rdson2+Rs+Rdcr)*K73)/(Vin+(Rs+Rdson2-Rdson1)*K73), 1, IF(Vin&lt;Vout, D_max_buck_BB, Vout/Vin*(1-D_min_boost_exitBB_to_buck)))</f>
        <v>1</v>
      </c>
      <c r="O73" s="386">
        <f t="shared" ref="O73:O109" si="101">CHOOSE(J73,0,(Vout+(Rdson3+Rdcr)*L73-Vin)/(Vout+(Rdson3-Rdson4-Rs)*L73), IF(Vin&gt;Vout,D_min_boost_exitBB_to_buck, (Vout-Vin*D_max_buck_BB)/Vout))</f>
        <v>0.75661917482932628</v>
      </c>
      <c r="P73" s="4">
        <f t="shared" ref="P73:P104" si="102">MAX(0, CHOOSE(J73, (Vin-(Rdson1+Rdcr)*K73-Vout)*N73/(Fsw*Lf), (Vin-(Rdson4+Rdcr+Rs)*L73)*O73/(Fsw*Lf), IF(Vin&lt;Vout, (Vin-(Rdson4+Rdcr+Rs)*L73)*O73/(0.5*Fsw*Lf),(Vin-(Rdson1+Rdcr)*K73-Vout)*N73/(0.5*Fsw*Lf))))</f>
        <v>4.4562236940161162</v>
      </c>
      <c r="Q73" s="4">
        <f t="shared" ref="Q73:Q104" si="103">CHOOSE(J73, SQRT(K73^2+(P73^2)/12), SQRT(L73^2+(P73^2)/12), SQRT(M73^2+(P73^2)/12))</f>
        <v>28.473518349875189</v>
      </c>
      <c r="R73" s="386">
        <f t="shared" si="7"/>
        <v>10.394405988822573</v>
      </c>
      <c r="S73" s="386">
        <f t="shared" si="45"/>
        <v>1.0053723055137513</v>
      </c>
      <c r="T73" s="386">
        <f t="shared" si="46"/>
        <v>11.399778294336324</v>
      </c>
      <c r="U73" s="4">
        <f t="shared" ref="U73:U109" si="104">IF(Vin&gt;Vout, P73/SQRT(12), SQRT(O73/(1-O73))*SQRT(K73^2+(P73^2)/12))</f>
        <v>11.510014196427374</v>
      </c>
      <c r="V73" s="386">
        <f t="shared" si="9"/>
        <v>0.26496085360391936</v>
      </c>
      <c r="W73" s="386">
        <f t="shared" si="47"/>
        <v>0.26496085360391936</v>
      </c>
      <c r="X73" s="4">
        <f t="shared" ref="X73:X109" si="105">IF(Vin&gt;Vout, SQRT(N73*(1-N73))*SQRT(K73^2+(P73^2)/12), P73/SQRT(12))</f>
        <v>1.2864009746546967</v>
      </c>
      <c r="Y73" s="386">
        <f t="shared" si="11"/>
        <v>3.3096549351851073E-3</v>
      </c>
      <c r="Z73" s="603">
        <f t="shared" si="48"/>
        <v>3.3096549351851073E-3</v>
      </c>
      <c r="AA73" s="386">
        <f t="shared" ref="AA73:AA109" si="106">CHOOSE(J73, SQRT(N73)*SQRT(K73^2+(P73^2)/12), SQRT(L73^2+(P73^2)/12), SQRT(N73)*SQRT(M73^2+(P73^2)/12))</f>
        <v>28.473518349875189</v>
      </c>
      <c r="AB73" s="386">
        <f t="shared" ref="AB73:AB104" si="107">Rdson1*AA73^2</f>
        <v>4.6212251091578711</v>
      </c>
      <c r="AC73" s="386">
        <f t="shared" ref="AC73:AC109" si="108">CHOOSE(J73, (Vin*K73/2)*(Fsw)*(Tr_buck+Tf_buck), 0, (Vin*K73/2)*(Fsw/2)*(Tr_buck+Tf_buck))</f>
        <v>0</v>
      </c>
      <c r="AD73" s="386">
        <f t="shared" ref="AD73:AD109" si="109">CHOOSE(J73, IF(K73&gt;P73/2,0,ABS(K73-P73/2)*Vsd_Q1*Deadtime*Fsw),0, IF(K73&gt;P73/2,0,ABS(K73-P73/2)*Vsd_Q1*Deadtime*Fsw/2))</f>
        <v>0</v>
      </c>
      <c r="AE73" s="386">
        <f t="shared" ref="AE73:AE104" si="110">(AD73+AC73+AB73*(1+RdsonTopTc*Ta-RdsonTopTc*25))/(1-AB73*RdsonTopTc*ThetaJA_Q1)</f>
        <v>61.002263097265015</v>
      </c>
      <c r="AF73" s="386">
        <f t="shared" ref="AF73:AF109" si="111">CHOOSE(J73, SQRT((1-N73))*SQRT(K73^2+(P73^2)/12), 0, SQRT((1-N73))*SQRT(M73^2+(P73^2)/12))</f>
        <v>0</v>
      </c>
      <c r="AG73" s="386">
        <f t="shared" ref="AG73:AG104" si="112">Rdson2*AF73^2</f>
        <v>0</v>
      </c>
      <c r="AH73" s="386">
        <f t="shared" ref="AH73:AH109" si="113">CHOOSE(J73, IF(K73&lt;P73/2,Deadtime*Fsw*IF(VfdSky_Q2&gt;0,0,Vsd_Q2)*(K73+P73/2),2*Deadtime*Fsw*IF(VfdSky_Q2&gt;0,0,Vsd_Q2)*K73),0, IF(K73&lt;P73/2,Deadtime*Fsw/2*IF(VfdSky_Q2&gt;0,0,Vsd_Q2)*(K73+P73/2),2*Deadtime*Fsw/2*IF(VfdSky_Q2&gt;0,0,Vsd_Q2)*K73))</f>
        <v>0</v>
      </c>
      <c r="AI73" s="386">
        <f t="shared" ref="AI73:AI104" si="114">(AH73+AG73*(1+RdsonBotTc*Ta-RdsonBotTc*25))/(1-AG73*RdsonBotTc*ThetaJA_Q2)</f>
        <v>0</v>
      </c>
      <c r="AJ73" s="386">
        <f t="shared" ref="AJ73:AJ109" si="115">CHOOSE(J73, 0, SQRT(O73)*SQRT(L73^2+(P73^2)/12), SQRT(O73)*SQRT(M73^2+(P73^2)/12))</f>
        <v>24.767365089411694</v>
      </c>
      <c r="AK73" s="386">
        <f t="shared" ref="AK73:AK104" si="116">Rdson4*AJ73^2</f>
        <v>1.1655025095971971</v>
      </c>
      <c r="AL73" s="386">
        <f t="shared" ref="AL73:AL109" si="117">CHOOSE(J73, 0, (Vout*L73/2)*(Fsw)*(Tr_boost+Tf_boost), (Vout*Iout/2)*(Fsw/2)*(Tr_boost+Tf_boost))</f>
        <v>2.4908908736080821</v>
      </c>
      <c r="AM73" s="386">
        <f t="shared" ref="AM73:AM109" si="118">IF(H73&gt;Vout, 0, IF(L73&gt;P73/2,0,ABS(L73-P73/2)*Vsd_Q4*Deadtime*Fsw))</f>
        <v>0</v>
      </c>
      <c r="AN73" s="386">
        <f t="shared" ref="AN73:AN104" si="119">(AM73+AL73+AK73*(1+RdsonTopTc*Ta-RdsonTopTc*25))/(1-AK73*RdsonTopTc*ThetaJA_Q4)</f>
        <v>4.7677608244062064</v>
      </c>
      <c r="AO73" s="386">
        <f t="shared" si="49"/>
        <v>14.04702366156155</v>
      </c>
      <c r="AP73" s="386">
        <f t="shared" ref="AP73:AP104" si="120">Rdson3*AO73^2</f>
        <v>0.37490586012209309</v>
      </c>
      <c r="AQ73" s="386">
        <f t="shared" ref="AQ73:AQ109" si="121">CHOOSE(J73, 0, IF(L73&lt;P73/2,Deadtime*Fsw*IF(VfdSky_Q3&gt;0,0,Vsd_Q3)*(L73+P73/2), 2*Deadtime*Fsw*IF(VfdSky_Q3&gt;0,0,Vsd_Q3)*L73), IF(L73&lt;P73/2,Deadtime*Fsw/2*IF(VfdSky_Q3&gt;0,0,Vsd_Q3)*(L73+P73/2), 2*Deadtime*Fsw/2*IF(VfdSky_Q3&gt;0,0,Vsd_Q3)*L73))</f>
        <v>1.3653333333333335</v>
      </c>
      <c r="AR73" s="386">
        <f t="shared" ref="AR73:AR104" si="122">(AQ73+AP73*(1+RdsonBotTc*Ta-RdsonBotTc*25))/(1-AP73*RdsonBotTc*ThetaJA_Q3)</f>
        <v>1.8813013755233159</v>
      </c>
      <c r="AS73" s="386">
        <f t="shared" ref="AS73:AS109" si="123">CHOOSE(J73, Rdson3*Q73^2, Rdson1*Q73^2, 0)</f>
        <v>4.6212251091578711</v>
      </c>
      <c r="AT73" s="386">
        <f t="shared" ref="AT73:AT109" si="124">CHOOSE(J73, 2*Deadtime*Fsw*IF(VfdSky_Q2&gt;0,VfdSky_Q2,0)*K73, 2*Deadtime*Fsw*IF(VfdSky_Q3&gt;0,VfdSky_Q3,0)*L73, 2*Deadtime*Fsw/2*IF(VfdSky_Q2&gt;0,VfdSky_Q2,0)*K73+2*Deadtime*Fsw/2*IF(VfdSky_Q3&gt;0,VfdSky_Q3,0)*L73)</f>
        <v>0</v>
      </c>
      <c r="AU73" s="386">
        <f t="shared" ref="AU73:AU109" si="125">CHOOSE(J73, IF(QrrSky_Q2&gt;0,QrrSky_Q2,Qrr_Q2*K73/Iout)*Fsw*(Vin-K73*Rdson1), IF(QrrSky_Q3&gt;0,QrrSky_Q3,Qrr_Q3)*Fsw*Vout,  IF(QrrSky_Q2&gt;0,QrrSky_Q2,Qrr_Q2*K73/Iout)*Fsw/2*(Vin-K73*Rdson1)+IF(QrrSky_Q3&gt;0,QrrSky_Q3,Qrr_Q3)*Fsw/2*Vout)</f>
        <v>0.95039999999999991</v>
      </c>
      <c r="AV73" s="386">
        <f t="shared" ref="AV73:AV109" si="126">CHOOSE(J73, Rs*AF73^2, Rs*AJ73^2, Rs*(AF73^2+AJ73^2))</f>
        <v>1.8402671204166272</v>
      </c>
      <c r="AW73" s="386">
        <f t="shared" ref="AW73:AW109" si="127">Rshunt_std/1000*Iout^2</f>
        <v>0.249</v>
      </c>
      <c r="AX73" s="386">
        <f t="shared" ref="AX73:AX109" si="128">IF(Vout&gt;8, Iq*Vout, Iq*Vin)</f>
        <v>0.14400000000000002</v>
      </c>
      <c r="AY73" s="386">
        <f t="shared" ref="AY73:AY109" si="129">CHOOSE(J73, (Qg_Q1+Qg_Q2)*Fsw, (Qg_Q3+Qg_Q4)*Fsw, (Qg_Q1+Qg_Q2+Qg_Q3+Qg_Q4)*Fsw/2)*IF(Vout&gt;8, Vout, Vin)</f>
        <v>1.2671999999999999</v>
      </c>
      <c r="AZ73" s="386">
        <f t="shared" ref="AZ73:AZ109" si="130">(Vin-Vdd)*Fsw*(Qg_Q1+Qg_Q2)+(RdsonDRT+RdsonDRT2)*Fsw*Qg_Q1*Vdd/(RdsonDRT+2*Rgate1+RdsonDRT2)+(RdsonDRB+RdsonDRB2)*Fsw*Qg_Q2*Vdd/(RdsonDRB+2*Rgate2+RdsonDRB2)</f>
        <v>0.10439999999999998</v>
      </c>
      <c r="BA73" s="386">
        <f t="shared" si="57"/>
        <v>1.4112</v>
      </c>
      <c r="BB73" s="386">
        <f t="shared" si="58"/>
        <v>83.770241220486596</v>
      </c>
      <c r="BC73">
        <f t="shared" ref="BC73:BC109" si="131">Vout*K73</f>
        <v>307.20000000000005</v>
      </c>
      <c r="BD73" s="604">
        <f t="shared" si="51"/>
        <v>0.78573755138247314</v>
      </c>
      <c r="BE73" s="614">
        <f t="shared" ref="BE73:BE109" si="132">IF(Vin&gt;Vout,ThetaJA_Q1*BK73,ThetaJA_Q4*BK73)</f>
        <v>269.75124122031036</v>
      </c>
      <c r="BF73" s="614">
        <f t="shared" ref="BF73:BF109" si="133">IF(Vin&gt;Vout, ThetaJA_Q2*BL73, ThetaJA_Q3*BL73)</f>
        <v>109.74666877616579</v>
      </c>
      <c r="BG73" s="9"/>
      <c r="BH73" s="4">
        <f t="shared" si="52"/>
        <v>78.573755138247321</v>
      </c>
      <c r="BI73" s="386">
        <f t="shared" si="53"/>
        <v>11.399778294336324</v>
      </c>
      <c r="BJ73" s="386">
        <f t="shared" si="54"/>
        <v>68.601725297194548</v>
      </c>
      <c r="BK73" s="386">
        <f t="shared" ref="BK73:BK109" si="134">IF(Vin&gt;Vout, AE73+AU73*0.66, AN73+AU73*0.66)</f>
        <v>5.3950248244062067</v>
      </c>
      <c r="BL73" s="386">
        <f t="shared" ref="BL73:BL109" si="135">IF(Vin&gt;Vout, AI73+AU73*0.33, AR73+AU73*0.33)</f>
        <v>2.1949333755233158</v>
      </c>
      <c r="BM73" s="386">
        <f t="shared" si="55"/>
        <v>1.8402671204166272</v>
      </c>
      <c r="BS73" s="18"/>
      <c r="BT73" s="19"/>
    </row>
    <row r="74" spans="1:72" x14ac:dyDescent="0.3">
      <c r="A74" s="14" t="s">
        <v>118</v>
      </c>
      <c r="B74" s="15" t="s">
        <v>8</v>
      </c>
      <c r="C74" s="17" t="s">
        <v>80</v>
      </c>
      <c r="G74">
        <v>65</v>
      </c>
      <c r="H74" s="610">
        <f t="shared" si="97"/>
        <v>12</v>
      </c>
      <c r="I74" s="4" t="str">
        <f t="shared" si="98"/>
        <v>BOOST</v>
      </c>
      <c r="J74">
        <f t="shared" ref="J74:J109" si="136">IF(I74="BOOST",2, IF(I74="BUCK", 1,3))</f>
        <v>2</v>
      </c>
      <c r="K74" s="386">
        <f t="shared" ref="K74:K109" si="137">Iout*G74/100</f>
        <v>6.5</v>
      </c>
      <c r="L74" s="4">
        <f t="shared" si="99"/>
        <v>28.888888888888886</v>
      </c>
      <c r="M74" s="4">
        <f t="shared" si="56"/>
        <v>26.718490839418138</v>
      </c>
      <c r="N74" s="386">
        <f t="shared" si="100"/>
        <v>1</v>
      </c>
      <c r="O74" s="386">
        <f t="shared" si="101"/>
        <v>0.75672278651268488</v>
      </c>
      <c r="P74" s="4">
        <f t="shared" si="102"/>
        <v>4.4548126061672129</v>
      </c>
      <c r="Q74" s="4">
        <f t="shared" si="103"/>
        <v>28.917497831720731</v>
      </c>
      <c r="R74" s="386">
        <f t="shared" ref="R74:R109" si="138">(Q74^2*Rdcr*(1+Ltc*Ta-Ltc*25))/(1-Q74^2*Rdcr*Ltc*ThetaCa)</f>
        <v>11.008796653094519</v>
      </c>
      <c r="S74" s="386">
        <f t="shared" ref="S74:S109" si="139">7.759*10^-3*Fsw^0.9458*(0.00787*P74)^2.304</f>
        <v>1.0046389631221033</v>
      </c>
      <c r="T74" s="386">
        <f t="shared" ref="T74:T109" si="140">R74+S74</f>
        <v>12.013435616216622</v>
      </c>
      <c r="U74" s="4">
        <f t="shared" si="104"/>
        <v>11.686074328818664</v>
      </c>
      <c r="V74" s="386">
        <f t="shared" ref="V74:V109" si="141">RCoutEsr*U74^2</f>
        <v>0.27312866643734918</v>
      </c>
      <c r="W74" s="386">
        <f t="shared" ref="W74:W109" si="142">V74</f>
        <v>0.27312866643734918</v>
      </c>
      <c r="X74" s="4">
        <f t="shared" si="105"/>
        <v>1.2859936286799893</v>
      </c>
      <c r="Y74" s="386">
        <f t="shared" ref="Y74:Y109" si="143">RCinEsr*X74^2</f>
        <v>3.3075592260110526E-3</v>
      </c>
      <c r="Z74" s="603">
        <f t="shared" ref="Z74:Z109" si="144">Y74</f>
        <v>3.3075592260110526E-3</v>
      </c>
      <c r="AA74" s="386">
        <f t="shared" si="106"/>
        <v>28.917497831720731</v>
      </c>
      <c r="AB74" s="386">
        <f t="shared" si="107"/>
        <v>4.7664635808311671</v>
      </c>
      <c r="AC74" s="386">
        <f t="shared" si="108"/>
        <v>0</v>
      </c>
      <c r="AD74" s="386">
        <f t="shared" si="109"/>
        <v>0</v>
      </c>
      <c r="AE74" s="386">
        <f t="shared" si="110"/>
        <v>102.04968453732482</v>
      </c>
      <c r="AF74" s="386">
        <f t="shared" si="111"/>
        <v>0</v>
      </c>
      <c r="AG74" s="386">
        <f t="shared" si="112"/>
        <v>0</v>
      </c>
      <c r="AH74" s="386">
        <f t="shared" si="113"/>
        <v>0</v>
      </c>
      <c r="AI74" s="386">
        <f t="shared" si="114"/>
        <v>0</v>
      </c>
      <c r="AJ74" s="386">
        <f t="shared" si="115"/>
        <v>25.155277785651595</v>
      </c>
      <c r="AK74" s="386">
        <f t="shared" si="116"/>
        <v>1.2022972008992636</v>
      </c>
      <c r="AL74" s="386">
        <f t="shared" si="117"/>
        <v>2.5298110435082077</v>
      </c>
      <c r="AM74" s="386">
        <f t="shared" si="118"/>
        <v>0</v>
      </c>
      <c r="AN74" s="386">
        <f t="shared" si="119"/>
        <v>4.9136391679875571</v>
      </c>
      <c r="AO74" s="386">
        <f t="shared" ref="AO74:AO109" si="145">CHOOSE(J74, SQRT(K74^2+(P74^2)/12), SQRT(1-O74)*SQRT(L74^2+(P74^2)/12), SQRT(1-O74)*SQRT(M74^2+(P74^2)/12))</f>
        <v>14.263017926591713</v>
      </c>
      <c r="AP74" s="386">
        <f t="shared" si="120"/>
        <v>0.38652399271112547</v>
      </c>
      <c r="AQ74" s="386">
        <f t="shared" si="121"/>
        <v>1.3866666666666665</v>
      </c>
      <c r="AR74" s="386">
        <f t="shared" si="122"/>
        <v>1.9217512528257557</v>
      </c>
      <c r="AS74" s="386">
        <f t="shared" si="123"/>
        <v>4.7664635808311671</v>
      </c>
      <c r="AT74" s="386">
        <f t="shared" si="124"/>
        <v>0</v>
      </c>
      <c r="AU74" s="386">
        <f t="shared" si="125"/>
        <v>0.95039999999999991</v>
      </c>
      <c r="AV74" s="386">
        <f t="shared" si="126"/>
        <v>1.8983640014198899</v>
      </c>
      <c r="AW74" s="386">
        <f t="shared" si="127"/>
        <v>0.249</v>
      </c>
      <c r="AX74" s="386">
        <f t="shared" si="128"/>
        <v>0.14400000000000002</v>
      </c>
      <c r="AY74" s="386">
        <f t="shared" si="129"/>
        <v>1.2671999999999999</v>
      </c>
      <c r="AZ74" s="386">
        <f t="shared" si="130"/>
        <v>0.10439999999999998</v>
      </c>
      <c r="BA74" s="386">
        <f t="shared" si="57"/>
        <v>1.4112</v>
      </c>
      <c r="BB74" s="386">
        <f t="shared" si="58"/>
        <v>125.683910801438</v>
      </c>
      <c r="BC74">
        <f t="shared" si="131"/>
        <v>312</v>
      </c>
      <c r="BD74" s="604">
        <f t="shared" ref="BD74:BD109" si="146">BC74/(BC74+BB74)</f>
        <v>0.71284320099566911</v>
      </c>
      <c r="BE74" s="614">
        <f t="shared" si="132"/>
        <v>277.04515839937784</v>
      </c>
      <c r="BF74" s="614">
        <f t="shared" si="133"/>
        <v>111.76916264128778</v>
      </c>
      <c r="BG74" s="9"/>
      <c r="BH74" s="4">
        <f t="shared" ref="BH74:BH109" si="147">BD74*100</f>
        <v>71.284320099566912</v>
      </c>
      <c r="BI74" s="386">
        <f t="shared" ref="BI74:BI109" si="148">T74</f>
        <v>12.013435616216622</v>
      </c>
      <c r="BJ74" s="386">
        <f t="shared" ref="BJ74:BJ109" si="149">AE74+AI74+AN74+AR74+AU74</f>
        <v>109.83547495813814</v>
      </c>
      <c r="BK74" s="386">
        <f t="shared" si="134"/>
        <v>5.5409031679875573</v>
      </c>
      <c r="BL74" s="386">
        <f t="shared" si="135"/>
        <v>2.2353832528257556</v>
      </c>
      <c r="BM74" s="386">
        <f t="shared" ref="BM74:BM109" si="150">AV74</f>
        <v>1.8983640014198899</v>
      </c>
      <c r="BS74" s="18"/>
      <c r="BT74" s="19"/>
    </row>
    <row r="75" spans="1:72" x14ac:dyDescent="0.3">
      <c r="A75" s="34" t="s">
        <v>119</v>
      </c>
      <c r="B75" s="80">
        <f>BA9</f>
        <v>1.4112</v>
      </c>
      <c r="C75" s="81" t="s">
        <v>120</v>
      </c>
      <c r="G75">
        <v>66</v>
      </c>
      <c r="H75" s="610">
        <f t="shared" si="97"/>
        <v>12</v>
      </c>
      <c r="I75" s="4" t="str">
        <f t="shared" si="98"/>
        <v>BOOST</v>
      </c>
      <c r="J75">
        <f t="shared" si="136"/>
        <v>2</v>
      </c>
      <c r="K75" s="386">
        <f t="shared" si="137"/>
        <v>6.6</v>
      </c>
      <c r="L75" s="4">
        <f t="shared" si="99"/>
        <v>29.333333333333329</v>
      </c>
      <c r="M75" s="4">
        <f t="shared" ref="M75:M108" si="151">K75/(1-O75)</f>
        <v>27.141104575312994</v>
      </c>
      <c r="N75" s="386">
        <f t="shared" si="100"/>
        <v>1</v>
      </c>
      <c r="O75" s="386">
        <f t="shared" si="101"/>
        <v>0.75682640396282075</v>
      </c>
      <c r="P75" s="4">
        <f t="shared" si="102"/>
        <v>4.4534009987258729</v>
      </c>
      <c r="Q75" s="4">
        <f t="shared" si="103"/>
        <v>29.361491381553922</v>
      </c>
      <c r="R75" s="386">
        <f t="shared" si="138"/>
        <v>11.667404804720505</v>
      </c>
      <c r="S75" s="386">
        <f t="shared" si="139"/>
        <v>1.0039056537097724</v>
      </c>
      <c r="T75" s="386">
        <f t="shared" si="140"/>
        <v>12.671310458430277</v>
      </c>
      <c r="U75" s="4">
        <f t="shared" si="104"/>
        <v>11.862338226250683</v>
      </c>
      <c r="V75" s="386">
        <f t="shared" si="141"/>
        <v>0.28143013638793646</v>
      </c>
      <c r="W75" s="386">
        <f t="shared" si="142"/>
        <v>0.28143013638793646</v>
      </c>
      <c r="X75" s="4">
        <f t="shared" si="105"/>
        <v>1.2855861327118656</v>
      </c>
      <c r="Y75" s="386">
        <f t="shared" si="143"/>
        <v>3.3054634092421014E-3</v>
      </c>
      <c r="Z75" s="603">
        <f t="shared" si="144"/>
        <v>3.3054634092421014E-3</v>
      </c>
      <c r="AA75" s="386">
        <f t="shared" si="106"/>
        <v>29.361491381553922</v>
      </c>
      <c r="AB75" s="386">
        <f t="shared" si="107"/>
        <v>4.9139539040496718</v>
      </c>
      <c r="AC75" s="386">
        <f t="shared" si="108"/>
        <v>0</v>
      </c>
      <c r="AD75" s="386">
        <f t="shared" si="109"/>
        <v>0</v>
      </c>
      <c r="AE75" s="386">
        <f t="shared" si="110"/>
        <v>285.54194410437492</v>
      </c>
      <c r="AF75" s="386">
        <f t="shared" si="111"/>
        <v>0</v>
      </c>
      <c r="AG75" s="386">
        <f t="shared" si="112"/>
        <v>0</v>
      </c>
      <c r="AH75" s="386">
        <f t="shared" si="113"/>
        <v>0</v>
      </c>
      <c r="AI75" s="386">
        <f t="shared" si="114"/>
        <v>0</v>
      </c>
      <c r="AJ75" s="386">
        <f t="shared" si="115"/>
        <v>25.54325558129581</v>
      </c>
      <c r="AK75" s="386">
        <f t="shared" si="116"/>
        <v>1.2396700208136591</v>
      </c>
      <c r="AL75" s="386">
        <f t="shared" si="117"/>
        <v>2.5687312134083342</v>
      </c>
      <c r="AM75" s="386">
        <f t="shared" si="118"/>
        <v>0</v>
      </c>
      <c r="AN75" s="386">
        <f t="shared" si="119"/>
        <v>5.0639189317183995</v>
      </c>
      <c r="AO75" s="386">
        <f t="shared" si="145"/>
        <v>14.478925044963308</v>
      </c>
      <c r="AP75" s="386">
        <f t="shared" si="120"/>
        <v>0.3983146138695649</v>
      </c>
      <c r="AQ75" s="386">
        <f t="shared" si="121"/>
        <v>1.4079999999999997</v>
      </c>
      <c r="AR75" s="386">
        <f t="shared" si="122"/>
        <v>1.9626663518912333</v>
      </c>
      <c r="AS75" s="386">
        <f t="shared" si="123"/>
        <v>4.9139539040496718</v>
      </c>
      <c r="AT75" s="386">
        <f t="shared" si="124"/>
        <v>0</v>
      </c>
      <c r="AU75" s="386">
        <f t="shared" si="125"/>
        <v>0.95039999999999991</v>
      </c>
      <c r="AV75" s="386">
        <f t="shared" si="126"/>
        <v>1.9573737170741987</v>
      </c>
      <c r="AW75" s="386">
        <f t="shared" si="127"/>
        <v>0.249</v>
      </c>
      <c r="AX75" s="386">
        <f t="shared" si="128"/>
        <v>0.14400000000000002</v>
      </c>
      <c r="AY75" s="386">
        <f t="shared" si="129"/>
        <v>1.2671999999999999</v>
      </c>
      <c r="AZ75" s="386">
        <f t="shared" si="130"/>
        <v>0.10439999999999998</v>
      </c>
      <c r="BA75" s="386">
        <f t="shared" ref="BA75:BA109" si="152">SUM(AX75:AY75)</f>
        <v>1.4112</v>
      </c>
      <c r="BB75" s="386">
        <f t="shared" ref="BB75:BB109" si="153">SUM(T75,W75,Z75,AE75,AI75,AN75,AR75, AT75,AU75,BA75,AV75,AW75)</f>
        <v>310.09254916328621</v>
      </c>
      <c r="BC75">
        <f t="shared" si="131"/>
        <v>316.79999999999995</v>
      </c>
      <c r="BD75" s="604">
        <f t="shared" si="146"/>
        <v>0.50534976117172403</v>
      </c>
      <c r="BE75" s="614">
        <f t="shared" si="132"/>
        <v>284.55914658591996</v>
      </c>
      <c r="BF75" s="614">
        <f t="shared" si="133"/>
        <v>113.81491759456166</v>
      </c>
      <c r="BG75" s="9"/>
      <c r="BH75" s="4">
        <f t="shared" si="147"/>
        <v>50.534976117172405</v>
      </c>
      <c r="BI75" s="386">
        <f t="shared" si="148"/>
        <v>12.671310458430277</v>
      </c>
      <c r="BJ75" s="386">
        <f t="shared" si="149"/>
        <v>293.51892938798454</v>
      </c>
      <c r="BK75" s="386">
        <f t="shared" si="134"/>
        <v>5.6911829317183997</v>
      </c>
      <c r="BL75" s="386">
        <f t="shared" si="135"/>
        <v>2.2762983518912332</v>
      </c>
      <c r="BM75" s="386">
        <f t="shared" si="150"/>
        <v>1.9573737170741987</v>
      </c>
      <c r="BS75" s="18"/>
      <c r="BT75" s="19"/>
    </row>
    <row r="76" spans="1:72" x14ac:dyDescent="0.3">
      <c r="A76" s="34" t="s">
        <v>123</v>
      </c>
      <c r="B76" s="79">
        <f>B75*B62</f>
        <v>42.335999999999999</v>
      </c>
      <c r="C76" s="482" t="s">
        <v>673</v>
      </c>
      <c r="G76">
        <v>67</v>
      </c>
      <c r="H76" s="610">
        <f t="shared" si="97"/>
        <v>12</v>
      </c>
      <c r="I76" s="4" t="str">
        <f t="shared" si="98"/>
        <v>BOOST</v>
      </c>
      <c r="J76">
        <f t="shared" si="136"/>
        <v>2</v>
      </c>
      <c r="K76" s="386">
        <f t="shared" si="137"/>
        <v>6.7</v>
      </c>
      <c r="L76" s="4">
        <f t="shared" si="99"/>
        <v>29.777777777777779</v>
      </c>
      <c r="M76" s="4">
        <f t="shared" si="151"/>
        <v>27.564079274273269</v>
      </c>
      <c r="N76" s="386">
        <f t="shared" si="100"/>
        <v>1</v>
      </c>
      <c r="O76" s="386">
        <f t="shared" si="101"/>
        <v>0.75693002718021507</v>
      </c>
      <c r="P76" s="4">
        <f t="shared" si="102"/>
        <v>4.4519888716487142</v>
      </c>
      <c r="Q76" s="4">
        <f t="shared" si="103"/>
        <v>29.805498370694789</v>
      </c>
      <c r="R76" s="386">
        <f t="shared" si="138"/>
        <v>12.374925419875373</v>
      </c>
      <c r="S76" s="386">
        <f t="shared" si="139"/>
        <v>1.003172377559687</v>
      </c>
      <c r="T76" s="386">
        <f t="shared" si="140"/>
        <v>13.378097797435061</v>
      </c>
      <c r="U76" s="4">
        <f t="shared" si="104"/>
        <v>12.038801566572612</v>
      </c>
      <c r="V76" s="386">
        <f t="shared" si="141"/>
        <v>0.28986548631862236</v>
      </c>
      <c r="W76" s="386">
        <f t="shared" si="142"/>
        <v>0.28986548631862236</v>
      </c>
      <c r="X76" s="4">
        <f t="shared" si="105"/>
        <v>1.2851784867378018</v>
      </c>
      <c r="Y76" s="386">
        <f t="shared" si="143"/>
        <v>3.3033674855473321E-3</v>
      </c>
      <c r="Z76" s="603">
        <f t="shared" si="144"/>
        <v>3.3033674855473321E-3</v>
      </c>
      <c r="AA76" s="386">
        <f t="shared" si="106"/>
        <v>29.805498370694789</v>
      </c>
      <c r="AB76" s="386">
        <f t="shared" si="107"/>
        <v>5.0636960788152914</v>
      </c>
      <c r="AC76" s="386">
        <f t="shared" si="108"/>
        <v>0</v>
      </c>
      <c r="AD76" s="386">
        <f t="shared" si="109"/>
        <v>0</v>
      </c>
      <c r="AE76" s="386">
        <f t="shared" si="110"/>
        <v>-397.48883863786807</v>
      </c>
      <c r="AF76" s="386">
        <f t="shared" si="111"/>
        <v>0</v>
      </c>
      <c r="AG76" s="386">
        <f t="shared" si="112"/>
        <v>0</v>
      </c>
      <c r="AH76" s="386">
        <f t="shared" si="113"/>
        <v>0</v>
      </c>
      <c r="AI76" s="386">
        <f t="shared" si="114"/>
        <v>0</v>
      </c>
      <c r="AJ76" s="386">
        <f t="shared" si="115"/>
        <v>25.93129793089237</v>
      </c>
      <c r="AK76" s="386">
        <f t="shared" si="116"/>
        <v>1.2776212035233356</v>
      </c>
      <c r="AL76" s="386">
        <f t="shared" si="117"/>
        <v>2.6076513833084611</v>
      </c>
      <c r="AM76" s="386">
        <f t="shared" si="118"/>
        <v>0</v>
      </c>
      <c r="AN76" s="386">
        <f t="shared" si="119"/>
        <v>5.2188033503056115</v>
      </c>
      <c r="AO76" s="386">
        <f t="shared" si="145"/>
        <v>14.694744664157549</v>
      </c>
      <c r="AP76" s="386">
        <f t="shared" si="120"/>
        <v>0.41027748941509479</v>
      </c>
      <c r="AQ76" s="386">
        <f t="shared" si="121"/>
        <v>1.4293333333333333</v>
      </c>
      <c r="AR76" s="386">
        <f t="shared" si="122"/>
        <v>2.0040545136507517</v>
      </c>
      <c r="AS76" s="386">
        <f t="shared" si="123"/>
        <v>5.0636960788152914</v>
      </c>
      <c r="AT76" s="386">
        <f t="shared" si="124"/>
        <v>0</v>
      </c>
      <c r="AU76" s="386">
        <f t="shared" si="125"/>
        <v>0.95039999999999991</v>
      </c>
      <c r="AV76" s="386">
        <f t="shared" si="126"/>
        <v>2.0172966371421088</v>
      </c>
      <c r="AW76" s="386">
        <f t="shared" si="127"/>
        <v>0.249</v>
      </c>
      <c r="AX76" s="386">
        <f t="shared" si="128"/>
        <v>0.14400000000000002</v>
      </c>
      <c r="AY76" s="386">
        <f t="shared" si="129"/>
        <v>1.2671999999999999</v>
      </c>
      <c r="AZ76" s="386">
        <f t="shared" si="130"/>
        <v>0.10439999999999998</v>
      </c>
      <c r="BA76" s="386">
        <f t="shared" si="152"/>
        <v>1.4112</v>
      </c>
      <c r="BB76" s="386">
        <f t="shared" si="153"/>
        <v>-371.96681748553027</v>
      </c>
      <c r="BC76">
        <f t="shared" si="131"/>
        <v>321.60000000000002</v>
      </c>
      <c r="BD76" s="604">
        <f t="shared" si="146"/>
        <v>-6.38515626071454</v>
      </c>
      <c r="BE76" s="614">
        <f t="shared" si="132"/>
        <v>292.30336751528057</v>
      </c>
      <c r="BF76" s="614">
        <f t="shared" si="133"/>
        <v>115.88432568253759</v>
      </c>
      <c r="BG76" s="9"/>
      <c r="BH76" s="4">
        <f t="shared" si="147"/>
        <v>-638.51562607145399</v>
      </c>
      <c r="BI76" s="386">
        <f t="shared" si="148"/>
        <v>13.378097797435061</v>
      </c>
      <c r="BJ76" s="386">
        <f t="shared" si="149"/>
        <v>-389.31558077391168</v>
      </c>
      <c r="BK76" s="386">
        <f t="shared" si="134"/>
        <v>5.8460673503056118</v>
      </c>
      <c r="BL76" s="386">
        <f t="shared" si="135"/>
        <v>2.3176865136507518</v>
      </c>
      <c r="BM76" s="386">
        <f t="shared" si="150"/>
        <v>2.0172966371421088</v>
      </c>
      <c r="BS76" s="18"/>
      <c r="BT76" s="19"/>
    </row>
    <row r="77" spans="1:72" x14ac:dyDescent="0.3">
      <c r="A77" s="34" t="s">
        <v>246</v>
      </c>
      <c r="B77" s="79">
        <f>(Qg_Q1+Qg_Q2)*Fsw+Iq</f>
        <v>1.6199999999999999E-2</v>
      </c>
      <c r="C77" s="21" t="s">
        <v>2</v>
      </c>
      <c r="G77">
        <v>68</v>
      </c>
      <c r="H77" s="610">
        <f t="shared" si="97"/>
        <v>12</v>
      </c>
      <c r="I77" s="4" t="str">
        <f t="shared" si="98"/>
        <v>BOOST</v>
      </c>
      <c r="J77">
        <f t="shared" si="136"/>
        <v>2</v>
      </c>
      <c r="K77" s="386">
        <f t="shared" si="137"/>
        <v>6.8</v>
      </c>
      <c r="L77" s="4">
        <f t="shared" si="99"/>
        <v>30.222222222222218</v>
      </c>
      <c r="M77" s="4">
        <f t="shared" si="151"/>
        <v>27.987415428318339</v>
      </c>
      <c r="N77" s="386">
        <f t="shared" si="100"/>
        <v>1</v>
      </c>
      <c r="O77" s="386">
        <f t="shared" si="101"/>
        <v>0.75703365616534934</v>
      </c>
      <c r="P77" s="4">
        <f t="shared" si="102"/>
        <v>4.4505762248923535</v>
      </c>
      <c r="Q77" s="4">
        <f t="shared" si="103"/>
        <v>30.249518207356303</v>
      </c>
      <c r="R77" s="386">
        <f t="shared" si="138"/>
        <v>13.136749010333775</v>
      </c>
      <c r="S77" s="386">
        <f t="shared" si="139"/>
        <v>1.002439134954864</v>
      </c>
      <c r="T77" s="386">
        <f t="shared" si="140"/>
        <v>14.139188145288639</v>
      </c>
      <c r="U77" s="4">
        <f t="shared" si="104"/>
        <v>12.215460275760979</v>
      </c>
      <c r="V77" s="386">
        <f t="shared" si="141"/>
        <v>0.29843493949738903</v>
      </c>
      <c r="W77" s="386">
        <f t="shared" si="142"/>
        <v>0.29843493949738903</v>
      </c>
      <c r="X77" s="4">
        <f t="shared" si="105"/>
        <v>1.2847706907452745</v>
      </c>
      <c r="Y77" s="386">
        <f t="shared" si="143"/>
        <v>3.3012714555961799E-3</v>
      </c>
      <c r="Z77" s="603">
        <f t="shared" si="144"/>
        <v>3.3012714555961799E-3</v>
      </c>
      <c r="AA77" s="386">
        <f t="shared" si="106"/>
        <v>30.249518207356303</v>
      </c>
      <c r="AB77" s="386">
        <f t="shared" si="107"/>
        <v>5.2156901051299283</v>
      </c>
      <c r="AC77" s="386">
        <f t="shared" si="108"/>
        <v>0</v>
      </c>
      <c r="AD77" s="386">
        <f t="shared" si="109"/>
        <v>0</v>
      </c>
      <c r="AE77" s="386">
        <f t="shared" si="110"/>
        <v>-120.90703238305878</v>
      </c>
      <c r="AF77" s="386">
        <f t="shared" si="111"/>
        <v>0</v>
      </c>
      <c r="AG77" s="386">
        <f t="shared" si="112"/>
        <v>0</v>
      </c>
      <c r="AH77" s="386">
        <f t="shared" si="113"/>
        <v>0</v>
      </c>
      <c r="AI77" s="386">
        <f t="shared" si="114"/>
        <v>0</v>
      </c>
      <c r="AJ77" s="386">
        <f t="shared" si="115"/>
        <v>26.319404320939963</v>
      </c>
      <c r="AK77" s="386">
        <f t="shared" si="116"/>
        <v>1.3161509832373151</v>
      </c>
      <c r="AL77" s="386">
        <f t="shared" si="117"/>
        <v>2.6465715532085867</v>
      </c>
      <c r="AM77" s="386">
        <f t="shared" si="118"/>
        <v>0</v>
      </c>
      <c r="AN77" s="386">
        <f t="shared" si="119"/>
        <v>5.3785083460454732</v>
      </c>
      <c r="AO77" s="386">
        <f t="shared" si="145"/>
        <v>14.910476450069169</v>
      </c>
      <c r="AP77" s="386">
        <f t="shared" si="120"/>
        <v>0.42241238513932783</v>
      </c>
      <c r="AQ77" s="386">
        <f t="shared" si="121"/>
        <v>1.4506666666666665</v>
      </c>
      <c r="AR77" s="386">
        <f t="shared" si="122"/>
        <v>2.0459237587558499</v>
      </c>
      <c r="AS77" s="386">
        <f t="shared" si="123"/>
        <v>5.2156901051299283</v>
      </c>
      <c r="AT77" s="386">
        <f t="shared" si="124"/>
        <v>0</v>
      </c>
      <c r="AU77" s="386">
        <f t="shared" si="125"/>
        <v>0.95039999999999991</v>
      </c>
      <c r="AV77" s="386">
        <f t="shared" si="126"/>
        <v>2.0781331314273399</v>
      </c>
      <c r="AW77" s="386">
        <f t="shared" si="127"/>
        <v>0.249</v>
      </c>
      <c r="AX77" s="386">
        <f t="shared" si="128"/>
        <v>0.14400000000000002</v>
      </c>
      <c r="AY77" s="386">
        <f t="shared" si="129"/>
        <v>1.2671999999999999</v>
      </c>
      <c r="AZ77" s="386">
        <f t="shared" si="130"/>
        <v>0.10439999999999998</v>
      </c>
      <c r="BA77" s="386">
        <f t="shared" si="152"/>
        <v>1.4112</v>
      </c>
      <c r="BB77" s="386">
        <f t="shared" si="153"/>
        <v>-94.3529427905885</v>
      </c>
      <c r="BC77">
        <f t="shared" si="131"/>
        <v>326.39999999999998</v>
      </c>
      <c r="BD77" s="604">
        <f t="shared" si="146"/>
        <v>1.4066112448279808</v>
      </c>
      <c r="BE77" s="614">
        <f t="shared" si="132"/>
        <v>300.28861730227368</v>
      </c>
      <c r="BF77" s="614">
        <f t="shared" si="133"/>
        <v>117.9777879377925</v>
      </c>
      <c r="BG77" s="9"/>
      <c r="BH77" s="4">
        <f t="shared" si="147"/>
        <v>140.66112448279807</v>
      </c>
      <c r="BI77" s="386">
        <f t="shared" si="148"/>
        <v>14.139188145288639</v>
      </c>
      <c r="BJ77" s="386">
        <f t="shared" si="149"/>
        <v>-112.53220027825745</v>
      </c>
      <c r="BK77" s="386">
        <f t="shared" si="134"/>
        <v>6.0057723460454735</v>
      </c>
      <c r="BL77" s="386">
        <f t="shared" si="135"/>
        <v>2.35955575875585</v>
      </c>
      <c r="BM77" s="386">
        <f t="shared" si="150"/>
        <v>2.0781331314273399</v>
      </c>
      <c r="BS77" s="18"/>
      <c r="BT77" s="19"/>
    </row>
    <row r="78" spans="1:72" x14ac:dyDescent="0.3">
      <c r="A78" s="34" t="s">
        <v>247</v>
      </c>
      <c r="B78" s="78">
        <f>Qrr_Q2*Fsw</f>
        <v>3.78E-2</v>
      </c>
      <c r="C78" s="21" t="s">
        <v>2</v>
      </c>
      <c r="G78">
        <v>69</v>
      </c>
      <c r="H78" s="610">
        <f t="shared" si="97"/>
        <v>12</v>
      </c>
      <c r="I78" s="4" t="str">
        <f t="shared" si="98"/>
        <v>BOOST</v>
      </c>
      <c r="J78">
        <f t="shared" si="136"/>
        <v>2</v>
      </c>
      <c r="K78" s="386">
        <f t="shared" si="137"/>
        <v>6.9</v>
      </c>
      <c r="L78" s="4">
        <f t="shared" si="99"/>
        <v>30.666666666666668</v>
      </c>
      <c r="M78" s="4">
        <f t="shared" si="151"/>
        <v>28.41111353036224</v>
      </c>
      <c r="N78" s="386">
        <f t="shared" si="100"/>
        <v>1</v>
      </c>
      <c r="O78" s="386">
        <f t="shared" si="101"/>
        <v>0.7571372909187053</v>
      </c>
      <c r="P78" s="4">
        <f t="shared" si="102"/>
        <v>4.4491630584134008</v>
      </c>
      <c r="Q78" s="4">
        <f t="shared" si="103"/>
        <v>30.693550333978532</v>
      </c>
      <c r="R78" s="386">
        <f t="shared" si="138"/>
        <v>13.959095162682749</v>
      </c>
      <c r="S78" s="386">
        <f t="shared" si="139"/>
        <v>1.0017059261784063</v>
      </c>
      <c r="T78" s="386">
        <f t="shared" si="140"/>
        <v>14.960801088861155</v>
      </c>
      <c r="U78" s="4">
        <f t="shared" si="104"/>
        <v>12.39231051092127</v>
      </c>
      <c r="V78" s="386">
        <f t="shared" si="141"/>
        <v>0.30713871959817962</v>
      </c>
      <c r="W78" s="386">
        <f t="shared" si="142"/>
        <v>0.30713871959817962</v>
      </c>
      <c r="X78" s="4">
        <f t="shared" si="105"/>
        <v>1.2843627447217578</v>
      </c>
      <c r="Y78" s="386">
        <f t="shared" si="143"/>
        <v>3.2991753200584143E-3</v>
      </c>
      <c r="Z78" s="603">
        <f t="shared" si="144"/>
        <v>3.2991753200584143E-3</v>
      </c>
      <c r="AA78" s="386">
        <f t="shared" si="106"/>
        <v>30.693550333978532</v>
      </c>
      <c r="AB78" s="386">
        <f t="shared" si="107"/>
        <v>5.3699359829955</v>
      </c>
      <c r="AC78" s="386">
        <f t="shared" si="108"/>
        <v>0</v>
      </c>
      <c r="AD78" s="386">
        <f t="shared" si="109"/>
        <v>0</v>
      </c>
      <c r="AE78" s="386">
        <f t="shared" si="110"/>
        <v>-72.579260058906073</v>
      </c>
      <c r="AF78" s="386">
        <f t="shared" si="111"/>
        <v>0</v>
      </c>
      <c r="AG78" s="386">
        <f t="shared" si="112"/>
        <v>0</v>
      </c>
      <c r="AH78" s="386">
        <f t="shared" si="113"/>
        <v>0</v>
      </c>
      <c r="AI78" s="386">
        <f t="shared" si="114"/>
        <v>0</v>
      </c>
      <c r="AJ78" s="386">
        <f t="shared" si="115"/>
        <v>26.707574267579243</v>
      </c>
      <c r="AK78" s="386">
        <f t="shared" si="116"/>
        <v>1.3552595941906957</v>
      </c>
      <c r="AL78" s="386">
        <f t="shared" si="117"/>
        <v>2.6854917231087132</v>
      </c>
      <c r="AM78" s="386">
        <f t="shared" si="118"/>
        <v>0</v>
      </c>
      <c r="AN78" s="386">
        <f t="shared" si="119"/>
        <v>5.5432635351188635</v>
      </c>
      <c r="AO78" s="386">
        <f t="shared" si="145"/>
        <v>15.126120085673415</v>
      </c>
      <c r="AP78" s="386">
        <f t="shared" si="120"/>
        <v>0.43471906680780414</v>
      </c>
      <c r="AQ78" s="386">
        <f t="shared" si="121"/>
        <v>1.4720000000000002</v>
      </c>
      <c r="AR78" s="386">
        <f t="shared" si="122"/>
        <v>2.0882822927115718</v>
      </c>
      <c r="AS78" s="386">
        <f t="shared" si="123"/>
        <v>5.3699359829955</v>
      </c>
      <c r="AT78" s="386">
        <f t="shared" si="124"/>
        <v>0</v>
      </c>
      <c r="AU78" s="386">
        <f t="shared" si="125"/>
        <v>0.95039999999999991</v>
      </c>
      <c r="AV78" s="386">
        <f t="shared" si="126"/>
        <v>2.1398835697747827</v>
      </c>
      <c r="AW78" s="386">
        <f t="shared" si="127"/>
        <v>0.249</v>
      </c>
      <c r="AX78" s="386">
        <f t="shared" si="128"/>
        <v>0.14400000000000002</v>
      </c>
      <c r="AY78" s="386">
        <f t="shared" si="129"/>
        <v>1.2671999999999999</v>
      </c>
      <c r="AZ78" s="386">
        <f t="shared" si="130"/>
        <v>0.10439999999999998</v>
      </c>
      <c r="BA78" s="386">
        <f t="shared" si="152"/>
        <v>1.4112</v>
      </c>
      <c r="BB78" s="386">
        <f t="shared" si="153"/>
        <v>-44.925991677521452</v>
      </c>
      <c r="BC78">
        <f t="shared" si="131"/>
        <v>331.20000000000005</v>
      </c>
      <c r="BD78" s="604">
        <f t="shared" si="146"/>
        <v>1.1569335335079172</v>
      </c>
      <c r="BE78" s="614">
        <f t="shared" si="132"/>
        <v>308.5263767559432</v>
      </c>
      <c r="BF78" s="614">
        <f t="shared" si="133"/>
        <v>120.0957146355786</v>
      </c>
      <c r="BG78" s="9"/>
      <c r="BH78" s="4">
        <f t="shared" si="147"/>
        <v>115.69335335079171</v>
      </c>
      <c r="BI78" s="386">
        <f t="shared" si="148"/>
        <v>14.960801088861155</v>
      </c>
      <c r="BJ78" s="386">
        <f t="shared" si="149"/>
        <v>-63.997314231075634</v>
      </c>
      <c r="BK78" s="386">
        <f t="shared" si="134"/>
        <v>6.1705275351188638</v>
      </c>
      <c r="BL78" s="386">
        <f t="shared" si="135"/>
        <v>2.401914292711572</v>
      </c>
      <c r="BM78" s="386">
        <f t="shared" si="150"/>
        <v>2.1398835697747827</v>
      </c>
      <c r="BS78" s="18"/>
      <c r="BT78" s="19"/>
    </row>
    <row r="79" spans="1:72" x14ac:dyDescent="0.3">
      <c r="A79" s="34" t="s">
        <v>248</v>
      </c>
      <c r="B79" s="78" t="e">
        <f>C79/Vin</f>
        <v>#NAME?</v>
      </c>
      <c r="C79" s="21" t="e">
        <f>Deadtime*Fsw*(Iripple_Vinnom/2)*(VsdTop+VsdBot)</f>
        <v>#NAME?</v>
      </c>
      <c r="G79">
        <v>70</v>
      </c>
      <c r="H79" s="610">
        <f t="shared" si="97"/>
        <v>12</v>
      </c>
      <c r="I79" s="4" t="str">
        <f t="shared" si="98"/>
        <v>BOOST</v>
      </c>
      <c r="J79">
        <f t="shared" si="136"/>
        <v>2</v>
      </c>
      <c r="K79" s="386">
        <f t="shared" si="137"/>
        <v>7</v>
      </c>
      <c r="L79" s="4">
        <f t="shared" si="99"/>
        <v>31.111111111111111</v>
      </c>
      <c r="M79" s="4">
        <f t="shared" si="151"/>
        <v>28.835174074215626</v>
      </c>
      <c r="N79" s="386">
        <f t="shared" si="100"/>
        <v>1</v>
      </c>
      <c r="O79" s="386">
        <f t="shared" si="101"/>
        <v>0.75724093144076454</v>
      </c>
      <c r="P79" s="4">
        <f t="shared" si="102"/>
        <v>4.4477493721684596</v>
      </c>
      <c r="Q79" s="4">
        <f t="shared" si="103"/>
        <v>31.137594224790444</v>
      </c>
      <c r="R79" s="386">
        <f t="shared" si="138"/>
        <v>14.849178081132028</v>
      </c>
      <c r="S79" s="386">
        <f t="shared" si="139"/>
        <v>1.0009727515135036</v>
      </c>
      <c r="T79" s="386">
        <f t="shared" si="140"/>
        <v>15.85015083264553</v>
      </c>
      <c r="U79" s="4">
        <f t="shared" si="104"/>
        <v>12.569348644655784</v>
      </c>
      <c r="V79" s="386">
        <f t="shared" si="141"/>
        <v>0.31597705070182042</v>
      </c>
      <c r="W79" s="386">
        <f t="shared" si="142"/>
        <v>0.31597705070182042</v>
      </c>
      <c r="X79" s="4">
        <f t="shared" si="105"/>
        <v>1.2839546486547246</v>
      </c>
      <c r="Y79" s="386">
        <f t="shared" si="143"/>
        <v>3.2970790796041549E-3</v>
      </c>
      <c r="Z79" s="603">
        <f t="shared" si="144"/>
        <v>3.2970790796041549E-3</v>
      </c>
      <c r="AA79" s="386">
        <f t="shared" si="106"/>
        <v>31.137594224790444</v>
      </c>
      <c r="AB79" s="386">
        <f t="shared" si="107"/>
        <v>5.5264337124139082</v>
      </c>
      <c r="AC79" s="386">
        <f t="shared" si="108"/>
        <v>0</v>
      </c>
      <c r="AD79" s="386">
        <f t="shared" si="109"/>
        <v>0</v>
      </c>
      <c r="AE79" s="386">
        <f t="shared" si="110"/>
        <v>-52.48935983861108</v>
      </c>
      <c r="AF79" s="386">
        <f t="shared" si="111"/>
        <v>0</v>
      </c>
      <c r="AG79" s="386">
        <f t="shared" si="112"/>
        <v>0</v>
      </c>
      <c r="AH79" s="386">
        <f t="shared" si="113"/>
        <v>0</v>
      </c>
      <c r="AI79" s="386">
        <f t="shared" si="114"/>
        <v>0</v>
      </c>
      <c r="AJ79" s="386">
        <f t="shared" si="115"/>
        <v>27.095807314481331</v>
      </c>
      <c r="AK79" s="386">
        <f t="shared" si="116"/>
        <v>1.39494727064465</v>
      </c>
      <c r="AL79" s="386">
        <f t="shared" si="117"/>
        <v>2.7244118930088397</v>
      </c>
      <c r="AM79" s="386">
        <f t="shared" si="118"/>
        <v>0</v>
      </c>
      <c r="AN79" s="386">
        <f t="shared" si="119"/>
        <v>5.7133133311896209</v>
      </c>
      <c r="AO79" s="386">
        <f t="shared" si="145"/>
        <v>15.341675269806853</v>
      </c>
      <c r="AP79" s="386">
        <f t="shared" si="120"/>
        <v>0.44719730015998604</v>
      </c>
      <c r="AQ79" s="386">
        <f t="shared" si="121"/>
        <v>1.4933333333333334</v>
      </c>
      <c r="AR79" s="386">
        <f t="shared" si="122"/>
        <v>2.1311385111873067</v>
      </c>
      <c r="AS79" s="386">
        <f t="shared" si="123"/>
        <v>5.5264337124139082</v>
      </c>
      <c r="AT79" s="386">
        <f t="shared" si="124"/>
        <v>0</v>
      </c>
      <c r="AU79" s="386">
        <f t="shared" si="125"/>
        <v>0.95039999999999991</v>
      </c>
      <c r="AV79" s="386">
        <f t="shared" si="126"/>
        <v>2.2025483220704998</v>
      </c>
      <c r="AW79" s="386">
        <f t="shared" si="127"/>
        <v>0.249</v>
      </c>
      <c r="AX79" s="386">
        <f t="shared" si="128"/>
        <v>0.14400000000000002</v>
      </c>
      <c r="AY79" s="386">
        <f t="shared" si="129"/>
        <v>1.2671999999999999</v>
      </c>
      <c r="AZ79" s="386">
        <f t="shared" si="130"/>
        <v>0.10439999999999998</v>
      </c>
      <c r="BA79" s="386">
        <f t="shared" si="152"/>
        <v>1.4112</v>
      </c>
      <c r="BB79" s="386">
        <f t="shared" si="153"/>
        <v>-23.662334711736698</v>
      </c>
      <c r="BC79">
        <f t="shared" si="131"/>
        <v>336</v>
      </c>
      <c r="BD79" s="604">
        <f t="shared" si="146"/>
        <v>1.0757588255963244</v>
      </c>
      <c r="BE79" s="614">
        <f t="shared" si="132"/>
        <v>317.02886655948106</v>
      </c>
      <c r="BF79" s="614">
        <f t="shared" si="133"/>
        <v>122.23852555936534</v>
      </c>
      <c r="BG79" s="9"/>
      <c r="BH79" s="4">
        <f t="shared" si="147"/>
        <v>107.57588255963245</v>
      </c>
      <c r="BI79" s="386">
        <f t="shared" si="148"/>
        <v>15.85015083264553</v>
      </c>
      <c r="BJ79" s="386">
        <f t="shared" si="149"/>
        <v>-43.694507996234144</v>
      </c>
      <c r="BK79" s="386">
        <f t="shared" si="134"/>
        <v>6.3405773311896212</v>
      </c>
      <c r="BL79" s="386">
        <f t="shared" si="135"/>
        <v>2.4447705111873068</v>
      </c>
      <c r="BM79" s="386">
        <f t="shared" si="150"/>
        <v>2.2025483220704998</v>
      </c>
      <c r="BS79" s="18"/>
      <c r="BT79" s="19"/>
    </row>
    <row r="80" spans="1:72" x14ac:dyDescent="0.3">
      <c r="A80" s="34" t="s">
        <v>49</v>
      </c>
      <c r="B80" s="78" t="e">
        <f>SUM(B77:B79)</f>
        <v>#NAME?</v>
      </c>
      <c r="C80" s="21" t="s">
        <v>2</v>
      </c>
      <c r="G80">
        <v>71</v>
      </c>
      <c r="H80" s="610">
        <f t="shared" si="97"/>
        <v>12</v>
      </c>
      <c r="I80" s="4" t="str">
        <f t="shared" si="98"/>
        <v>BOOST</v>
      </c>
      <c r="J80">
        <f t="shared" si="136"/>
        <v>2</v>
      </c>
      <c r="K80" s="386">
        <f t="shared" si="137"/>
        <v>7.1</v>
      </c>
      <c r="L80" s="4">
        <f t="shared" si="99"/>
        <v>31.55555555555555</v>
      </c>
      <c r="M80" s="4">
        <f t="shared" si="151"/>
        <v>29.259597554587835</v>
      </c>
      <c r="N80" s="386">
        <f t="shared" si="100"/>
        <v>1</v>
      </c>
      <c r="O80" s="386">
        <f t="shared" si="101"/>
        <v>0.75734457773200858</v>
      </c>
      <c r="P80" s="4">
        <f t="shared" si="102"/>
        <v>4.4463351661141317</v>
      </c>
      <c r="Q80" s="4">
        <f t="shared" si="103"/>
        <v>31.58164938357724</v>
      </c>
      <c r="R80" s="386">
        <f t="shared" si="138"/>
        <v>15.815413454022165</v>
      </c>
      <c r="S80" s="386">
        <f t="shared" si="139"/>
        <v>1.0002396112434315</v>
      </c>
      <c r="T80" s="386">
        <f t="shared" si="140"/>
        <v>16.815653065265597</v>
      </c>
      <c r="U80" s="4">
        <f t="shared" si="104"/>
        <v>12.746571250672627</v>
      </c>
      <c r="V80" s="386">
        <f t="shared" si="141"/>
        <v>0.32495015729694787</v>
      </c>
      <c r="W80" s="386">
        <f t="shared" si="142"/>
        <v>0.32495015729694787</v>
      </c>
      <c r="X80" s="4">
        <f t="shared" si="105"/>
        <v>1.2835464025316468</v>
      </c>
      <c r="Y80" s="386">
        <f t="shared" si="143"/>
        <v>3.2949827349038644E-3</v>
      </c>
      <c r="Z80" s="603">
        <f t="shared" si="144"/>
        <v>3.2949827349038644E-3</v>
      </c>
      <c r="AA80" s="386">
        <f t="shared" si="106"/>
        <v>31.58164938357724</v>
      </c>
      <c r="AB80" s="386">
        <f t="shared" si="107"/>
        <v>5.6851832933870661</v>
      </c>
      <c r="AC80" s="386">
        <f t="shared" si="108"/>
        <v>0</v>
      </c>
      <c r="AD80" s="386">
        <f t="shared" si="109"/>
        <v>0</v>
      </c>
      <c r="AE80" s="386">
        <f t="shared" si="110"/>
        <v>-41.486587226050887</v>
      </c>
      <c r="AF80" s="386">
        <f t="shared" si="111"/>
        <v>0</v>
      </c>
      <c r="AG80" s="386">
        <f t="shared" si="112"/>
        <v>0</v>
      </c>
      <c r="AH80" s="386">
        <f t="shared" si="113"/>
        <v>0</v>
      </c>
      <c r="AI80" s="386">
        <f t="shared" si="114"/>
        <v>0</v>
      </c>
      <c r="AJ80" s="386">
        <f t="shared" si="115"/>
        <v>27.484103030914284</v>
      </c>
      <c r="AK80" s="386">
        <f t="shared" si="116"/>
        <v>1.4352142468864322</v>
      </c>
      <c r="AL80" s="386">
        <f t="shared" si="117"/>
        <v>2.7633320629089657</v>
      </c>
      <c r="AM80" s="386">
        <f t="shared" si="118"/>
        <v>0</v>
      </c>
      <c r="AN80" s="386">
        <f t="shared" si="119"/>
        <v>5.8889181574633049</v>
      </c>
      <c r="AO80" s="386">
        <f t="shared" si="145"/>
        <v>15.557141716050953</v>
      </c>
      <c r="AP80" s="386">
        <f t="shared" si="120"/>
        <v>0.45984685090925631</v>
      </c>
      <c r="AQ80" s="386">
        <f t="shared" si="121"/>
        <v>1.5146666666666664</v>
      </c>
      <c r="AR80" s="386">
        <f t="shared" si="122"/>
        <v>2.174501005512731</v>
      </c>
      <c r="AS80" s="386">
        <f t="shared" si="123"/>
        <v>5.6851832933870661</v>
      </c>
      <c r="AT80" s="386">
        <f t="shared" si="124"/>
        <v>0</v>
      </c>
      <c r="AU80" s="386">
        <f t="shared" si="125"/>
        <v>0.95039999999999991</v>
      </c>
      <c r="AV80" s="386">
        <f t="shared" si="126"/>
        <v>2.2661277582417352</v>
      </c>
      <c r="AW80" s="386">
        <f t="shared" si="127"/>
        <v>0.249</v>
      </c>
      <c r="AX80" s="386">
        <f t="shared" si="128"/>
        <v>0.14400000000000002</v>
      </c>
      <c r="AY80" s="386">
        <f t="shared" si="129"/>
        <v>1.2671999999999999</v>
      </c>
      <c r="AZ80" s="386">
        <f t="shared" si="130"/>
        <v>0.10439999999999998</v>
      </c>
      <c r="BA80" s="386">
        <f t="shared" si="152"/>
        <v>1.4112</v>
      </c>
      <c r="BB80" s="386">
        <f t="shared" si="153"/>
        <v>-11.402542099535669</v>
      </c>
      <c r="BC80">
        <f t="shared" si="131"/>
        <v>340.79999999999995</v>
      </c>
      <c r="BD80" s="604">
        <f t="shared" si="146"/>
        <v>1.0346163633812293</v>
      </c>
      <c r="BE80" s="614">
        <f t="shared" si="132"/>
        <v>325.80910787316526</v>
      </c>
      <c r="BF80" s="614">
        <f t="shared" si="133"/>
        <v>124.40665027563655</v>
      </c>
      <c r="BG80" s="9"/>
      <c r="BH80" s="4">
        <f t="shared" si="147"/>
        <v>103.46163633812293</v>
      </c>
      <c r="BI80" s="386">
        <f t="shared" si="148"/>
        <v>16.815653065265597</v>
      </c>
      <c r="BJ80" s="386">
        <f t="shared" si="149"/>
        <v>-32.472768063074845</v>
      </c>
      <c r="BK80" s="386">
        <f t="shared" si="134"/>
        <v>6.5161821574633052</v>
      </c>
      <c r="BL80" s="386">
        <f t="shared" si="135"/>
        <v>2.4881330055127311</v>
      </c>
      <c r="BM80" s="386">
        <f t="shared" si="150"/>
        <v>2.2661277582417352</v>
      </c>
      <c r="BS80" s="18"/>
      <c r="BT80" s="19"/>
    </row>
    <row r="81" spans="1:72" x14ac:dyDescent="0.3">
      <c r="A81" s="2"/>
      <c r="G81">
        <v>72</v>
      </c>
      <c r="H81" s="610">
        <f t="shared" si="97"/>
        <v>12</v>
      </c>
      <c r="I81" s="4" t="str">
        <f t="shared" si="98"/>
        <v>BOOST</v>
      </c>
      <c r="J81">
        <f t="shared" si="136"/>
        <v>2</v>
      </c>
      <c r="K81" s="386">
        <f t="shared" si="137"/>
        <v>7.2</v>
      </c>
      <c r="L81" s="4">
        <f t="shared" si="99"/>
        <v>32</v>
      </c>
      <c r="M81" s="4">
        <f t="shared" si="151"/>
        <v>29.68438446708894</v>
      </c>
      <c r="N81" s="386">
        <f t="shared" si="100"/>
        <v>1</v>
      </c>
      <c r="O81" s="386">
        <f t="shared" si="101"/>
        <v>0.75744822979291904</v>
      </c>
      <c r="P81" s="4">
        <f t="shared" si="102"/>
        <v>4.4449204402070128</v>
      </c>
      <c r="Q81" s="4">
        <f t="shared" si="103"/>
        <v>32.025715341633109</v>
      </c>
      <c r="R81" s="386">
        <f t="shared" si="138"/>
        <v>16.867679200747549</v>
      </c>
      <c r="S81" s="386">
        <f t="shared" si="139"/>
        <v>0.9995065056515563</v>
      </c>
      <c r="T81" s="386">
        <f t="shared" si="140"/>
        <v>17.867185706399106</v>
      </c>
      <c r="U81" s="4">
        <f t="shared" si="104"/>
        <v>12.923975090523346</v>
      </c>
      <c r="V81" s="386">
        <f t="shared" si="141"/>
        <v>0.33405826428093582</v>
      </c>
      <c r="W81" s="386">
        <f t="shared" si="142"/>
        <v>0.33405826428093582</v>
      </c>
      <c r="X81" s="4">
        <f t="shared" si="105"/>
        <v>1.2831380063399944</v>
      </c>
      <c r="Y81" s="386">
        <f t="shared" si="143"/>
        <v>3.2928862866283509E-3</v>
      </c>
      <c r="Z81" s="603">
        <f t="shared" si="144"/>
        <v>3.2928862866283509E-3</v>
      </c>
      <c r="AA81" s="386">
        <f t="shared" si="106"/>
        <v>32.025715341633109</v>
      </c>
      <c r="AB81" s="386">
        <f t="shared" si="107"/>
        <v>5.846184725916892</v>
      </c>
      <c r="AC81" s="386">
        <f t="shared" si="108"/>
        <v>0</v>
      </c>
      <c r="AD81" s="386">
        <f t="shared" si="109"/>
        <v>0</v>
      </c>
      <c r="AE81" s="386">
        <f t="shared" si="110"/>
        <v>-34.544376345142602</v>
      </c>
      <c r="AF81" s="386">
        <f t="shared" si="111"/>
        <v>0</v>
      </c>
      <c r="AG81" s="386">
        <f t="shared" si="112"/>
        <v>0</v>
      </c>
      <c r="AH81" s="386">
        <f t="shared" si="113"/>
        <v>0</v>
      </c>
      <c r="AI81" s="386">
        <f t="shared" si="114"/>
        <v>0</v>
      </c>
      <c r="AJ81" s="386">
        <f t="shared" si="115"/>
        <v>27.872461009970166</v>
      </c>
      <c r="AK81" s="386">
        <f t="shared" si="116"/>
        <v>1.4760607572293836</v>
      </c>
      <c r="AL81" s="386">
        <f t="shared" si="117"/>
        <v>2.8022522328090922</v>
      </c>
      <c r="AM81" s="386">
        <f t="shared" si="118"/>
        <v>0</v>
      </c>
      <c r="AN81" s="386">
        <f t="shared" si="119"/>
        <v>6.0703557798498684</v>
      </c>
      <c r="AO81" s="386">
        <f t="shared" si="145"/>
        <v>15.772519151708364</v>
      </c>
      <c r="AP81" s="386">
        <f t="shared" si="120"/>
        <v>0.47266748474291359</v>
      </c>
      <c r="AQ81" s="386">
        <f t="shared" si="121"/>
        <v>1.536</v>
      </c>
      <c r="AR81" s="386">
        <f t="shared" si="122"/>
        <v>2.2183785683663779</v>
      </c>
      <c r="AS81" s="386">
        <f t="shared" si="123"/>
        <v>5.846184725916892</v>
      </c>
      <c r="AT81" s="386">
        <f t="shared" si="124"/>
        <v>0</v>
      </c>
      <c r="AU81" s="386">
        <f t="shared" si="125"/>
        <v>0.95039999999999991</v>
      </c>
      <c r="AV81" s="386">
        <f t="shared" si="126"/>
        <v>2.3306222482569212</v>
      </c>
      <c r="AW81" s="386">
        <f t="shared" si="127"/>
        <v>0.249</v>
      </c>
      <c r="AX81" s="386">
        <f t="shared" si="128"/>
        <v>0.14400000000000002</v>
      </c>
      <c r="AY81" s="386">
        <f t="shared" si="129"/>
        <v>1.2671999999999999</v>
      </c>
      <c r="AZ81" s="386">
        <f t="shared" si="130"/>
        <v>0.10439999999999998</v>
      </c>
      <c r="BA81" s="386">
        <f t="shared" si="152"/>
        <v>1.4112</v>
      </c>
      <c r="BB81" s="386">
        <f t="shared" si="153"/>
        <v>-3.1098828917027612</v>
      </c>
      <c r="BC81">
        <f t="shared" si="131"/>
        <v>345.6</v>
      </c>
      <c r="BD81" s="604">
        <f t="shared" si="146"/>
        <v>1.0090802120597231</v>
      </c>
      <c r="BE81" s="614">
        <f t="shared" si="132"/>
        <v>334.88098899249343</v>
      </c>
      <c r="BF81" s="614">
        <f t="shared" si="133"/>
        <v>126.6005284183189</v>
      </c>
      <c r="BG81" s="9"/>
      <c r="BH81" s="4">
        <f t="shared" si="147"/>
        <v>100.9080212059723</v>
      </c>
      <c r="BI81" s="386">
        <f t="shared" si="148"/>
        <v>17.867185706399106</v>
      </c>
      <c r="BJ81" s="386">
        <f t="shared" si="149"/>
        <v>-25.305241996926355</v>
      </c>
      <c r="BK81" s="386">
        <f t="shared" si="134"/>
        <v>6.6976197798498687</v>
      </c>
      <c r="BL81" s="386">
        <f t="shared" si="135"/>
        <v>2.5320105683663781</v>
      </c>
      <c r="BM81" s="386">
        <f t="shared" si="150"/>
        <v>2.3306222482569212</v>
      </c>
      <c r="BS81" s="18"/>
      <c r="BT81" s="19"/>
    </row>
    <row r="82" spans="1:72" x14ac:dyDescent="0.3">
      <c r="A82" s="2"/>
      <c r="G82">
        <v>73</v>
      </c>
      <c r="H82" s="610">
        <f t="shared" si="97"/>
        <v>12</v>
      </c>
      <c r="I82" s="4" t="str">
        <f t="shared" si="98"/>
        <v>BOOST</v>
      </c>
      <c r="J82">
        <f t="shared" si="136"/>
        <v>2</v>
      </c>
      <c r="K82" s="386">
        <f t="shared" si="137"/>
        <v>7.3</v>
      </c>
      <c r="L82" s="4">
        <f t="shared" si="99"/>
        <v>32.444444444444443</v>
      </c>
      <c r="M82" s="4">
        <f t="shared" si="151"/>
        <v>30.10953530823188</v>
      </c>
      <c r="N82" s="386">
        <f t="shared" si="100"/>
        <v>1</v>
      </c>
      <c r="O82" s="386">
        <f t="shared" si="101"/>
        <v>0.75755188762397818</v>
      </c>
      <c r="P82" s="4">
        <f t="shared" si="102"/>
        <v>4.4435051944036958</v>
      </c>
      <c r="Q82" s="4">
        <f t="shared" si="103"/>
        <v>32.469791655881721</v>
      </c>
      <c r="R82" s="386">
        <f t="shared" si="138"/>
        <v>18.017647214298282</v>
      </c>
      <c r="S82" s="386">
        <f t="shared" si="139"/>
        <v>0.99877343502132676</v>
      </c>
      <c r="T82" s="386">
        <f t="shared" si="140"/>
        <v>19.01642064931961</v>
      </c>
      <c r="U82" s="4">
        <f t="shared" si="104"/>
        <v>13.101557101368282</v>
      </c>
      <c r="V82" s="386">
        <f t="shared" si="141"/>
        <v>0.34330159696082735</v>
      </c>
      <c r="W82" s="386">
        <f t="shared" si="142"/>
        <v>0.34330159696082735</v>
      </c>
      <c r="X82" s="4">
        <f t="shared" si="105"/>
        <v>1.2827294600672372</v>
      </c>
      <c r="Y82" s="386">
        <f t="shared" si="143"/>
        <v>3.2907897354487719E-3</v>
      </c>
      <c r="Z82" s="603">
        <f t="shared" si="144"/>
        <v>3.2907897354487719E-3</v>
      </c>
      <c r="AA82" s="386">
        <f t="shared" si="106"/>
        <v>32.469791655881721</v>
      </c>
      <c r="AB82" s="386">
        <f t="shared" si="107"/>
        <v>6.0094380100052875</v>
      </c>
      <c r="AC82" s="386">
        <f t="shared" si="108"/>
        <v>0</v>
      </c>
      <c r="AD82" s="386">
        <f t="shared" si="109"/>
        <v>0</v>
      </c>
      <c r="AE82" s="386">
        <f t="shared" si="110"/>
        <v>-29.7662558296859</v>
      </c>
      <c r="AF82" s="386">
        <f t="shared" si="111"/>
        <v>0</v>
      </c>
      <c r="AG82" s="386">
        <f t="shared" si="112"/>
        <v>0</v>
      </c>
      <c r="AH82" s="386">
        <f t="shared" si="113"/>
        <v>0</v>
      </c>
      <c r="AI82" s="386">
        <f t="shared" si="114"/>
        <v>0</v>
      </c>
      <c r="AJ82" s="386">
        <f t="shared" si="115"/>
        <v>28.260880866937359</v>
      </c>
      <c r="AK82" s="386">
        <f t="shared" si="116"/>
        <v>1.5174870360129296</v>
      </c>
      <c r="AL82" s="386">
        <f t="shared" si="117"/>
        <v>2.8411724027092187</v>
      </c>
      <c r="AM82" s="386">
        <f t="shared" si="118"/>
        <v>0</v>
      </c>
      <c r="AN82" s="386">
        <f t="shared" si="119"/>
        <v>6.2579227755867297</v>
      </c>
      <c r="AO82" s="386">
        <f t="shared" si="145"/>
        <v>15.987807316863066</v>
      </c>
      <c r="AP82" s="386">
        <f t="shared" si="120"/>
        <v>0.48565896732216635</v>
      </c>
      <c r="AQ82" s="386">
        <f t="shared" si="121"/>
        <v>1.5573333333333332</v>
      </c>
      <c r="AR82" s="386">
        <f t="shared" si="122"/>
        <v>2.2627801996647445</v>
      </c>
      <c r="AS82" s="386">
        <f t="shared" si="123"/>
        <v>6.0094380100052875</v>
      </c>
      <c r="AT82" s="386">
        <f t="shared" si="124"/>
        <v>0</v>
      </c>
      <c r="AU82" s="386">
        <f t="shared" si="125"/>
        <v>0.95039999999999991</v>
      </c>
      <c r="AV82" s="386">
        <f t="shared" si="126"/>
        <v>2.3960321621256782</v>
      </c>
      <c r="AW82" s="386">
        <f t="shared" si="127"/>
        <v>0.249</v>
      </c>
      <c r="AX82" s="386">
        <f t="shared" si="128"/>
        <v>0.14400000000000002</v>
      </c>
      <c r="AY82" s="386">
        <f t="shared" si="129"/>
        <v>1.2671999999999999</v>
      </c>
      <c r="AZ82" s="386">
        <f t="shared" si="130"/>
        <v>0.10439999999999998</v>
      </c>
      <c r="BA82" s="386">
        <f t="shared" si="152"/>
        <v>1.4112</v>
      </c>
      <c r="BB82" s="386">
        <f t="shared" si="153"/>
        <v>3.1240923437071388</v>
      </c>
      <c r="BC82">
        <f t="shared" si="131"/>
        <v>350.4</v>
      </c>
      <c r="BD82" s="604">
        <f t="shared" si="146"/>
        <v>0.99116300017066494</v>
      </c>
      <c r="BE82" s="614">
        <f t="shared" si="132"/>
        <v>344.25933877933647</v>
      </c>
      <c r="BF82" s="614">
        <f t="shared" si="133"/>
        <v>128.82060998323723</v>
      </c>
      <c r="BG82" s="9"/>
      <c r="BH82" s="4">
        <f t="shared" si="147"/>
        <v>99.116300017066493</v>
      </c>
      <c r="BI82" s="386">
        <f t="shared" si="148"/>
        <v>19.01642064931961</v>
      </c>
      <c r="BJ82" s="386">
        <f t="shared" si="149"/>
        <v>-20.295152854434424</v>
      </c>
      <c r="BK82" s="386">
        <f t="shared" si="134"/>
        <v>6.88518677558673</v>
      </c>
      <c r="BL82" s="386">
        <f t="shared" si="135"/>
        <v>2.5764121996647447</v>
      </c>
      <c r="BM82" s="386">
        <f t="shared" si="150"/>
        <v>2.3960321621256782</v>
      </c>
      <c r="BS82" s="18"/>
      <c r="BT82" s="19"/>
    </row>
    <row r="83" spans="1:72" x14ac:dyDescent="0.3">
      <c r="A83" s="2"/>
      <c r="G83">
        <v>74</v>
      </c>
      <c r="H83" s="610">
        <f t="shared" si="97"/>
        <v>12</v>
      </c>
      <c r="I83" s="4" t="str">
        <f t="shared" si="98"/>
        <v>BOOST</v>
      </c>
      <c r="J83">
        <f t="shared" si="136"/>
        <v>2</v>
      </c>
      <c r="K83" s="386">
        <f t="shared" si="137"/>
        <v>7.4</v>
      </c>
      <c r="L83" s="4">
        <f t="shared" si="99"/>
        <v>32.888888888888893</v>
      </c>
      <c r="M83" s="4">
        <f t="shared" si="151"/>
        <v>30.535050575434347</v>
      </c>
      <c r="N83" s="386">
        <f t="shared" si="100"/>
        <v>1</v>
      </c>
      <c r="O83" s="386">
        <f t="shared" si="101"/>
        <v>0.75765555122566752</v>
      </c>
      <c r="P83" s="4">
        <f t="shared" si="102"/>
        <v>4.4420894286607631</v>
      </c>
      <c r="Q83" s="4">
        <f t="shared" si="103"/>
        <v>32.913877907148795</v>
      </c>
      <c r="R83" s="386">
        <f t="shared" si="138"/>
        <v>19.279209723344959</v>
      </c>
      <c r="S83" s="386">
        <f t="shared" si="139"/>
        <v>0.99804039963627977</v>
      </c>
      <c r="T83" s="386">
        <f t="shared" si="140"/>
        <v>20.27725012298124</v>
      </c>
      <c r="U83" s="4">
        <f t="shared" si="104"/>
        <v>13.279314384678637</v>
      </c>
      <c r="V83" s="386">
        <f t="shared" si="141"/>
        <v>0.35268038105426591</v>
      </c>
      <c r="W83" s="386">
        <f t="shared" si="142"/>
        <v>0.35268038105426591</v>
      </c>
      <c r="X83" s="4">
        <f t="shared" si="105"/>
        <v>1.2823207637008414</v>
      </c>
      <c r="Y83" s="386">
        <f t="shared" si="143"/>
        <v>3.2886930820366185E-3</v>
      </c>
      <c r="Z83" s="603">
        <f t="shared" si="144"/>
        <v>3.2886930820366185E-3</v>
      </c>
      <c r="AA83" s="386">
        <f t="shared" si="106"/>
        <v>32.913877907148795</v>
      </c>
      <c r="AB83" s="386">
        <f t="shared" si="107"/>
        <v>6.1749431456541757</v>
      </c>
      <c r="AC83" s="386">
        <f t="shared" si="108"/>
        <v>0</v>
      </c>
      <c r="AD83" s="386">
        <f t="shared" si="109"/>
        <v>0</v>
      </c>
      <c r="AE83" s="386">
        <f t="shared" si="110"/>
        <v>-26.277625298269808</v>
      </c>
      <c r="AF83" s="386">
        <f t="shared" si="111"/>
        <v>0</v>
      </c>
      <c r="AG83" s="386">
        <f t="shared" si="112"/>
        <v>0</v>
      </c>
      <c r="AH83" s="386">
        <f t="shared" si="113"/>
        <v>0</v>
      </c>
      <c r="AI83" s="386">
        <f t="shared" si="114"/>
        <v>0</v>
      </c>
      <c r="AJ83" s="386">
        <f t="shared" si="115"/>
        <v>28.649362237804567</v>
      </c>
      <c r="AK83" s="386">
        <f t="shared" si="116"/>
        <v>1.5594933176025905</v>
      </c>
      <c r="AL83" s="386">
        <f t="shared" si="117"/>
        <v>2.8800925726093456</v>
      </c>
      <c r="AM83" s="386">
        <f t="shared" si="118"/>
        <v>0</v>
      </c>
      <c r="AN83" s="386">
        <f t="shared" si="119"/>
        <v>6.4519361536573872</v>
      </c>
      <c r="AO83" s="386">
        <f t="shared" si="145"/>
        <v>16.203005963516617</v>
      </c>
      <c r="AP83" s="386">
        <f t="shared" si="120"/>
        <v>0.49882106428213457</v>
      </c>
      <c r="AQ83" s="386">
        <f t="shared" si="121"/>
        <v>1.5786666666666669</v>
      </c>
      <c r="AR83" s="386">
        <f t="shared" si="122"/>
        <v>2.30771511266023</v>
      </c>
      <c r="AS83" s="386">
        <f t="shared" si="123"/>
        <v>6.1749431456541757</v>
      </c>
      <c r="AT83" s="386">
        <f t="shared" si="124"/>
        <v>0</v>
      </c>
      <c r="AU83" s="386">
        <f t="shared" si="125"/>
        <v>0.95039999999999991</v>
      </c>
      <c r="AV83" s="386">
        <f t="shared" si="126"/>
        <v>2.4623578698988271</v>
      </c>
      <c r="AW83" s="386">
        <f t="shared" si="127"/>
        <v>0.249</v>
      </c>
      <c r="AX83" s="386">
        <f t="shared" si="128"/>
        <v>0.14400000000000002</v>
      </c>
      <c r="AY83" s="386">
        <f t="shared" si="129"/>
        <v>1.2671999999999999</v>
      </c>
      <c r="AZ83" s="386">
        <f t="shared" si="130"/>
        <v>0.10439999999999998</v>
      </c>
      <c r="BA83" s="386">
        <f t="shared" si="152"/>
        <v>1.4112</v>
      </c>
      <c r="BB83" s="386">
        <f t="shared" si="153"/>
        <v>8.1882030350641806</v>
      </c>
      <c r="BC83">
        <f t="shared" si="131"/>
        <v>355.20000000000005</v>
      </c>
      <c r="BD83" s="604">
        <f t="shared" si="146"/>
        <v>0.97746706423963325</v>
      </c>
      <c r="BE83" s="614">
        <f t="shared" si="132"/>
        <v>353.96000768286939</v>
      </c>
      <c r="BF83" s="614">
        <f t="shared" si="133"/>
        <v>131.06735563301152</v>
      </c>
      <c r="BG83" s="9"/>
      <c r="BH83" s="4">
        <f t="shared" si="147"/>
        <v>97.746706423963332</v>
      </c>
      <c r="BI83" s="386">
        <f t="shared" si="148"/>
        <v>20.27725012298124</v>
      </c>
      <c r="BJ83" s="386">
        <f t="shared" si="149"/>
        <v>-16.567574031952191</v>
      </c>
      <c r="BK83" s="386">
        <f t="shared" si="134"/>
        <v>7.0792001536573874</v>
      </c>
      <c r="BL83" s="386">
        <f t="shared" si="135"/>
        <v>2.6213471126602301</v>
      </c>
      <c r="BM83" s="386">
        <f t="shared" si="150"/>
        <v>2.4623578698988271</v>
      </c>
      <c r="BS83" s="18"/>
      <c r="BT83" s="19"/>
    </row>
    <row r="84" spans="1:72" x14ac:dyDescent="0.3">
      <c r="G84">
        <v>75</v>
      </c>
      <c r="H84" s="610">
        <f t="shared" si="97"/>
        <v>12</v>
      </c>
      <c r="I84" s="4" t="str">
        <f t="shared" si="98"/>
        <v>BOOST</v>
      </c>
      <c r="J84">
        <f t="shared" si="136"/>
        <v>2</v>
      </c>
      <c r="K84" s="386">
        <f t="shared" si="137"/>
        <v>7.5</v>
      </c>
      <c r="L84" s="4">
        <f t="shared" si="99"/>
        <v>33.333333333333329</v>
      </c>
      <c r="M84" s="4">
        <f t="shared" si="151"/>
        <v>30.960930767020969</v>
      </c>
      <c r="N84" s="386">
        <f t="shared" si="100"/>
        <v>1</v>
      </c>
      <c r="O84" s="386">
        <f t="shared" si="101"/>
        <v>0.75775922059846901</v>
      </c>
      <c r="P84" s="4">
        <f t="shared" si="102"/>
        <v>4.4406731429347994</v>
      </c>
      <c r="Q84" s="4">
        <f t="shared" si="103"/>
        <v>33.357973698572323</v>
      </c>
      <c r="R84" s="386">
        <f t="shared" si="138"/>
        <v>20.669033330073379</v>
      </c>
      <c r="S84" s="386">
        <f t="shared" si="139"/>
        <v>0.99730739978003879</v>
      </c>
      <c r="T84" s="386">
        <f t="shared" si="140"/>
        <v>21.666340729853417</v>
      </c>
      <c r="U84" s="4">
        <f t="shared" si="104"/>
        <v>13.457244195793448</v>
      </c>
      <c r="V84" s="386">
        <f t="shared" si="141"/>
        <v>0.36219484269043289</v>
      </c>
      <c r="W84" s="386">
        <f t="shared" si="142"/>
        <v>0.36219484269043289</v>
      </c>
      <c r="X84" s="4">
        <f t="shared" si="105"/>
        <v>1.281911917228274</v>
      </c>
      <c r="Y84" s="386">
        <f t="shared" si="143"/>
        <v>3.2865963270637386E-3</v>
      </c>
      <c r="Z84" s="603">
        <f t="shared" si="144"/>
        <v>3.2865963270637386E-3</v>
      </c>
      <c r="AA84" s="386">
        <f t="shared" si="106"/>
        <v>33.357973698572323</v>
      </c>
      <c r="AB84" s="386">
        <f t="shared" si="107"/>
        <v>6.3427001328654651</v>
      </c>
      <c r="AC84" s="386">
        <f t="shared" si="108"/>
        <v>0</v>
      </c>
      <c r="AD84" s="386">
        <f t="shared" si="109"/>
        <v>0</v>
      </c>
      <c r="AE84" s="386">
        <f t="shared" si="110"/>
        <v>-23.619198276719711</v>
      </c>
      <c r="AF84" s="386">
        <f t="shared" si="111"/>
        <v>0</v>
      </c>
      <c r="AG84" s="386">
        <f t="shared" si="112"/>
        <v>0</v>
      </c>
      <c r="AH84" s="386">
        <f t="shared" si="113"/>
        <v>0</v>
      </c>
      <c r="AI84" s="386">
        <f t="shared" si="114"/>
        <v>0</v>
      </c>
      <c r="AJ84" s="386">
        <f t="shared" si="115"/>
        <v>29.037904777884084</v>
      </c>
      <c r="AK84" s="386">
        <f t="shared" si="116"/>
        <v>1.6020798363899802</v>
      </c>
      <c r="AL84" s="386">
        <f t="shared" si="117"/>
        <v>2.9190127425094707</v>
      </c>
      <c r="AM84" s="386">
        <f t="shared" si="118"/>
        <v>0</v>
      </c>
      <c r="AN84" s="386">
        <f t="shared" si="119"/>
        <v>6.652735145631187</v>
      </c>
      <c r="AO84" s="386">
        <f t="shared" si="145"/>
        <v>16.418114854793156</v>
      </c>
      <c r="AP84" s="386">
        <f t="shared" si="120"/>
        <v>0.51215354123184142</v>
      </c>
      <c r="AQ84" s="386">
        <f t="shared" si="121"/>
        <v>1.5999999999999999</v>
      </c>
      <c r="AR84" s="386">
        <f t="shared" si="122"/>
        <v>2.3531927402565298</v>
      </c>
      <c r="AS84" s="386">
        <f t="shared" si="123"/>
        <v>6.3427001328654651</v>
      </c>
      <c r="AT84" s="386">
        <f t="shared" si="124"/>
        <v>0</v>
      </c>
      <c r="AU84" s="386">
        <f t="shared" si="125"/>
        <v>0.95039999999999991</v>
      </c>
      <c r="AV84" s="386">
        <f t="shared" si="126"/>
        <v>2.52959974166839</v>
      </c>
      <c r="AW84" s="386">
        <f t="shared" si="127"/>
        <v>0.249</v>
      </c>
      <c r="AX84" s="386">
        <f t="shared" si="128"/>
        <v>0.14400000000000002</v>
      </c>
      <c r="AY84" s="386">
        <f t="shared" si="129"/>
        <v>1.2671999999999999</v>
      </c>
      <c r="AZ84" s="386">
        <f t="shared" si="130"/>
        <v>0.10439999999999998</v>
      </c>
      <c r="BA84" s="386">
        <f t="shared" si="152"/>
        <v>1.4112</v>
      </c>
      <c r="BB84" s="386">
        <f t="shared" si="153"/>
        <v>12.558751519707311</v>
      </c>
      <c r="BC84">
        <f t="shared" si="131"/>
        <v>360</v>
      </c>
      <c r="BD84" s="604">
        <f t="shared" si="146"/>
        <v>0.96629054754859789</v>
      </c>
      <c r="BE84" s="614">
        <f t="shared" si="132"/>
        <v>363.99995728155938</v>
      </c>
      <c r="BF84" s="614">
        <f t="shared" si="133"/>
        <v>133.3412370128265</v>
      </c>
      <c r="BG84" s="9"/>
      <c r="BH84" s="4">
        <f t="shared" si="147"/>
        <v>96.629054754859794</v>
      </c>
      <c r="BI84" s="386">
        <f t="shared" si="148"/>
        <v>21.666340729853417</v>
      </c>
      <c r="BJ84" s="386">
        <f t="shared" si="149"/>
        <v>-13.662870390831994</v>
      </c>
      <c r="BK84" s="386">
        <f t="shared" si="134"/>
        <v>7.2799991456311872</v>
      </c>
      <c r="BL84" s="386">
        <f t="shared" si="135"/>
        <v>2.6668247402565299</v>
      </c>
      <c r="BM84" s="386">
        <f t="shared" si="150"/>
        <v>2.52959974166839</v>
      </c>
      <c r="BS84" s="18"/>
      <c r="BT84" s="19"/>
    </row>
    <row r="85" spans="1:72" x14ac:dyDescent="0.3">
      <c r="G85">
        <v>76</v>
      </c>
      <c r="H85" s="610">
        <f t="shared" si="97"/>
        <v>12</v>
      </c>
      <c r="I85" s="4" t="str">
        <f t="shared" si="98"/>
        <v>BOOST</v>
      </c>
      <c r="J85">
        <f t="shared" si="136"/>
        <v>2</v>
      </c>
      <c r="K85" s="386">
        <f t="shared" si="137"/>
        <v>7.6</v>
      </c>
      <c r="L85" s="4">
        <f t="shared" si="99"/>
        <v>33.777777777777771</v>
      </c>
      <c r="M85" s="4">
        <f t="shared" si="151"/>
        <v>31.38717638222537</v>
      </c>
      <c r="N85" s="386">
        <f t="shared" si="100"/>
        <v>1</v>
      </c>
      <c r="O85" s="386">
        <f t="shared" si="101"/>
        <v>0.7578628957428647</v>
      </c>
      <c r="P85" s="4">
        <f t="shared" si="102"/>
        <v>4.4392563371823792</v>
      </c>
      <c r="Q85" s="4">
        <f t="shared" si="103"/>
        <v>33.802078654138107</v>
      </c>
      <c r="R85" s="386">
        <f t="shared" si="138"/>
        <v>22.207287671584353</v>
      </c>
      <c r="S85" s="386">
        <f t="shared" si="139"/>
        <v>0.9965744357363141</v>
      </c>
      <c r="T85" s="386">
        <f t="shared" si="140"/>
        <v>23.203862107320667</v>
      </c>
      <c r="U85" s="4">
        <f t="shared" si="104"/>
        <v>13.6353439342575</v>
      </c>
      <c r="V85" s="386">
        <f t="shared" si="141"/>
        <v>0.37184520841098562</v>
      </c>
      <c r="W85" s="386">
        <f t="shared" si="142"/>
        <v>0.37184520841098562</v>
      </c>
      <c r="X85" s="4">
        <f t="shared" si="105"/>
        <v>1.2815029206369994</v>
      </c>
      <c r="Y85" s="386">
        <f t="shared" si="143"/>
        <v>3.2844994712023191E-3</v>
      </c>
      <c r="Z85" s="603">
        <f t="shared" si="144"/>
        <v>3.2844994712023191E-3</v>
      </c>
      <c r="AA85" s="386">
        <f t="shared" si="106"/>
        <v>33.802078654138107</v>
      </c>
      <c r="AB85" s="386">
        <f t="shared" si="107"/>
        <v>6.5127089716410724</v>
      </c>
      <c r="AC85" s="386">
        <f t="shared" si="108"/>
        <v>0</v>
      </c>
      <c r="AD85" s="386">
        <f t="shared" si="109"/>
        <v>0</v>
      </c>
      <c r="AE85" s="386">
        <f t="shared" si="110"/>
        <v>-21.526642248230065</v>
      </c>
      <c r="AF85" s="386">
        <f t="shared" si="111"/>
        <v>0</v>
      </c>
      <c r="AG85" s="386">
        <f t="shared" si="112"/>
        <v>0</v>
      </c>
      <c r="AH85" s="386">
        <f t="shared" si="113"/>
        <v>0</v>
      </c>
      <c r="AI85" s="386">
        <f t="shared" si="114"/>
        <v>0</v>
      </c>
      <c r="AJ85" s="386">
        <f t="shared" si="115"/>
        <v>29.426508160543495</v>
      </c>
      <c r="AK85" s="386">
        <f t="shared" si="116"/>
        <v>1.6452468267928126</v>
      </c>
      <c r="AL85" s="386">
        <f t="shared" si="117"/>
        <v>2.9579329124095968</v>
      </c>
      <c r="AM85" s="386">
        <f t="shared" si="118"/>
        <v>0</v>
      </c>
      <c r="AN85" s="386">
        <f t="shared" si="119"/>
        <v>6.860683188208613</v>
      </c>
      <c r="AO85" s="386">
        <f t="shared" si="145"/>
        <v>16.633133764207095</v>
      </c>
      <c r="AP85" s="386">
        <f t="shared" si="120"/>
        <v>0.52565616375421154</v>
      </c>
      <c r="AQ85" s="386">
        <f t="shared" si="121"/>
        <v>1.6213333333333331</v>
      </c>
      <c r="AR85" s="386">
        <f t="shared" si="122"/>
        <v>2.3992227415506164</v>
      </c>
      <c r="AS85" s="386">
        <f t="shared" si="123"/>
        <v>6.5127089716410724</v>
      </c>
      <c r="AT85" s="386">
        <f t="shared" si="124"/>
        <v>0</v>
      </c>
      <c r="AU85" s="386">
        <f t="shared" si="125"/>
        <v>0.95039999999999991</v>
      </c>
      <c r="AV85" s="386">
        <f t="shared" si="126"/>
        <v>2.5977581475675988</v>
      </c>
      <c r="AW85" s="386">
        <f t="shared" si="127"/>
        <v>0.249</v>
      </c>
      <c r="AX85" s="386">
        <f t="shared" si="128"/>
        <v>0.14400000000000002</v>
      </c>
      <c r="AY85" s="386">
        <f t="shared" si="129"/>
        <v>1.2671999999999999</v>
      </c>
      <c r="AZ85" s="386">
        <f t="shared" si="130"/>
        <v>0.10439999999999998</v>
      </c>
      <c r="BA85" s="386">
        <f t="shared" si="152"/>
        <v>1.4112</v>
      </c>
      <c r="BB85" s="386">
        <f t="shared" si="153"/>
        <v>16.520613644299619</v>
      </c>
      <c r="BC85">
        <f t="shared" si="131"/>
        <v>364.79999999999995</v>
      </c>
      <c r="BD85" s="604">
        <f t="shared" si="146"/>
        <v>0.9566752673389165</v>
      </c>
      <c r="BE85" s="614">
        <f t="shared" si="132"/>
        <v>374.39735941043068</v>
      </c>
      <c r="BF85" s="614">
        <f t="shared" si="133"/>
        <v>135.64273707753082</v>
      </c>
      <c r="BG85" s="9"/>
      <c r="BH85" s="4">
        <f t="shared" si="147"/>
        <v>95.667526733891648</v>
      </c>
      <c r="BI85" s="386">
        <f t="shared" si="148"/>
        <v>23.203862107320667</v>
      </c>
      <c r="BJ85" s="386">
        <f t="shared" si="149"/>
        <v>-11.316336318470835</v>
      </c>
      <c r="BK85" s="386">
        <f t="shared" si="134"/>
        <v>7.4879471882086133</v>
      </c>
      <c r="BL85" s="386">
        <f t="shared" si="135"/>
        <v>2.7128547415506166</v>
      </c>
      <c r="BM85" s="386">
        <f t="shared" si="150"/>
        <v>2.5977581475675988</v>
      </c>
      <c r="BS85" s="18"/>
      <c r="BT85" s="19"/>
    </row>
    <row r="86" spans="1:72" x14ac:dyDescent="0.3">
      <c r="G86">
        <v>77</v>
      </c>
      <c r="H86" s="610">
        <f t="shared" si="97"/>
        <v>12</v>
      </c>
      <c r="I86" s="4" t="str">
        <f t="shared" si="98"/>
        <v>BOOST</v>
      </c>
      <c r="J86">
        <f t="shared" si="136"/>
        <v>2</v>
      </c>
      <c r="K86" s="386">
        <f t="shared" si="137"/>
        <v>7.7</v>
      </c>
      <c r="L86" s="4">
        <f t="shared" si="99"/>
        <v>34.222222222222221</v>
      </c>
      <c r="M86" s="4">
        <f t="shared" si="151"/>
        <v>31.813787921192166</v>
      </c>
      <c r="N86" s="386">
        <f t="shared" si="100"/>
        <v>1</v>
      </c>
      <c r="O86" s="386">
        <f t="shared" si="101"/>
        <v>0.7579665766593362</v>
      </c>
      <c r="P86" s="4">
        <f t="shared" si="102"/>
        <v>4.4378390113600741</v>
      </c>
      <c r="Q86" s="4">
        <f t="shared" si="103"/>
        <v>34.246192417329013</v>
      </c>
      <c r="R86" s="386">
        <f t="shared" si="138"/>
        <v>23.918616475965646</v>
      </c>
      <c r="S86" s="386">
        <f t="shared" si="139"/>
        <v>0.99584150778890079</v>
      </c>
      <c r="T86" s="386">
        <f t="shared" si="140"/>
        <v>24.914457983754545</v>
      </c>
      <c r="U86" s="4">
        <f t="shared" si="104"/>
        <v>13.813611134873403</v>
      </c>
      <c r="V86" s="386">
        <f t="shared" si="141"/>
        <v>0.38163170517099698</v>
      </c>
      <c r="W86" s="386">
        <f t="shared" si="142"/>
        <v>0.38163170517099698</v>
      </c>
      <c r="X86" s="4">
        <f t="shared" si="105"/>
        <v>1.2810937739144808</v>
      </c>
      <c r="Y86" s="386">
        <f t="shared" si="143"/>
        <v>3.2824025151248939E-3</v>
      </c>
      <c r="Z86" s="603">
        <f t="shared" si="144"/>
        <v>3.2824025151248939E-3</v>
      </c>
      <c r="AA86" s="386">
        <f t="shared" si="106"/>
        <v>34.246192417329013</v>
      </c>
      <c r="AB86" s="386">
        <f t="shared" si="107"/>
        <v>6.6849696619829224</v>
      </c>
      <c r="AC86" s="386">
        <f t="shared" si="108"/>
        <v>0</v>
      </c>
      <c r="AD86" s="386">
        <f t="shared" si="109"/>
        <v>0</v>
      </c>
      <c r="AE86" s="386">
        <f t="shared" si="110"/>
        <v>-19.837062389941938</v>
      </c>
      <c r="AF86" s="386">
        <f t="shared" si="111"/>
        <v>0</v>
      </c>
      <c r="AG86" s="386">
        <f t="shared" si="112"/>
        <v>0</v>
      </c>
      <c r="AH86" s="386">
        <f t="shared" si="113"/>
        <v>0</v>
      </c>
      <c r="AI86" s="386">
        <f t="shared" si="114"/>
        <v>0</v>
      </c>
      <c r="AJ86" s="386">
        <f t="shared" si="115"/>
        <v>29.815172076035957</v>
      </c>
      <c r="AK86" s="386">
        <f t="shared" si="116"/>
        <v>1.6889945232549051</v>
      </c>
      <c r="AL86" s="386">
        <f t="shared" si="117"/>
        <v>2.9968530823097232</v>
      </c>
      <c r="AM86" s="386">
        <f t="shared" si="118"/>
        <v>0</v>
      </c>
      <c r="AN86" s="386">
        <f t="shared" si="119"/>
        <v>7.0761701218493318</v>
      </c>
      <c r="AO86" s="386">
        <f t="shared" si="145"/>
        <v>16.848062474987707</v>
      </c>
      <c r="AP86" s="386">
        <f t="shared" si="120"/>
        <v>0.53932869740606881</v>
      </c>
      <c r="AQ86" s="386">
        <f t="shared" si="121"/>
        <v>1.6426666666666667</v>
      </c>
      <c r="AR86" s="386">
        <f t="shared" si="122"/>
        <v>2.4458150086107899</v>
      </c>
      <c r="AS86" s="386">
        <f t="shared" si="123"/>
        <v>6.6849696619829224</v>
      </c>
      <c r="AT86" s="386">
        <f t="shared" si="124"/>
        <v>0</v>
      </c>
      <c r="AU86" s="386">
        <f t="shared" si="125"/>
        <v>0.95039999999999991</v>
      </c>
      <c r="AV86" s="386">
        <f t="shared" si="126"/>
        <v>2.666833457770903</v>
      </c>
      <c r="AW86" s="386">
        <f t="shared" si="127"/>
        <v>0.249</v>
      </c>
      <c r="AX86" s="386">
        <f t="shared" si="128"/>
        <v>0.14400000000000002</v>
      </c>
      <c r="AY86" s="386">
        <f t="shared" si="129"/>
        <v>1.2671999999999999</v>
      </c>
      <c r="AZ86" s="386">
        <f t="shared" si="130"/>
        <v>0.10439999999999998</v>
      </c>
      <c r="BA86" s="386">
        <f t="shared" si="152"/>
        <v>1.4112</v>
      </c>
      <c r="BB86" s="386">
        <f t="shared" si="153"/>
        <v>20.261728289729753</v>
      </c>
      <c r="BC86">
        <f t="shared" si="131"/>
        <v>369.6</v>
      </c>
      <c r="BD86" s="604">
        <f t="shared" si="146"/>
        <v>0.9480284243887821</v>
      </c>
      <c r="BE86" s="614">
        <f t="shared" si="132"/>
        <v>385.17170609246659</v>
      </c>
      <c r="BF86" s="614">
        <f t="shared" si="133"/>
        <v>137.97235043053951</v>
      </c>
      <c r="BG86" s="9"/>
      <c r="BH86" s="4">
        <f t="shared" si="147"/>
        <v>94.802842438878216</v>
      </c>
      <c r="BI86" s="386">
        <f t="shared" si="148"/>
        <v>24.914457983754545</v>
      </c>
      <c r="BJ86" s="386">
        <f t="shared" si="149"/>
        <v>-9.364677259481816</v>
      </c>
      <c r="BK86" s="386">
        <f t="shared" si="134"/>
        <v>7.7034341218493321</v>
      </c>
      <c r="BL86" s="386">
        <f t="shared" si="135"/>
        <v>2.7594470086107901</v>
      </c>
      <c r="BM86" s="386">
        <f t="shared" si="150"/>
        <v>2.666833457770903</v>
      </c>
      <c r="BS86" s="18"/>
      <c r="BT86" s="19"/>
    </row>
    <row r="87" spans="1:72" x14ac:dyDescent="0.3">
      <c r="G87">
        <v>78</v>
      </c>
      <c r="H87" s="610">
        <f t="shared" si="97"/>
        <v>12</v>
      </c>
      <c r="I87" s="4" t="str">
        <f t="shared" si="98"/>
        <v>BOOST</v>
      </c>
      <c r="J87">
        <f t="shared" si="136"/>
        <v>2</v>
      </c>
      <c r="K87" s="386">
        <f t="shared" si="137"/>
        <v>7.8</v>
      </c>
      <c r="L87" s="4">
        <f t="shared" si="99"/>
        <v>34.666666666666664</v>
      </c>
      <c r="M87" s="4">
        <f t="shared" si="151"/>
        <v>32.240765884979176</v>
      </c>
      <c r="N87" s="386">
        <f t="shared" si="100"/>
        <v>1</v>
      </c>
      <c r="O87" s="386">
        <f t="shared" si="101"/>
        <v>0.75807026334836591</v>
      </c>
      <c r="P87" s="4">
        <f t="shared" si="102"/>
        <v>4.4364211654244503</v>
      </c>
      <c r="Q87" s="4">
        <f t="shared" si="103"/>
        <v>34.690314649877848</v>
      </c>
      <c r="R87" s="386">
        <f t="shared" si="138"/>
        <v>25.83345060781447</v>
      </c>
      <c r="S87" s="386">
        <f t="shared" si="139"/>
        <v>0.99510861622168423</v>
      </c>
      <c r="T87" s="386">
        <f t="shared" si="140"/>
        <v>26.828559224036155</v>
      </c>
      <c r="U87" s="4">
        <f t="shared" si="104"/>
        <v>13.992043459407586</v>
      </c>
      <c r="V87" s="386">
        <f t="shared" si="141"/>
        <v>0.39155456033990121</v>
      </c>
      <c r="W87" s="386">
        <f t="shared" si="142"/>
        <v>0.39155456033990121</v>
      </c>
      <c r="X87" s="4">
        <f t="shared" si="105"/>
        <v>1.28068447704818</v>
      </c>
      <c r="Y87" s="386">
        <f t="shared" si="143"/>
        <v>3.2803054595043407E-3</v>
      </c>
      <c r="Z87" s="603">
        <f t="shared" si="144"/>
        <v>3.2803054595043407E-3</v>
      </c>
      <c r="AA87" s="386">
        <f t="shared" si="106"/>
        <v>34.690314649877848</v>
      </c>
      <c r="AB87" s="386">
        <f t="shared" si="107"/>
        <v>6.8594822038929193</v>
      </c>
      <c r="AC87" s="386">
        <f t="shared" si="108"/>
        <v>0</v>
      </c>
      <c r="AD87" s="386">
        <f t="shared" si="109"/>
        <v>0</v>
      </c>
      <c r="AE87" s="386">
        <f t="shared" si="110"/>
        <v>-18.444602990908567</v>
      </c>
      <c r="AF87" s="386">
        <f t="shared" si="111"/>
        <v>0</v>
      </c>
      <c r="AG87" s="386">
        <f t="shared" si="112"/>
        <v>0</v>
      </c>
      <c r="AH87" s="386">
        <f t="shared" si="113"/>
        <v>0</v>
      </c>
      <c r="AI87" s="386">
        <f t="shared" si="114"/>
        <v>0</v>
      </c>
      <c r="AJ87" s="386">
        <f t="shared" si="115"/>
        <v>30.203896230420149</v>
      </c>
      <c r="AK87" s="386">
        <f t="shared" si="116"/>
        <v>1.7333231602461781</v>
      </c>
      <c r="AL87" s="386">
        <f t="shared" si="117"/>
        <v>3.0357732522098497</v>
      </c>
      <c r="AM87" s="386">
        <f t="shared" si="118"/>
        <v>0</v>
      </c>
      <c r="AN87" s="386">
        <f t="shared" si="119"/>
        <v>7.2996146334686545</v>
      </c>
      <c r="AO87" s="386">
        <f t="shared" si="145"/>
        <v>17.06290077945544</v>
      </c>
      <c r="AP87" s="386">
        <f t="shared" si="120"/>
        <v>0.55317090771812805</v>
      </c>
      <c r="AQ87" s="386">
        <f t="shared" si="121"/>
        <v>1.6639999999999999</v>
      </c>
      <c r="AR87" s="386">
        <f t="shared" si="122"/>
        <v>2.4929796735007819</v>
      </c>
      <c r="AS87" s="386">
        <f t="shared" si="123"/>
        <v>6.8594822038929193</v>
      </c>
      <c r="AT87" s="386">
        <f t="shared" si="124"/>
        <v>0</v>
      </c>
      <c r="AU87" s="386">
        <f t="shared" si="125"/>
        <v>0.95039999999999991</v>
      </c>
      <c r="AV87" s="386">
        <f t="shared" si="126"/>
        <v>2.7368260424939654</v>
      </c>
      <c r="AW87" s="386">
        <f t="shared" si="127"/>
        <v>0.249</v>
      </c>
      <c r="AX87" s="386">
        <f t="shared" si="128"/>
        <v>0.14400000000000002</v>
      </c>
      <c r="AY87" s="386">
        <f t="shared" si="129"/>
        <v>1.2671999999999999</v>
      </c>
      <c r="AZ87" s="386">
        <f t="shared" si="130"/>
        <v>0.10439999999999998</v>
      </c>
      <c r="BA87" s="386">
        <f t="shared" si="152"/>
        <v>1.4112</v>
      </c>
      <c r="BB87" s="386">
        <f t="shared" si="153"/>
        <v>23.918811448390393</v>
      </c>
      <c r="BC87">
        <f t="shared" si="131"/>
        <v>374.4</v>
      </c>
      <c r="BD87" s="604">
        <f t="shared" si="146"/>
        <v>0.93995058540816745</v>
      </c>
      <c r="BE87" s="614">
        <f t="shared" si="132"/>
        <v>396.34393167343273</v>
      </c>
      <c r="BF87" s="614">
        <f t="shared" si="133"/>
        <v>140.33058367503909</v>
      </c>
      <c r="BG87" s="9"/>
      <c r="BH87" s="4">
        <f t="shared" si="147"/>
        <v>93.995058540816743</v>
      </c>
      <c r="BI87" s="386">
        <f t="shared" si="148"/>
        <v>26.828559224036155</v>
      </c>
      <c r="BJ87" s="386">
        <f t="shared" si="149"/>
        <v>-7.7016086839391313</v>
      </c>
      <c r="BK87" s="386">
        <f t="shared" si="134"/>
        <v>7.9268786334686547</v>
      </c>
      <c r="BL87" s="386">
        <f t="shared" si="135"/>
        <v>2.806611673500782</v>
      </c>
      <c r="BM87" s="386">
        <f t="shared" si="150"/>
        <v>2.7368260424939654</v>
      </c>
      <c r="BS87" s="18"/>
      <c r="BT87" s="19"/>
    </row>
    <row r="88" spans="1:72" x14ac:dyDescent="0.3">
      <c r="G88">
        <v>79</v>
      </c>
      <c r="H88" s="610">
        <f t="shared" si="97"/>
        <v>12</v>
      </c>
      <c r="I88" s="4" t="str">
        <f t="shared" si="98"/>
        <v>BOOST</v>
      </c>
      <c r="J88">
        <f t="shared" si="136"/>
        <v>2</v>
      </c>
      <c r="K88" s="386">
        <f t="shared" si="137"/>
        <v>7.9</v>
      </c>
      <c r="L88" s="4">
        <f t="shared" si="99"/>
        <v>35.111111111111114</v>
      </c>
      <c r="M88" s="4">
        <f t="shared" si="151"/>
        <v>32.668110775559377</v>
      </c>
      <c r="N88" s="386">
        <f t="shared" si="100"/>
        <v>1</v>
      </c>
      <c r="O88" s="386">
        <f t="shared" si="101"/>
        <v>0.75817395581043578</v>
      </c>
      <c r="P88" s="4">
        <f t="shared" si="102"/>
        <v>4.4350027993320715</v>
      </c>
      <c r="Q88" s="4">
        <f t="shared" si="103"/>
        <v>35.134445030614856</v>
      </c>
      <c r="R88" s="386">
        <f t="shared" si="138"/>
        <v>27.989812381560309</v>
      </c>
      <c r="S88" s="386">
        <f t="shared" si="139"/>
        <v>0.99437576131863126</v>
      </c>
      <c r="T88" s="386">
        <f t="shared" si="140"/>
        <v>28.984188142878942</v>
      </c>
      <c r="U88" s="4">
        <f t="shared" si="104"/>
        <v>14.170638688895401</v>
      </c>
      <c r="V88" s="386">
        <f t="shared" si="141"/>
        <v>0.40161400170243838</v>
      </c>
      <c r="W88" s="386">
        <f t="shared" si="142"/>
        <v>0.40161400170243838</v>
      </c>
      <c r="X88" s="4">
        <f t="shared" si="105"/>
        <v>1.2802750300255576</v>
      </c>
      <c r="Y88" s="386">
        <f t="shared" si="143"/>
        <v>3.2782083050138851E-3</v>
      </c>
      <c r="Z88" s="603">
        <f t="shared" si="144"/>
        <v>3.2782083050138851E-3</v>
      </c>
      <c r="AA88" s="386">
        <f t="shared" si="106"/>
        <v>35.134445030614856</v>
      </c>
      <c r="AB88" s="386">
        <f t="shared" si="107"/>
        <v>7.0362465973729931</v>
      </c>
      <c r="AC88" s="386">
        <f t="shared" si="108"/>
        <v>0</v>
      </c>
      <c r="AD88" s="386">
        <f t="shared" si="109"/>
        <v>0</v>
      </c>
      <c r="AE88" s="386">
        <f t="shared" si="110"/>
        <v>-17.277491357015915</v>
      </c>
      <c r="AF88" s="386">
        <f t="shared" si="111"/>
        <v>0</v>
      </c>
      <c r="AG88" s="386">
        <f t="shared" si="112"/>
        <v>0</v>
      </c>
      <c r="AH88" s="386">
        <f t="shared" si="113"/>
        <v>0</v>
      </c>
      <c r="AI88" s="386">
        <f t="shared" si="114"/>
        <v>0</v>
      </c>
      <c r="AJ88" s="386">
        <f t="shared" si="115"/>
        <v>30.592680344562186</v>
      </c>
      <c r="AK88" s="386">
        <f t="shared" si="116"/>
        <v>1.7782329722626669</v>
      </c>
      <c r="AL88" s="386">
        <f t="shared" si="117"/>
        <v>3.0746934221099766</v>
      </c>
      <c r="AM88" s="386">
        <f t="shared" si="118"/>
        <v>0</v>
      </c>
      <c r="AN88" s="386">
        <f t="shared" si="119"/>
        <v>7.5314669754083408</v>
      </c>
      <c r="AO88" s="386">
        <f t="shared" si="145"/>
        <v>17.277648478445656</v>
      </c>
      <c r="AP88" s="386">
        <f t="shared" si="120"/>
        <v>0.56718256019499735</v>
      </c>
      <c r="AQ88" s="386">
        <f t="shared" si="121"/>
        <v>1.6853333333333336</v>
      </c>
      <c r="AR88" s="386">
        <f t="shared" si="122"/>
        <v>2.5407271155604123</v>
      </c>
      <c r="AS88" s="386">
        <f t="shared" si="123"/>
        <v>7.0362465973729931</v>
      </c>
      <c r="AT88" s="386">
        <f t="shared" si="124"/>
        <v>0</v>
      </c>
      <c r="AU88" s="386">
        <f t="shared" si="125"/>
        <v>0.95039999999999991</v>
      </c>
      <c r="AV88" s="386">
        <f t="shared" si="126"/>
        <v>2.8077362719936847</v>
      </c>
      <c r="AW88" s="386">
        <f t="shared" si="127"/>
        <v>0.249</v>
      </c>
      <c r="AX88" s="386">
        <f t="shared" si="128"/>
        <v>0.14400000000000002</v>
      </c>
      <c r="AY88" s="386">
        <f t="shared" si="129"/>
        <v>1.2671999999999999</v>
      </c>
      <c r="AZ88" s="386">
        <f t="shared" si="130"/>
        <v>0.10439999999999998</v>
      </c>
      <c r="BA88" s="386">
        <f t="shared" si="152"/>
        <v>1.4112</v>
      </c>
      <c r="BB88" s="386">
        <f t="shared" si="153"/>
        <v>27.602119358832912</v>
      </c>
      <c r="BC88">
        <f t="shared" si="131"/>
        <v>379.20000000000005</v>
      </c>
      <c r="BD88" s="604">
        <f t="shared" si="146"/>
        <v>0.93214853599500158</v>
      </c>
      <c r="BE88" s="614">
        <f t="shared" si="132"/>
        <v>407.93654877041706</v>
      </c>
      <c r="BF88" s="614">
        <f t="shared" si="133"/>
        <v>142.71795577802061</v>
      </c>
      <c r="BG88" s="9"/>
      <c r="BH88" s="4">
        <f t="shared" si="147"/>
        <v>93.214853599500159</v>
      </c>
      <c r="BI88" s="386">
        <f t="shared" si="148"/>
        <v>28.984188142878942</v>
      </c>
      <c r="BJ88" s="386">
        <f t="shared" si="149"/>
        <v>-6.2548972660471618</v>
      </c>
      <c r="BK88" s="386">
        <f t="shared" si="134"/>
        <v>8.158730975408341</v>
      </c>
      <c r="BL88" s="386">
        <f t="shared" si="135"/>
        <v>2.8543591155604124</v>
      </c>
      <c r="BM88" s="386">
        <f t="shared" si="150"/>
        <v>2.8077362719936847</v>
      </c>
      <c r="BS88" s="18"/>
      <c r="BT88" s="19"/>
    </row>
    <row r="89" spans="1:72" x14ac:dyDescent="0.3">
      <c r="G89">
        <v>80</v>
      </c>
      <c r="H89" s="610">
        <f t="shared" si="97"/>
        <v>12</v>
      </c>
      <c r="I89" s="4" t="str">
        <f t="shared" si="98"/>
        <v>BOOST</v>
      </c>
      <c r="J89">
        <f t="shared" si="136"/>
        <v>2</v>
      </c>
      <c r="K89" s="386">
        <f t="shared" si="137"/>
        <v>8</v>
      </c>
      <c r="L89" s="4">
        <f t="shared" si="99"/>
        <v>35.55555555555555</v>
      </c>
      <c r="M89" s="4">
        <f t="shared" si="151"/>
        <v>33.095823095823093</v>
      </c>
      <c r="N89" s="386">
        <f t="shared" si="100"/>
        <v>1</v>
      </c>
      <c r="O89" s="386">
        <f t="shared" si="101"/>
        <v>0.7582776540460282</v>
      </c>
      <c r="P89" s="4">
        <f t="shared" si="102"/>
        <v>4.4335839130394934</v>
      </c>
      <c r="Q89" s="4">
        <f t="shared" si="103"/>
        <v>35.578583254401245</v>
      </c>
      <c r="R89" s="386">
        <f t="shared" si="138"/>
        <v>30.43583984197933</v>
      </c>
      <c r="S89" s="386">
        <f t="shared" si="139"/>
        <v>0.99364294336379877</v>
      </c>
      <c r="T89" s="386">
        <f t="shared" si="140"/>
        <v>31.429482785343129</v>
      </c>
      <c r="U89" s="4">
        <f t="shared" si="104"/>
        <v>14.349394716495947</v>
      </c>
      <c r="V89" s="386">
        <f t="shared" si="141"/>
        <v>0.41181025745960365</v>
      </c>
      <c r="W89" s="386">
        <f t="shared" si="142"/>
        <v>0.41181025745960365</v>
      </c>
      <c r="X89" s="4">
        <f t="shared" si="105"/>
        <v>1.2798654328340731</v>
      </c>
      <c r="Y89" s="386">
        <f t="shared" si="143"/>
        <v>3.2761110523270983E-3</v>
      </c>
      <c r="Z89" s="603">
        <f t="shared" si="144"/>
        <v>3.2761110523270983E-3</v>
      </c>
      <c r="AA89" s="386">
        <f t="shared" si="106"/>
        <v>35.578583254401245</v>
      </c>
      <c r="AB89" s="386">
        <f t="shared" si="107"/>
        <v>7.215262842425056</v>
      </c>
      <c r="AC89" s="386">
        <f t="shared" si="108"/>
        <v>0</v>
      </c>
      <c r="AD89" s="386">
        <f t="shared" si="109"/>
        <v>0</v>
      </c>
      <c r="AE89" s="386">
        <f t="shared" si="110"/>
        <v>-16.285342543204671</v>
      </c>
      <c r="AF89" s="386">
        <f t="shared" si="111"/>
        <v>0</v>
      </c>
      <c r="AG89" s="386">
        <f t="shared" si="112"/>
        <v>0</v>
      </c>
      <c r="AH89" s="386">
        <f t="shared" si="113"/>
        <v>0</v>
      </c>
      <c r="AI89" s="386">
        <f t="shared" si="114"/>
        <v>0</v>
      </c>
      <c r="AJ89" s="386">
        <f t="shared" si="115"/>
        <v>30.981524153212042</v>
      </c>
      <c r="AK89" s="386">
        <f t="shared" si="116"/>
        <v>1.8237241938265163</v>
      </c>
      <c r="AL89" s="386">
        <f t="shared" si="117"/>
        <v>3.1136135920101022</v>
      </c>
      <c r="AM89" s="386">
        <f t="shared" si="118"/>
        <v>0</v>
      </c>
      <c r="AN89" s="386">
        <f t="shared" si="119"/>
        <v>7.7722119978376778</v>
      </c>
      <c r="AO89" s="386">
        <f t="shared" si="145"/>
        <v>17.492305380775271</v>
      </c>
      <c r="AP89" s="386">
        <f t="shared" si="120"/>
        <v>0.58136342031516908</v>
      </c>
      <c r="AQ89" s="386">
        <f t="shared" si="121"/>
        <v>1.7066666666666663</v>
      </c>
      <c r="AR89" s="386">
        <f t="shared" si="122"/>
        <v>2.5890679689537111</v>
      </c>
      <c r="AS89" s="386">
        <f t="shared" si="123"/>
        <v>7.215262842425056</v>
      </c>
      <c r="AT89" s="386">
        <f t="shared" si="124"/>
        <v>0</v>
      </c>
      <c r="AU89" s="386">
        <f t="shared" si="125"/>
        <v>0.95039999999999991</v>
      </c>
      <c r="AV89" s="386">
        <f t="shared" si="126"/>
        <v>2.8795645165681836</v>
      </c>
      <c r="AW89" s="386">
        <f t="shared" si="127"/>
        <v>0.249</v>
      </c>
      <c r="AX89" s="386">
        <f t="shared" si="128"/>
        <v>0.14400000000000002</v>
      </c>
      <c r="AY89" s="386">
        <f t="shared" si="129"/>
        <v>1.2671999999999999</v>
      </c>
      <c r="AZ89" s="386">
        <f t="shared" si="130"/>
        <v>0.10439999999999998</v>
      </c>
      <c r="BA89" s="386">
        <f t="shared" si="152"/>
        <v>1.4112</v>
      </c>
      <c r="BB89" s="386">
        <f t="shared" si="153"/>
        <v>31.410671094009956</v>
      </c>
      <c r="BC89">
        <f t="shared" si="131"/>
        <v>384</v>
      </c>
      <c r="BD89" s="604">
        <f t="shared" si="146"/>
        <v>0.92438646072502662</v>
      </c>
      <c r="BE89" s="614">
        <f t="shared" si="132"/>
        <v>419.97379989188391</v>
      </c>
      <c r="BF89" s="614">
        <f t="shared" si="133"/>
        <v>145.13499844768555</v>
      </c>
      <c r="BG89" s="9"/>
      <c r="BH89" s="4">
        <f t="shared" si="147"/>
        <v>92.438646072502664</v>
      </c>
      <c r="BI89" s="386">
        <f t="shared" si="148"/>
        <v>31.429482785343129</v>
      </c>
      <c r="BJ89" s="386">
        <f t="shared" si="149"/>
        <v>-4.9736625764132816</v>
      </c>
      <c r="BK89" s="386">
        <f t="shared" si="134"/>
        <v>8.3994759978376781</v>
      </c>
      <c r="BL89" s="386">
        <f t="shared" si="135"/>
        <v>2.9026999689537112</v>
      </c>
      <c r="BM89" s="386">
        <f t="shared" si="150"/>
        <v>2.8795645165681836</v>
      </c>
      <c r="BS89" s="18"/>
      <c r="BT89" s="19"/>
    </row>
    <row r="90" spans="1:72" x14ac:dyDescent="0.3">
      <c r="G90">
        <v>81</v>
      </c>
      <c r="H90" s="610">
        <f t="shared" si="97"/>
        <v>12</v>
      </c>
      <c r="I90" s="4" t="str">
        <f t="shared" si="98"/>
        <v>BOOST</v>
      </c>
      <c r="J90">
        <f t="shared" si="136"/>
        <v>2</v>
      </c>
      <c r="K90" s="386">
        <f t="shared" si="137"/>
        <v>8.1</v>
      </c>
      <c r="L90" s="4">
        <f t="shared" si="99"/>
        <v>35.999999999999993</v>
      </c>
      <c r="M90" s="4">
        <f t="shared" si="151"/>
        <v>33.523903349580003</v>
      </c>
      <c r="N90" s="386">
        <f t="shared" si="100"/>
        <v>1</v>
      </c>
      <c r="O90" s="386">
        <f t="shared" si="101"/>
        <v>0.75838135805562512</v>
      </c>
      <c r="P90" s="4">
        <f t="shared" si="102"/>
        <v>4.4321645065032689</v>
      </c>
      <c r="Q90" s="4">
        <f t="shared" si="103"/>
        <v>36.022729031141694</v>
      </c>
      <c r="R90" s="386">
        <f t="shared" si="138"/>
        <v>33.233390055396683</v>
      </c>
      <c r="S90" s="386">
        <f t="shared" si="139"/>
        <v>0.99291016264132959</v>
      </c>
      <c r="T90" s="386">
        <f t="shared" si="140"/>
        <v>34.226300218038013</v>
      </c>
      <c r="U90" s="4">
        <f t="shared" si="104"/>
        <v>14.528309540851557</v>
      </c>
      <c r="V90" s="386">
        <f t="shared" si="141"/>
        <v>0.42214355622959682</v>
      </c>
      <c r="W90" s="386">
        <f t="shared" si="142"/>
        <v>0.42214355622959682</v>
      </c>
      <c r="X90" s="4">
        <f t="shared" si="105"/>
        <v>1.2794556854611836</v>
      </c>
      <c r="Y90" s="386">
        <f t="shared" si="143"/>
        <v>3.2740137021178947E-3</v>
      </c>
      <c r="Z90" s="603">
        <f t="shared" si="144"/>
        <v>3.2740137021178947E-3</v>
      </c>
      <c r="AA90" s="386">
        <f t="shared" si="106"/>
        <v>36.022729031141694</v>
      </c>
      <c r="AB90" s="386">
        <f t="shared" si="107"/>
        <v>7.3965309390510345</v>
      </c>
      <c r="AC90" s="386">
        <f t="shared" si="108"/>
        <v>0</v>
      </c>
      <c r="AD90" s="386">
        <f t="shared" si="109"/>
        <v>0</v>
      </c>
      <c r="AE90" s="386">
        <f t="shared" si="110"/>
        <v>-15.431745149887096</v>
      </c>
      <c r="AF90" s="386">
        <f t="shared" si="111"/>
        <v>0</v>
      </c>
      <c r="AG90" s="386">
        <f t="shared" si="112"/>
        <v>0</v>
      </c>
      <c r="AH90" s="386">
        <f t="shared" si="113"/>
        <v>0</v>
      </c>
      <c r="AI90" s="386">
        <f t="shared" si="114"/>
        <v>0</v>
      </c>
      <c r="AJ90" s="386">
        <f t="shared" si="115"/>
        <v>31.370427404148359</v>
      </c>
      <c r="AK90" s="386">
        <f t="shared" si="116"/>
        <v>1.8697970594859903</v>
      </c>
      <c r="AL90" s="386">
        <f t="shared" si="117"/>
        <v>3.1525337619102278</v>
      </c>
      <c r="AM90" s="386">
        <f t="shared" si="118"/>
        <v>0</v>
      </c>
      <c r="AN90" s="386">
        <f t="shared" si="119"/>
        <v>8.0223725375638146</v>
      </c>
      <c r="AO90" s="386">
        <f t="shared" si="145"/>
        <v>17.706871302749004</v>
      </c>
      <c r="AP90" s="386">
        <f t="shared" si="120"/>
        <v>0.59571325353102078</v>
      </c>
      <c r="AQ90" s="386">
        <f t="shared" si="121"/>
        <v>1.7279999999999998</v>
      </c>
      <c r="AR90" s="386">
        <f t="shared" si="122"/>
        <v>2.6380131304960974</v>
      </c>
      <c r="AS90" s="386">
        <f t="shared" si="123"/>
        <v>7.3965309390510345</v>
      </c>
      <c r="AT90" s="386">
        <f t="shared" si="124"/>
        <v>0</v>
      </c>
      <c r="AU90" s="386">
        <f t="shared" si="125"/>
        <v>0.95039999999999991</v>
      </c>
      <c r="AV90" s="386">
        <f t="shared" si="126"/>
        <v>2.952311146556827</v>
      </c>
      <c r="AW90" s="386">
        <f t="shared" si="127"/>
        <v>0.249</v>
      </c>
      <c r="AX90" s="386">
        <f t="shared" si="128"/>
        <v>0.14400000000000002</v>
      </c>
      <c r="AY90" s="386">
        <f t="shared" si="129"/>
        <v>1.2671999999999999</v>
      </c>
      <c r="AZ90" s="386">
        <f t="shared" si="130"/>
        <v>0.10439999999999998</v>
      </c>
      <c r="BA90" s="386">
        <f t="shared" si="152"/>
        <v>1.4112</v>
      </c>
      <c r="BB90" s="386">
        <f t="shared" si="153"/>
        <v>35.443269452699376</v>
      </c>
      <c r="BC90">
        <f t="shared" si="131"/>
        <v>388.79999999999995</v>
      </c>
      <c r="BD90" s="604">
        <f t="shared" si="146"/>
        <v>0.91645531702029492</v>
      </c>
      <c r="BE90" s="614">
        <f t="shared" si="132"/>
        <v>432.48182687819076</v>
      </c>
      <c r="BF90" s="614">
        <f t="shared" si="133"/>
        <v>147.58225652480488</v>
      </c>
      <c r="BG90" s="9"/>
      <c r="BH90" s="4">
        <f t="shared" si="147"/>
        <v>91.645531702029487</v>
      </c>
      <c r="BI90" s="386">
        <f t="shared" si="148"/>
        <v>34.226300218038013</v>
      </c>
      <c r="BJ90" s="386">
        <f t="shared" si="149"/>
        <v>-3.8209594818271837</v>
      </c>
      <c r="BK90" s="386">
        <f t="shared" si="134"/>
        <v>8.6496365375638149</v>
      </c>
      <c r="BL90" s="386">
        <f t="shared" si="135"/>
        <v>2.9516451304960976</v>
      </c>
      <c r="BM90" s="386">
        <f t="shared" si="150"/>
        <v>2.952311146556827</v>
      </c>
      <c r="BS90" s="18"/>
      <c r="BT90" s="19"/>
    </row>
    <row r="91" spans="1:72" x14ac:dyDescent="0.3">
      <c r="G91">
        <v>82</v>
      </c>
      <c r="H91" s="610">
        <f t="shared" si="97"/>
        <v>12</v>
      </c>
      <c r="I91" s="4" t="str">
        <f t="shared" si="98"/>
        <v>BOOST</v>
      </c>
      <c r="J91">
        <f t="shared" si="136"/>
        <v>2</v>
      </c>
      <c r="K91" s="386">
        <f t="shared" si="137"/>
        <v>8.1999999999999993</v>
      </c>
      <c r="L91" s="4">
        <f t="shared" si="99"/>
        <v>36.444444444444436</v>
      </c>
      <c r="M91" s="4">
        <f t="shared" si="151"/>
        <v>33.952352041561305</v>
      </c>
      <c r="N91" s="386">
        <f t="shared" si="100"/>
        <v>1</v>
      </c>
      <c r="O91" s="386">
        <f t="shared" si="101"/>
        <v>0.75848506783970893</v>
      </c>
      <c r="P91" s="4">
        <f t="shared" si="102"/>
        <v>4.4307445796799456</v>
      </c>
      <c r="Q91" s="4">
        <f t="shared" si="103"/>
        <v>36.466882084868828</v>
      </c>
      <c r="R91" s="386">
        <f t="shared" si="138"/>
        <v>36.463300783676161</v>
      </c>
      <c r="S91" s="386">
        <f t="shared" si="139"/>
        <v>0.99217741943544979</v>
      </c>
      <c r="T91" s="386">
        <f t="shared" si="140"/>
        <v>37.45547820311161</v>
      </c>
      <c r="U91" s="4">
        <f t="shared" si="104"/>
        <v>14.707381259911287</v>
      </c>
      <c r="V91" s="386">
        <f t="shared" si="141"/>
        <v>0.43261412704877944</v>
      </c>
      <c r="W91" s="386">
        <f t="shared" si="142"/>
        <v>0.43261412704877944</v>
      </c>
      <c r="X91" s="4">
        <f t="shared" si="105"/>
        <v>1.279045787894346</v>
      </c>
      <c r="Y91" s="386">
        <f t="shared" si="143"/>
        <v>3.2719162550605366E-3</v>
      </c>
      <c r="Z91" s="603">
        <f t="shared" si="144"/>
        <v>3.2719162550605366E-3</v>
      </c>
      <c r="AA91" s="386">
        <f t="shared" si="106"/>
        <v>36.466882084868828</v>
      </c>
      <c r="AB91" s="386">
        <f t="shared" si="107"/>
        <v>7.5800508872528445</v>
      </c>
      <c r="AC91" s="386">
        <f t="shared" si="108"/>
        <v>0</v>
      </c>
      <c r="AD91" s="386">
        <f t="shared" si="109"/>
        <v>0</v>
      </c>
      <c r="AE91" s="386">
        <f t="shared" si="110"/>
        <v>-14.689731362864395</v>
      </c>
      <c r="AF91" s="386">
        <f t="shared" si="111"/>
        <v>0</v>
      </c>
      <c r="AG91" s="386">
        <f t="shared" si="112"/>
        <v>0</v>
      </c>
      <c r="AH91" s="386">
        <f t="shared" si="113"/>
        <v>0</v>
      </c>
      <c r="AI91" s="386">
        <f t="shared" si="114"/>
        <v>0</v>
      </c>
      <c r="AJ91" s="386">
        <f t="shared" si="115"/>
        <v>31.759389857385592</v>
      </c>
      <c r="AK91" s="386">
        <f t="shared" si="116"/>
        <v>1.916451803815473</v>
      </c>
      <c r="AL91" s="386">
        <f t="shared" si="117"/>
        <v>3.1914539318103543</v>
      </c>
      <c r="AM91" s="386">
        <f t="shared" si="118"/>
        <v>0</v>
      </c>
      <c r="AN91" s="386">
        <f t="shared" si="119"/>
        <v>8.2825132131000405</v>
      </c>
      <c r="AO91" s="386">
        <f t="shared" si="145"/>
        <v>17.921346067701503</v>
      </c>
      <c r="AP91" s="386">
        <f t="shared" si="120"/>
        <v>0.61023182526880826</v>
      </c>
      <c r="AQ91" s="386">
        <f t="shared" si="121"/>
        <v>1.749333333333333</v>
      </c>
      <c r="AR91" s="386">
        <f t="shared" si="122"/>
        <v>2.6875737677726335</v>
      </c>
      <c r="AS91" s="386">
        <f t="shared" si="123"/>
        <v>7.5800508872528445</v>
      </c>
      <c r="AT91" s="386">
        <f t="shared" si="124"/>
        <v>0</v>
      </c>
      <c r="AU91" s="386">
        <f t="shared" si="125"/>
        <v>0.95039999999999991</v>
      </c>
      <c r="AV91" s="386">
        <f t="shared" si="126"/>
        <v>3.0259765323402208</v>
      </c>
      <c r="AW91" s="386">
        <f t="shared" si="127"/>
        <v>0.249</v>
      </c>
      <c r="AX91" s="386">
        <f t="shared" si="128"/>
        <v>0.14400000000000002</v>
      </c>
      <c r="AY91" s="386">
        <f t="shared" si="129"/>
        <v>1.2671999999999999</v>
      </c>
      <c r="AZ91" s="386">
        <f t="shared" si="130"/>
        <v>0.10439999999999998</v>
      </c>
      <c r="BA91" s="386">
        <f t="shared" si="152"/>
        <v>1.4112</v>
      </c>
      <c r="BB91" s="386">
        <f t="shared" si="153"/>
        <v>39.808296396763957</v>
      </c>
      <c r="BC91">
        <f t="shared" si="131"/>
        <v>393.59999999999997</v>
      </c>
      <c r="BD91" s="604">
        <f t="shared" si="146"/>
        <v>0.90815058980707319</v>
      </c>
      <c r="BE91" s="614">
        <f t="shared" si="132"/>
        <v>445.48886065500204</v>
      </c>
      <c r="BF91" s="614">
        <f t="shared" si="133"/>
        <v>150.06028838863168</v>
      </c>
      <c r="BG91" s="9"/>
      <c r="BH91" s="4">
        <f t="shared" si="147"/>
        <v>90.81505898070732</v>
      </c>
      <c r="BI91" s="386">
        <f t="shared" si="148"/>
        <v>37.45547820311161</v>
      </c>
      <c r="BJ91" s="386">
        <f t="shared" si="149"/>
        <v>-2.7692443819917205</v>
      </c>
      <c r="BK91" s="386">
        <f t="shared" si="134"/>
        <v>8.9097772131000408</v>
      </c>
      <c r="BL91" s="386">
        <f t="shared" si="135"/>
        <v>3.0012057677726336</v>
      </c>
      <c r="BM91" s="386">
        <f t="shared" si="150"/>
        <v>3.0259765323402208</v>
      </c>
      <c r="BS91" s="18"/>
      <c r="BT91" s="19"/>
    </row>
    <row r="92" spans="1:72" x14ac:dyDescent="0.3">
      <c r="G92">
        <v>83</v>
      </c>
      <c r="H92" s="610">
        <f t="shared" si="97"/>
        <v>12</v>
      </c>
      <c r="I92" s="4" t="str">
        <f t="shared" si="98"/>
        <v>BOOST</v>
      </c>
      <c r="J92">
        <f t="shared" si="136"/>
        <v>2</v>
      </c>
      <c r="K92" s="386">
        <f t="shared" si="137"/>
        <v>8.3000000000000007</v>
      </c>
      <c r="L92" s="4">
        <f t="shared" si="99"/>
        <v>36.888888888888893</v>
      </c>
      <c r="M92" s="4">
        <f t="shared" si="151"/>
        <v>34.381169677421845</v>
      </c>
      <c r="N92" s="386">
        <f t="shared" si="100"/>
        <v>1</v>
      </c>
      <c r="O92" s="386">
        <f t="shared" si="101"/>
        <v>0.75858878339876201</v>
      </c>
      <c r="P92" s="4">
        <f t="shared" si="102"/>
        <v>4.429324132526065</v>
      </c>
      <c r="Q92" s="4">
        <f t="shared" si="103"/>
        <v>36.911042152893828</v>
      </c>
      <c r="R92" s="386">
        <f t="shared" si="138"/>
        <v>40.2332749849393</v>
      </c>
      <c r="S92" s="386">
        <f t="shared" si="139"/>
        <v>0.99144471403047285</v>
      </c>
      <c r="T92" s="386">
        <f t="shared" si="140"/>
        <v>41.224719698969771</v>
      </c>
      <c r="U92" s="4">
        <f t="shared" si="104"/>
        <v>14.886608065181081</v>
      </c>
      <c r="V92" s="386">
        <f t="shared" si="141"/>
        <v>0.4432221993726288</v>
      </c>
      <c r="W92" s="386">
        <f t="shared" si="142"/>
        <v>0.4432221993726288</v>
      </c>
      <c r="X92" s="4">
        <f t="shared" si="105"/>
        <v>1.2786357401210147</v>
      </c>
      <c r="Y92" s="386">
        <f t="shared" si="143"/>
        <v>3.2698187118296298E-3</v>
      </c>
      <c r="Z92" s="603">
        <f t="shared" si="144"/>
        <v>3.2698187118296298E-3</v>
      </c>
      <c r="AA92" s="386">
        <f t="shared" si="106"/>
        <v>36.911042152893828</v>
      </c>
      <c r="AB92" s="386">
        <f t="shared" si="107"/>
        <v>7.7658226870324185</v>
      </c>
      <c r="AC92" s="386">
        <f t="shared" si="108"/>
        <v>0</v>
      </c>
      <c r="AD92" s="386">
        <f t="shared" si="109"/>
        <v>0</v>
      </c>
      <c r="AE92" s="386">
        <f t="shared" si="110"/>
        <v>-14.038901921375038</v>
      </c>
      <c r="AF92" s="386">
        <f t="shared" si="111"/>
        <v>0</v>
      </c>
      <c r="AG92" s="386">
        <f t="shared" si="112"/>
        <v>0</v>
      </c>
      <c r="AH92" s="386">
        <f t="shared" si="113"/>
        <v>0</v>
      </c>
      <c r="AI92" s="386">
        <f t="shared" si="114"/>
        <v>0</v>
      </c>
      <c r="AJ92" s="386">
        <f t="shared" si="115"/>
        <v>32.148411284438431</v>
      </c>
      <c r="AK92" s="386">
        <f t="shared" si="116"/>
        <v>1.9636886614154758</v>
      </c>
      <c r="AL92" s="386">
        <f t="shared" si="117"/>
        <v>3.2303741017104821</v>
      </c>
      <c r="AM92" s="386">
        <f t="shared" si="118"/>
        <v>0</v>
      </c>
      <c r="AN92" s="386">
        <f t="shared" si="119"/>
        <v>8.5532446839712755</v>
      </c>
      <c r="AO92" s="386">
        <f t="shared" si="145"/>
        <v>18.135729505572602</v>
      </c>
      <c r="AP92" s="386">
        <f t="shared" si="120"/>
        <v>0.62491890092866365</v>
      </c>
      <c r="AQ92" s="386">
        <f t="shared" si="121"/>
        <v>1.7706666666666668</v>
      </c>
      <c r="AR92" s="386">
        <f t="shared" si="122"/>
        <v>2.737761327560102</v>
      </c>
      <c r="AS92" s="386">
        <f t="shared" si="123"/>
        <v>7.7658226870324185</v>
      </c>
      <c r="AT92" s="386">
        <f t="shared" si="124"/>
        <v>0</v>
      </c>
      <c r="AU92" s="386">
        <f t="shared" si="125"/>
        <v>0.95039999999999991</v>
      </c>
      <c r="AV92" s="386">
        <f t="shared" si="126"/>
        <v>3.1005610443402252</v>
      </c>
      <c r="AW92" s="386">
        <f t="shared" si="127"/>
        <v>0.249</v>
      </c>
      <c r="AX92" s="386">
        <f t="shared" si="128"/>
        <v>0.14400000000000002</v>
      </c>
      <c r="AY92" s="386">
        <f t="shared" si="129"/>
        <v>1.2671999999999999</v>
      </c>
      <c r="AZ92" s="386">
        <f t="shared" si="130"/>
        <v>0.10439999999999998</v>
      </c>
      <c r="BA92" s="386">
        <f t="shared" si="152"/>
        <v>1.4112</v>
      </c>
      <c r="BB92" s="386">
        <f t="shared" si="153"/>
        <v>44.634476851550794</v>
      </c>
      <c r="BC92">
        <f t="shared" si="131"/>
        <v>398.40000000000003</v>
      </c>
      <c r="BD92" s="604">
        <f t="shared" si="146"/>
        <v>0.89925281398245072</v>
      </c>
      <c r="BE92" s="614">
        <f t="shared" si="132"/>
        <v>459.0254341985638</v>
      </c>
      <c r="BF92" s="614">
        <f t="shared" si="133"/>
        <v>152.56966637800511</v>
      </c>
      <c r="BG92" s="9"/>
      <c r="BH92" s="4">
        <f t="shared" si="147"/>
        <v>89.925281398245076</v>
      </c>
      <c r="BI92" s="386">
        <f t="shared" si="148"/>
        <v>41.224719698969771</v>
      </c>
      <c r="BJ92" s="386">
        <f t="shared" si="149"/>
        <v>-1.7974959098436603</v>
      </c>
      <c r="BK92" s="386">
        <f t="shared" si="134"/>
        <v>9.1805086839712757</v>
      </c>
      <c r="BL92" s="386">
        <f t="shared" si="135"/>
        <v>3.0513933275601022</v>
      </c>
      <c r="BM92" s="386">
        <f t="shared" si="150"/>
        <v>3.1005610443402252</v>
      </c>
      <c r="BS92" s="18"/>
      <c r="BT92" s="19"/>
    </row>
    <row r="93" spans="1:72" x14ac:dyDescent="0.3">
      <c r="G93">
        <v>84</v>
      </c>
      <c r="H93" s="610">
        <f t="shared" si="97"/>
        <v>12</v>
      </c>
      <c r="I93" s="4" t="str">
        <f t="shared" si="98"/>
        <v>BOOST</v>
      </c>
      <c r="J93">
        <f t="shared" si="136"/>
        <v>2</v>
      </c>
      <c r="K93" s="386">
        <f t="shared" si="137"/>
        <v>8.4</v>
      </c>
      <c r="L93" s="4">
        <f t="shared" si="99"/>
        <v>37.333333333333336</v>
      </c>
      <c r="M93" s="4">
        <f t="shared" si="151"/>
        <v>34.810356763742107</v>
      </c>
      <c r="N93" s="386">
        <f t="shared" si="100"/>
        <v>1</v>
      </c>
      <c r="O93" s="386">
        <f t="shared" si="101"/>
        <v>0.75869250473326655</v>
      </c>
      <c r="P93" s="4">
        <f t="shared" si="102"/>
        <v>4.4279031649981651</v>
      </c>
      <c r="Q93" s="4">
        <f t="shared" si="103"/>
        <v>37.355208985017448</v>
      </c>
      <c r="R93" s="386">
        <f t="shared" si="138"/>
        <v>44.690051669198589</v>
      </c>
      <c r="S93" s="386">
        <f t="shared" si="139"/>
        <v>0.99071204671079993</v>
      </c>
      <c r="T93" s="386">
        <f t="shared" si="140"/>
        <v>45.680763715909386</v>
      </c>
      <c r="U93" s="4">
        <f t="shared" si="104"/>
        <v>15.065988236366998</v>
      </c>
      <c r="V93" s="386">
        <f t="shared" si="141"/>
        <v>0.45396800307669755</v>
      </c>
      <c r="W93" s="386">
        <f t="shared" si="142"/>
        <v>0.45396800307669755</v>
      </c>
      <c r="X93" s="4">
        <f t="shared" si="105"/>
        <v>1.2782255421286433</v>
      </c>
      <c r="Y93" s="386">
        <f t="shared" si="143"/>
        <v>3.2677210731001283E-3</v>
      </c>
      <c r="Z93" s="603">
        <f t="shared" si="144"/>
        <v>3.2677210731001283E-3</v>
      </c>
      <c r="AA93" s="386">
        <f t="shared" si="106"/>
        <v>37.355208985017448</v>
      </c>
      <c r="AB93" s="386">
        <f t="shared" si="107"/>
        <v>7.9538463383916715</v>
      </c>
      <c r="AC93" s="386">
        <f t="shared" si="108"/>
        <v>0</v>
      </c>
      <c r="AD93" s="386">
        <f t="shared" si="109"/>
        <v>0</v>
      </c>
      <c r="AE93" s="386">
        <f t="shared" si="110"/>
        <v>-13.463541137895534</v>
      </c>
      <c r="AF93" s="386">
        <f t="shared" si="111"/>
        <v>0</v>
      </c>
      <c r="AG93" s="386">
        <f t="shared" si="112"/>
        <v>0</v>
      </c>
      <c r="AH93" s="386">
        <f t="shared" si="113"/>
        <v>0</v>
      </c>
      <c r="AI93" s="386">
        <f t="shared" si="114"/>
        <v>0</v>
      </c>
      <c r="AJ93" s="386">
        <f t="shared" si="115"/>
        <v>32.53749146763851</v>
      </c>
      <c r="AK93" s="386">
        <f t="shared" si="116"/>
        <v>2.0115078669126327</v>
      </c>
      <c r="AL93" s="386">
        <f t="shared" si="117"/>
        <v>3.2692942716106077</v>
      </c>
      <c r="AM93" s="386">
        <f t="shared" si="118"/>
        <v>0</v>
      </c>
      <c r="AN93" s="386">
        <f t="shared" si="119"/>
        <v>8.8352284418893916</v>
      </c>
      <c r="AO93" s="386">
        <f t="shared" si="145"/>
        <v>18.350021452512788</v>
      </c>
      <c r="AP93" s="386">
        <f t="shared" si="120"/>
        <v>0.63977424588459109</v>
      </c>
      <c r="AQ93" s="386">
        <f t="shared" si="121"/>
        <v>1.7920000000000003</v>
      </c>
      <c r="AR93" s="386">
        <f t="shared" si="122"/>
        <v>2.788587544566191</v>
      </c>
      <c r="AS93" s="386">
        <f t="shared" si="123"/>
        <v>7.9538463383916715</v>
      </c>
      <c r="AT93" s="386">
        <f t="shared" si="124"/>
        <v>0</v>
      </c>
      <c r="AU93" s="386">
        <f t="shared" si="125"/>
        <v>0.95039999999999991</v>
      </c>
      <c r="AV93" s="386">
        <f t="shared" si="126"/>
        <v>3.1760650530199466</v>
      </c>
      <c r="AW93" s="386">
        <f t="shared" si="127"/>
        <v>0.249</v>
      </c>
      <c r="AX93" s="386">
        <f t="shared" si="128"/>
        <v>0.14400000000000002</v>
      </c>
      <c r="AY93" s="386">
        <f t="shared" si="129"/>
        <v>1.2671999999999999</v>
      </c>
      <c r="AZ93" s="386">
        <f t="shared" si="130"/>
        <v>0.10439999999999998</v>
      </c>
      <c r="BA93" s="386">
        <f t="shared" si="152"/>
        <v>1.4112</v>
      </c>
      <c r="BB93" s="386">
        <f t="shared" si="153"/>
        <v>50.084939341639185</v>
      </c>
      <c r="BC93">
        <f t="shared" si="131"/>
        <v>403.20000000000005</v>
      </c>
      <c r="BD93" s="604">
        <f t="shared" si="146"/>
        <v>0.88950672084013283</v>
      </c>
      <c r="BE93" s="614">
        <f t="shared" si="132"/>
        <v>473.1246220944696</v>
      </c>
      <c r="BF93" s="614">
        <f t="shared" si="133"/>
        <v>155.11097722830957</v>
      </c>
      <c r="BG93" s="9"/>
      <c r="BH93" s="4">
        <f t="shared" si="147"/>
        <v>88.950672084013277</v>
      </c>
      <c r="BI93" s="386">
        <f t="shared" si="148"/>
        <v>45.680763715909386</v>
      </c>
      <c r="BJ93" s="386">
        <f t="shared" si="149"/>
        <v>-0.88932515143995183</v>
      </c>
      <c r="BK93" s="386">
        <f t="shared" si="134"/>
        <v>9.4624924418893919</v>
      </c>
      <c r="BL93" s="386">
        <f t="shared" si="135"/>
        <v>3.1022195445661911</v>
      </c>
      <c r="BM93" s="386">
        <f t="shared" si="150"/>
        <v>3.1760650530199466</v>
      </c>
      <c r="BS93" s="18"/>
      <c r="BT93" s="19"/>
    </row>
    <row r="94" spans="1:72" x14ac:dyDescent="0.3">
      <c r="G94">
        <v>85</v>
      </c>
      <c r="H94" s="610">
        <f t="shared" si="97"/>
        <v>12</v>
      </c>
      <c r="I94" s="4" t="str">
        <f t="shared" si="98"/>
        <v>BOOST</v>
      </c>
      <c r="J94">
        <f t="shared" si="136"/>
        <v>2</v>
      </c>
      <c r="K94" s="386">
        <f t="shared" si="137"/>
        <v>8.5</v>
      </c>
      <c r="L94" s="4">
        <f t="shared" si="99"/>
        <v>37.777777777777779</v>
      </c>
      <c r="M94" s="4">
        <f t="shared" si="151"/>
        <v>35.239913808030472</v>
      </c>
      <c r="N94" s="386">
        <f t="shared" si="100"/>
        <v>1</v>
      </c>
      <c r="O94" s="386">
        <f t="shared" si="101"/>
        <v>0.75879623184370504</v>
      </c>
      <c r="P94" s="4">
        <f t="shared" si="102"/>
        <v>4.4264816770527791</v>
      </c>
      <c r="Q94" s="4">
        <f t="shared" si="103"/>
        <v>37.79938234279674</v>
      </c>
      <c r="R94" s="386">
        <f t="shared" si="138"/>
        <v>50.038852599350285</v>
      </c>
      <c r="S94" s="386">
        <f t="shared" si="139"/>
        <v>0.98997941776091791</v>
      </c>
      <c r="T94" s="386">
        <f t="shared" si="140"/>
        <v>51.028832017111206</v>
      </c>
      <c r="U94" s="4">
        <f t="shared" si="104"/>
        <v>15.245520136380646</v>
      </c>
      <c r="V94" s="386">
        <f t="shared" si="141"/>
        <v>0.46485176845757553</v>
      </c>
      <c r="W94" s="386">
        <f t="shared" si="142"/>
        <v>0.46485176845757553</v>
      </c>
      <c r="X94" s="4">
        <f t="shared" si="105"/>
        <v>1.277815193904684</v>
      </c>
      <c r="Y94" s="386">
        <f t="shared" si="143"/>
        <v>3.2656233395473304E-3</v>
      </c>
      <c r="Z94" s="603">
        <f t="shared" si="144"/>
        <v>3.2656233395473304E-3</v>
      </c>
      <c r="AA94" s="386">
        <f t="shared" si="106"/>
        <v>37.79938234279674</v>
      </c>
      <c r="AB94" s="386">
        <f t="shared" si="107"/>
        <v>8.1441218413325238</v>
      </c>
      <c r="AC94" s="386">
        <f t="shared" si="108"/>
        <v>0</v>
      </c>
      <c r="AD94" s="386">
        <f t="shared" si="109"/>
        <v>0</v>
      </c>
      <c r="AE94" s="386">
        <f t="shared" si="110"/>
        <v>-12.951345800710016</v>
      </c>
      <c r="AF94" s="386">
        <f t="shared" si="111"/>
        <v>0</v>
      </c>
      <c r="AG94" s="386">
        <f t="shared" si="112"/>
        <v>0</v>
      </c>
      <c r="AH94" s="386">
        <f t="shared" si="113"/>
        <v>0</v>
      </c>
      <c r="AI94" s="386">
        <f t="shared" si="114"/>
        <v>0</v>
      </c>
      <c r="AJ94" s="386">
        <f t="shared" si="115"/>
        <v>32.926630199499385</v>
      </c>
      <c r="AK94" s="386">
        <f t="shared" si="116"/>
        <v>2.0599096549597116</v>
      </c>
      <c r="AL94" s="386">
        <f t="shared" si="117"/>
        <v>3.3082144415107337</v>
      </c>
      <c r="AM94" s="386">
        <f t="shared" si="118"/>
        <v>0</v>
      </c>
      <c r="AN94" s="386">
        <f t="shared" si="119"/>
        <v>9.1291822129310898</v>
      </c>
      <c r="AO94" s="386">
        <f t="shared" si="145"/>
        <v>18.56422175051647</v>
      </c>
      <c r="AP94" s="386">
        <f t="shared" si="120"/>
        <v>0.65479762548446263</v>
      </c>
      <c r="AQ94" s="386">
        <f t="shared" si="121"/>
        <v>1.8133333333333335</v>
      </c>
      <c r="AR94" s="386">
        <f t="shared" si="122"/>
        <v>2.8400644504998196</v>
      </c>
      <c r="AS94" s="386">
        <f t="shared" si="123"/>
        <v>8.1441218413325238</v>
      </c>
      <c r="AT94" s="386">
        <f t="shared" si="124"/>
        <v>0</v>
      </c>
      <c r="AU94" s="386">
        <f t="shared" si="125"/>
        <v>0.95039999999999991</v>
      </c>
      <c r="AV94" s="386">
        <f t="shared" si="126"/>
        <v>3.2524889288837548</v>
      </c>
      <c r="AW94" s="386">
        <f t="shared" si="127"/>
        <v>0.249</v>
      </c>
      <c r="AX94" s="386">
        <f t="shared" si="128"/>
        <v>0.14400000000000002</v>
      </c>
      <c r="AY94" s="386">
        <f t="shared" si="129"/>
        <v>1.2671999999999999</v>
      </c>
      <c r="AZ94" s="386">
        <f t="shared" si="130"/>
        <v>0.10439999999999998</v>
      </c>
      <c r="BA94" s="386">
        <f t="shared" si="152"/>
        <v>1.4112</v>
      </c>
      <c r="BB94" s="386">
        <f t="shared" si="153"/>
        <v>56.377939200512984</v>
      </c>
      <c r="BC94">
        <f t="shared" si="131"/>
        <v>408</v>
      </c>
      <c r="BD94" s="604">
        <f t="shared" si="146"/>
        <v>0.87859470822930363</v>
      </c>
      <c r="BE94" s="614">
        <f t="shared" si="132"/>
        <v>487.82231064655451</v>
      </c>
      <c r="BF94" s="614">
        <f t="shared" si="133"/>
        <v>157.68482252499098</v>
      </c>
      <c r="BG94" s="9"/>
      <c r="BH94" s="4">
        <f t="shared" si="147"/>
        <v>87.859470822930362</v>
      </c>
      <c r="BI94" s="386">
        <f t="shared" si="148"/>
        <v>51.028832017111206</v>
      </c>
      <c r="BJ94" s="386">
        <f t="shared" si="149"/>
        <v>-3.1699137279106226E-2</v>
      </c>
      <c r="BK94" s="386">
        <f t="shared" si="134"/>
        <v>9.75644621293109</v>
      </c>
      <c r="BL94" s="386">
        <f t="shared" si="135"/>
        <v>3.1536964504998197</v>
      </c>
      <c r="BM94" s="386">
        <f t="shared" si="150"/>
        <v>3.2524889288837548</v>
      </c>
      <c r="BS94" s="18"/>
      <c r="BT94" s="19"/>
    </row>
    <row r="95" spans="1:72" x14ac:dyDescent="0.3">
      <c r="G95">
        <v>86</v>
      </c>
      <c r="H95" s="610">
        <f t="shared" si="97"/>
        <v>12</v>
      </c>
      <c r="I95" s="4" t="str">
        <f t="shared" si="98"/>
        <v>BOOST</v>
      </c>
      <c r="J95">
        <f t="shared" si="136"/>
        <v>2</v>
      </c>
      <c r="K95" s="386">
        <f t="shared" si="137"/>
        <v>8.6</v>
      </c>
      <c r="L95" s="4">
        <f t="shared" si="99"/>
        <v>38.222222222222214</v>
      </c>
      <c r="M95" s="4">
        <f t="shared" si="151"/>
        <v>35.669841318725304</v>
      </c>
      <c r="N95" s="386">
        <f t="shared" si="100"/>
        <v>1</v>
      </c>
      <c r="O95" s="386">
        <f t="shared" si="101"/>
        <v>0.75889996473055998</v>
      </c>
      <c r="P95" s="4">
        <f t="shared" si="102"/>
        <v>4.4250596686464352</v>
      </c>
      <c r="Q95" s="4">
        <f t="shared" si="103"/>
        <v>38.243561998862781</v>
      </c>
      <c r="R95" s="386">
        <f t="shared" si="138"/>
        <v>56.575740874051775</v>
      </c>
      <c r="S95" s="386">
        <f t="shared" si="139"/>
        <v>0.98924682746539838</v>
      </c>
      <c r="T95" s="386">
        <f t="shared" si="140"/>
        <v>57.564987701517175</v>
      </c>
      <c r="U95" s="4">
        <f t="shared" si="104"/>
        <v>15.425202206678771</v>
      </c>
      <c r="V95" s="386">
        <f t="shared" si="141"/>
        <v>0.47587372623385521</v>
      </c>
      <c r="W95" s="386">
        <f t="shared" si="142"/>
        <v>0.47587372623385521</v>
      </c>
      <c r="X95" s="4">
        <f t="shared" si="105"/>
        <v>1.2774046954365879</v>
      </c>
      <c r="Y95" s="386">
        <f t="shared" si="143"/>
        <v>3.2635255118468836E-3</v>
      </c>
      <c r="Z95" s="603">
        <f t="shared" si="144"/>
        <v>3.2635255118468836E-3</v>
      </c>
      <c r="AA95" s="386">
        <f t="shared" si="106"/>
        <v>38.243561998862781</v>
      </c>
      <c r="AB95" s="386">
        <f t="shared" si="107"/>
        <v>8.3366491958569107</v>
      </c>
      <c r="AC95" s="386">
        <f t="shared" si="108"/>
        <v>0</v>
      </c>
      <c r="AD95" s="386">
        <f t="shared" si="109"/>
        <v>0</v>
      </c>
      <c r="AE95" s="386">
        <f t="shared" si="110"/>
        <v>-12.492546723533987</v>
      </c>
      <c r="AF95" s="386">
        <f t="shared" si="111"/>
        <v>0</v>
      </c>
      <c r="AG95" s="386">
        <f t="shared" si="112"/>
        <v>0</v>
      </c>
      <c r="AH95" s="386">
        <f t="shared" si="113"/>
        <v>0</v>
      </c>
      <c r="AI95" s="386">
        <f t="shared" si="114"/>
        <v>0</v>
      </c>
      <c r="AJ95" s="386">
        <f t="shared" si="115"/>
        <v>33.31582728212571</v>
      </c>
      <c r="AK95" s="386">
        <f t="shared" si="116"/>
        <v>2.10889426023562</v>
      </c>
      <c r="AL95" s="386">
        <f t="shared" si="117"/>
        <v>3.3471346114108593</v>
      </c>
      <c r="AM95" s="386">
        <f t="shared" si="118"/>
        <v>0</v>
      </c>
      <c r="AN95" s="386">
        <f t="shared" si="119"/>
        <v>9.4358860635985167</v>
      </c>
      <c r="AO95" s="386">
        <f t="shared" si="145"/>
        <v>18.778330247080802</v>
      </c>
      <c r="AP95" s="386">
        <f t="shared" si="120"/>
        <v>0.66998880505001646</v>
      </c>
      <c r="AQ95" s="386">
        <f t="shared" si="121"/>
        <v>1.8346666666666662</v>
      </c>
      <c r="AR95" s="386">
        <f t="shared" si="122"/>
        <v>2.8922043834872975</v>
      </c>
      <c r="AS95" s="386">
        <f t="shared" si="123"/>
        <v>8.3366491958569107</v>
      </c>
      <c r="AT95" s="386">
        <f t="shared" si="124"/>
        <v>0</v>
      </c>
      <c r="AU95" s="386">
        <f t="shared" si="125"/>
        <v>0.95039999999999991</v>
      </c>
      <c r="AV95" s="386">
        <f t="shared" si="126"/>
        <v>3.3298330424772953</v>
      </c>
      <c r="AW95" s="386">
        <f t="shared" si="127"/>
        <v>0.249</v>
      </c>
      <c r="AX95" s="386">
        <f t="shared" si="128"/>
        <v>0.14400000000000002</v>
      </c>
      <c r="AY95" s="386">
        <f t="shared" si="129"/>
        <v>1.2671999999999999</v>
      </c>
      <c r="AZ95" s="386">
        <f t="shared" si="130"/>
        <v>0.10439999999999998</v>
      </c>
      <c r="BA95" s="386">
        <f t="shared" si="152"/>
        <v>1.4112</v>
      </c>
      <c r="BB95" s="386">
        <f t="shared" si="153"/>
        <v>63.820101719292005</v>
      </c>
      <c r="BC95">
        <f t="shared" si="131"/>
        <v>412.79999999999995</v>
      </c>
      <c r="BD95" s="604">
        <f t="shared" si="146"/>
        <v>0.86609859406039236</v>
      </c>
      <c r="BE95" s="614">
        <f t="shared" si="132"/>
        <v>503.15750317992587</v>
      </c>
      <c r="BF95" s="614">
        <f t="shared" si="133"/>
        <v>160.29181917436489</v>
      </c>
      <c r="BG95" s="9"/>
      <c r="BH95" s="4">
        <f t="shared" si="147"/>
        <v>86.609859406039234</v>
      </c>
      <c r="BI95" s="386">
        <f t="shared" si="148"/>
        <v>57.564987701517175</v>
      </c>
      <c r="BJ95" s="386">
        <f t="shared" si="149"/>
        <v>0.78594372355182673</v>
      </c>
      <c r="BK95" s="386">
        <f t="shared" si="134"/>
        <v>10.063150063598517</v>
      </c>
      <c r="BL95" s="386">
        <f t="shared" si="135"/>
        <v>3.2058363834872976</v>
      </c>
      <c r="BM95" s="386">
        <f t="shared" si="150"/>
        <v>3.3298330424772953</v>
      </c>
      <c r="BS95" s="18"/>
      <c r="BT95" s="19"/>
    </row>
    <row r="96" spans="1:72" x14ac:dyDescent="0.3">
      <c r="G96">
        <v>87</v>
      </c>
      <c r="H96" s="610">
        <f t="shared" si="97"/>
        <v>12</v>
      </c>
      <c r="I96" s="4" t="str">
        <f t="shared" si="98"/>
        <v>BOOST</v>
      </c>
      <c r="J96">
        <f t="shared" si="136"/>
        <v>2</v>
      </c>
      <c r="K96" s="386">
        <f t="shared" si="137"/>
        <v>8.6999999999999993</v>
      </c>
      <c r="L96" s="4">
        <f t="shared" si="99"/>
        <v>38.666666666666664</v>
      </c>
      <c r="M96" s="4">
        <f t="shared" si="151"/>
        <v>36.100139805197045</v>
      </c>
      <c r="N96" s="386">
        <f t="shared" si="100"/>
        <v>1</v>
      </c>
      <c r="O96" s="386">
        <f t="shared" si="101"/>
        <v>0.759003703394314</v>
      </c>
      <c r="P96" s="4">
        <f t="shared" si="102"/>
        <v>4.4236371397356562</v>
      </c>
      <c r="Q96" s="4">
        <f t="shared" si="103"/>
        <v>38.687747736285303</v>
      </c>
      <c r="R96" s="386">
        <f t="shared" si="138"/>
        <v>64.744137759798591</v>
      </c>
      <c r="S96" s="386">
        <f t="shared" si="139"/>
        <v>0.98851427610889775</v>
      </c>
      <c r="T96" s="386">
        <f t="shared" si="140"/>
        <v>65.732652035907492</v>
      </c>
      <c r="U96" s="4">
        <f t="shared" si="104"/>
        <v>15.605032962911309</v>
      </c>
      <c r="V96" s="386">
        <f t="shared" si="141"/>
        <v>0.48703410754709708</v>
      </c>
      <c r="W96" s="386">
        <f t="shared" si="142"/>
        <v>0.48703410754709708</v>
      </c>
      <c r="X96" s="4">
        <f t="shared" si="105"/>
        <v>1.2769940467118037</v>
      </c>
      <c r="Y96" s="386">
        <f t="shared" si="143"/>
        <v>3.2614275906747764E-3</v>
      </c>
      <c r="Z96" s="603">
        <f t="shared" si="144"/>
        <v>3.2614275906747764E-3</v>
      </c>
      <c r="AA96" s="386">
        <f t="shared" si="106"/>
        <v>38.687747736285303</v>
      </c>
      <c r="AB96" s="386">
        <f t="shared" si="107"/>
        <v>8.5314284019667568</v>
      </c>
      <c r="AC96" s="386">
        <f t="shared" si="108"/>
        <v>0</v>
      </c>
      <c r="AD96" s="386">
        <f t="shared" si="109"/>
        <v>0</v>
      </c>
      <c r="AE96" s="386">
        <f t="shared" si="110"/>
        <v>-12.079288365602077</v>
      </c>
      <c r="AF96" s="386">
        <f t="shared" si="111"/>
        <v>0</v>
      </c>
      <c r="AG96" s="386">
        <f t="shared" si="112"/>
        <v>0</v>
      </c>
      <c r="AH96" s="386">
        <f t="shared" si="113"/>
        <v>0</v>
      </c>
      <c r="AI96" s="386">
        <f t="shared" si="114"/>
        <v>0</v>
      </c>
      <c r="AJ96" s="386">
        <f t="shared" si="115"/>
        <v>33.70508252666292</v>
      </c>
      <c r="AK96" s="386">
        <f t="shared" si="116"/>
        <v>2.1584619174454005</v>
      </c>
      <c r="AL96" s="386">
        <f t="shared" si="117"/>
        <v>3.3860547813109863</v>
      </c>
      <c r="AM96" s="386">
        <f t="shared" si="118"/>
        <v>0</v>
      </c>
      <c r="AN96" s="386">
        <f t="shared" si="119"/>
        <v>9.7561893201370626</v>
      </c>
      <c r="AO96" s="386">
        <f t="shared" si="145"/>
        <v>18.99234679488794</v>
      </c>
      <c r="AP96" s="386">
        <f t="shared" si="120"/>
        <v>0.68534754987685131</v>
      </c>
      <c r="AQ96" s="386">
        <f t="shared" si="121"/>
        <v>1.8559999999999999</v>
      </c>
      <c r="AR96" s="386">
        <f t="shared" si="122"/>
        <v>2.9450199978497875</v>
      </c>
      <c r="AS96" s="386">
        <f t="shared" si="123"/>
        <v>8.5314284019667568</v>
      </c>
      <c r="AT96" s="386">
        <f t="shared" si="124"/>
        <v>0</v>
      </c>
      <c r="AU96" s="386">
        <f t="shared" si="125"/>
        <v>0.95039999999999991</v>
      </c>
      <c r="AV96" s="386">
        <f t="shared" si="126"/>
        <v>3.4080977643874744</v>
      </c>
      <c r="AW96" s="386">
        <f t="shared" si="127"/>
        <v>0.249</v>
      </c>
      <c r="AX96" s="386">
        <f t="shared" si="128"/>
        <v>0.14400000000000002</v>
      </c>
      <c r="AY96" s="386">
        <f t="shared" si="129"/>
        <v>1.2671999999999999</v>
      </c>
      <c r="AZ96" s="386">
        <f t="shared" si="130"/>
        <v>0.10439999999999998</v>
      </c>
      <c r="BA96" s="386">
        <f t="shared" si="152"/>
        <v>1.4112</v>
      </c>
      <c r="BB96" s="386">
        <f t="shared" si="153"/>
        <v>72.863566287817505</v>
      </c>
      <c r="BC96">
        <f t="shared" si="131"/>
        <v>417.59999999999997</v>
      </c>
      <c r="BD96" s="604">
        <f t="shared" si="146"/>
        <v>0.85143939061712248</v>
      </c>
      <c r="BE96" s="614">
        <f t="shared" si="132"/>
        <v>519.17266600685309</v>
      </c>
      <c r="BF96" s="614">
        <f t="shared" si="133"/>
        <v>162.93259989248938</v>
      </c>
      <c r="BG96" s="9"/>
      <c r="BH96" s="4">
        <f t="shared" si="147"/>
        <v>85.143939061712246</v>
      </c>
      <c r="BI96" s="386">
        <f t="shared" si="148"/>
        <v>65.732652035907492</v>
      </c>
      <c r="BJ96" s="386">
        <f t="shared" si="149"/>
        <v>1.5723209523847734</v>
      </c>
      <c r="BK96" s="386">
        <f t="shared" si="134"/>
        <v>10.383453320137063</v>
      </c>
      <c r="BL96" s="386">
        <f t="shared" si="135"/>
        <v>3.2586519978497877</v>
      </c>
      <c r="BM96" s="386">
        <f t="shared" si="150"/>
        <v>3.4080977643874744</v>
      </c>
      <c r="BS96" s="18"/>
      <c r="BT96" s="19"/>
    </row>
    <row r="97" spans="7:72" x14ac:dyDescent="0.3">
      <c r="G97">
        <v>88</v>
      </c>
      <c r="H97" s="610">
        <f t="shared" si="97"/>
        <v>12</v>
      </c>
      <c r="I97" s="4" t="str">
        <f t="shared" si="98"/>
        <v>BOOST</v>
      </c>
      <c r="J97">
        <f t="shared" si="136"/>
        <v>2</v>
      </c>
      <c r="K97" s="386">
        <f t="shared" si="137"/>
        <v>8.8000000000000007</v>
      </c>
      <c r="L97" s="4">
        <f t="shared" si="99"/>
        <v>39.111111111111114</v>
      </c>
      <c r="M97" s="4">
        <f t="shared" si="151"/>
        <v>36.530809777750378</v>
      </c>
      <c r="N97" s="386">
        <f t="shared" si="100"/>
        <v>1</v>
      </c>
      <c r="O97" s="386">
        <f t="shared" si="101"/>
        <v>0.75910744783544959</v>
      </c>
      <c r="P97" s="4">
        <f t="shared" si="102"/>
        <v>4.4222140902769596</v>
      </c>
      <c r="Q97" s="4">
        <f t="shared" si="103"/>
        <v>39.131939347980605</v>
      </c>
      <c r="R97" s="386">
        <f t="shared" si="138"/>
        <v>75.239530177799537</v>
      </c>
      <c r="S97" s="386">
        <f t="shared" si="139"/>
        <v>0.98778176397616257</v>
      </c>
      <c r="T97" s="386">
        <f t="shared" si="140"/>
        <v>76.227311941775696</v>
      </c>
      <c r="U97" s="4">
        <f t="shared" si="104"/>
        <v>15.785010990854593</v>
      </c>
      <c r="V97" s="386">
        <f t="shared" si="141"/>
        <v>0.4983331439628006</v>
      </c>
      <c r="W97" s="386">
        <f t="shared" si="142"/>
        <v>0.4983331439628006</v>
      </c>
      <c r="X97" s="4">
        <f t="shared" si="105"/>
        <v>1.2765832477177794</v>
      </c>
      <c r="Y97" s="386">
        <f t="shared" si="143"/>
        <v>3.2593295767073469E-3</v>
      </c>
      <c r="Z97" s="603">
        <f t="shared" si="144"/>
        <v>3.2593295767073469E-3</v>
      </c>
      <c r="AA97" s="386">
        <f t="shared" si="106"/>
        <v>39.131939347980605</v>
      </c>
      <c r="AB97" s="386">
        <f t="shared" si="107"/>
        <v>8.728459459663986</v>
      </c>
      <c r="AC97" s="386">
        <f t="shared" si="108"/>
        <v>0</v>
      </c>
      <c r="AD97" s="386">
        <f t="shared" si="109"/>
        <v>0</v>
      </c>
      <c r="AE97" s="386">
        <f t="shared" si="110"/>
        <v>-11.705182199366874</v>
      </c>
      <c r="AF97" s="386">
        <f t="shared" si="111"/>
        <v>0</v>
      </c>
      <c r="AG97" s="386">
        <f t="shared" si="112"/>
        <v>0</v>
      </c>
      <c r="AH97" s="386">
        <f t="shared" si="113"/>
        <v>0</v>
      </c>
      <c r="AI97" s="386">
        <f t="shared" si="114"/>
        <v>0</v>
      </c>
      <c r="AJ97" s="386">
        <f t="shared" si="115"/>
        <v>34.094395752784564</v>
      </c>
      <c r="AK97" s="386">
        <f t="shared" si="116"/>
        <v>2.2086128613202387</v>
      </c>
      <c r="AL97" s="386">
        <f t="shared" si="117"/>
        <v>3.4249749512111127</v>
      </c>
      <c r="AM97" s="386">
        <f t="shared" si="118"/>
        <v>0</v>
      </c>
      <c r="AN97" s="386">
        <f t="shared" si="119"/>
        <v>10.091018430349044</v>
      </c>
      <c r="AO97" s="386">
        <f t="shared" si="145"/>
        <v>19.206271251508937</v>
      </c>
      <c r="AP97" s="386">
        <f t="shared" si="120"/>
        <v>0.70087362523442343</v>
      </c>
      <c r="AQ97" s="386">
        <f t="shared" si="121"/>
        <v>1.8773333333333335</v>
      </c>
      <c r="AR97" s="386">
        <f t="shared" si="122"/>
        <v>2.9985242742583273</v>
      </c>
      <c r="AS97" s="386">
        <f t="shared" si="123"/>
        <v>8.728459459663986</v>
      </c>
      <c r="AT97" s="386">
        <f t="shared" si="124"/>
        <v>0</v>
      </c>
      <c r="AU97" s="386">
        <f t="shared" si="125"/>
        <v>0.95039999999999991</v>
      </c>
      <c r="AV97" s="386">
        <f t="shared" si="126"/>
        <v>3.4872834652424824</v>
      </c>
      <c r="AW97" s="386">
        <f t="shared" si="127"/>
        <v>0.249</v>
      </c>
      <c r="AX97" s="386">
        <f t="shared" si="128"/>
        <v>0.14400000000000002</v>
      </c>
      <c r="AY97" s="386">
        <f t="shared" si="129"/>
        <v>1.2671999999999999</v>
      </c>
      <c r="AZ97" s="386">
        <f t="shared" si="130"/>
        <v>0.10439999999999998</v>
      </c>
      <c r="BA97" s="386">
        <f t="shared" si="152"/>
        <v>1.4112</v>
      </c>
      <c r="BB97" s="386">
        <f t="shared" si="153"/>
        <v>84.211148385798168</v>
      </c>
      <c r="BC97">
        <f t="shared" si="131"/>
        <v>422.40000000000003</v>
      </c>
      <c r="BD97" s="604">
        <f t="shared" si="146"/>
        <v>0.83377557194681184</v>
      </c>
      <c r="BE97" s="614">
        <f t="shared" si="132"/>
        <v>535.91412151745214</v>
      </c>
      <c r="BF97" s="614">
        <f t="shared" si="133"/>
        <v>165.60781371291637</v>
      </c>
      <c r="BG97" s="9"/>
      <c r="BH97" s="4">
        <f t="shared" si="147"/>
        <v>83.377557194681188</v>
      </c>
      <c r="BI97" s="386">
        <f t="shared" si="148"/>
        <v>76.227311941775696</v>
      </c>
      <c r="BJ97" s="386">
        <f t="shared" si="149"/>
        <v>2.3347605052404967</v>
      </c>
      <c r="BK97" s="386">
        <f t="shared" si="134"/>
        <v>10.718282430349044</v>
      </c>
      <c r="BL97" s="386">
        <f t="shared" si="135"/>
        <v>3.3121562742583275</v>
      </c>
      <c r="BM97" s="386">
        <f t="shared" si="150"/>
        <v>3.4872834652424824</v>
      </c>
      <c r="BS97" s="18"/>
      <c r="BT97" s="19"/>
    </row>
    <row r="98" spans="7:72" x14ac:dyDescent="0.3">
      <c r="G98">
        <v>89</v>
      </c>
      <c r="H98" s="610">
        <f t="shared" si="97"/>
        <v>12</v>
      </c>
      <c r="I98" s="4" t="str">
        <f t="shared" si="98"/>
        <v>BOOST</v>
      </c>
      <c r="J98">
        <f t="shared" si="136"/>
        <v>2</v>
      </c>
      <c r="K98" s="386">
        <f t="shared" si="137"/>
        <v>8.9</v>
      </c>
      <c r="L98" s="4">
        <f t="shared" si="99"/>
        <v>39.555555555555557</v>
      </c>
      <c r="M98" s="4">
        <f t="shared" si="151"/>
        <v>36.961851747626348</v>
      </c>
      <c r="N98" s="386">
        <f t="shared" si="100"/>
        <v>1</v>
      </c>
      <c r="O98" s="386">
        <f t="shared" si="101"/>
        <v>0.75921119805444948</v>
      </c>
      <c r="P98" s="4">
        <f t="shared" si="102"/>
        <v>4.4207905202268618</v>
      </c>
      <c r="Q98" s="4">
        <f t="shared" si="103"/>
        <v>39.576136636159326</v>
      </c>
      <c r="R98" s="386">
        <f t="shared" si="138"/>
        <v>89.218249890759878</v>
      </c>
      <c r="S98" s="386">
        <f t="shared" si="139"/>
        <v>0.98704929135202002</v>
      </c>
      <c r="T98" s="386">
        <f t="shared" si="140"/>
        <v>90.205299182111901</v>
      </c>
      <c r="U98" s="4">
        <f t="shared" si="104"/>
        <v>15.965134942608152</v>
      </c>
      <c r="V98" s="386">
        <f t="shared" si="141"/>
        <v>0.50977106747137557</v>
      </c>
      <c r="W98" s="386">
        <f t="shared" si="142"/>
        <v>0.50977106747137557</v>
      </c>
      <c r="X98" s="4">
        <f t="shared" si="105"/>
        <v>1.2761722984419623</v>
      </c>
      <c r="Y98" s="386">
        <f t="shared" si="143"/>
        <v>3.2572314706212822E-3</v>
      </c>
      <c r="Z98" s="603">
        <f t="shared" si="144"/>
        <v>3.2572314706212822E-3</v>
      </c>
      <c r="AA98" s="386">
        <f t="shared" si="106"/>
        <v>39.576136636159326</v>
      </c>
      <c r="AB98" s="386">
        <f t="shared" si="107"/>
        <v>8.9277423689505291</v>
      </c>
      <c r="AC98" s="386">
        <f t="shared" si="108"/>
        <v>0</v>
      </c>
      <c r="AD98" s="386">
        <f t="shared" si="109"/>
        <v>0</v>
      </c>
      <c r="AE98" s="386">
        <f t="shared" si="110"/>
        <v>-11.364979586652439</v>
      </c>
      <c r="AF98" s="386">
        <f t="shared" si="111"/>
        <v>0</v>
      </c>
      <c r="AG98" s="386">
        <f t="shared" si="112"/>
        <v>0</v>
      </c>
      <c r="AH98" s="386">
        <f t="shared" si="113"/>
        <v>0</v>
      </c>
      <c r="AI98" s="386">
        <f t="shared" si="114"/>
        <v>0</v>
      </c>
      <c r="AJ98" s="386">
        <f t="shared" si="115"/>
        <v>34.483766788213984</v>
      </c>
      <c r="AK98" s="386">
        <f t="shared" si="116"/>
        <v>2.2593473266174664</v>
      </c>
      <c r="AL98" s="386">
        <f t="shared" si="117"/>
        <v>3.4638951211112388</v>
      </c>
      <c r="AM98" s="386">
        <f t="shared" si="118"/>
        <v>0</v>
      </c>
      <c r="AN98" s="386">
        <f t="shared" si="119"/>
        <v>10.441385921159132</v>
      </c>
      <c r="AO98" s="386">
        <f t="shared" si="145"/>
        <v>19.420103479127565</v>
      </c>
      <c r="AP98" s="386">
        <f t="shared" si="120"/>
        <v>0.71656679636604292</v>
      </c>
      <c r="AQ98" s="386">
        <f t="shared" si="121"/>
        <v>1.8986666666666667</v>
      </c>
      <c r="AR98" s="386">
        <f t="shared" si="122"/>
        <v>3.052730530283525</v>
      </c>
      <c r="AS98" s="386">
        <f t="shared" si="123"/>
        <v>8.9277423689505291</v>
      </c>
      <c r="AT98" s="386">
        <f t="shared" si="124"/>
        <v>0</v>
      </c>
      <c r="AU98" s="386">
        <f t="shared" si="125"/>
        <v>0.95039999999999991</v>
      </c>
      <c r="AV98" s="386">
        <f t="shared" si="126"/>
        <v>3.5673905157117893</v>
      </c>
      <c r="AW98" s="386">
        <f t="shared" si="127"/>
        <v>0.249</v>
      </c>
      <c r="AX98" s="386">
        <f t="shared" si="128"/>
        <v>0.14400000000000002</v>
      </c>
      <c r="AY98" s="386">
        <f t="shared" si="129"/>
        <v>1.2671999999999999</v>
      </c>
      <c r="AZ98" s="386">
        <f t="shared" si="130"/>
        <v>0.10439999999999998</v>
      </c>
      <c r="BA98" s="386">
        <f t="shared" si="152"/>
        <v>1.4112</v>
      </c>
      <c r="BB98" s="386">
        <f t="shared" si="153"/>
        <v>99.0254548615559</v>
      </c>
      <c r="BC98">
        <f t="shared" si="131"/>
        <v>427.20000000000005</v>
      </c>
      <c r="BD98" s="604">
        <f t="shared" si="146"/>
        <v>0.81181933723139943</v>
      </c>
      <c r="BE98" s="614">
        <f t="shared" si="132"/>
        <v>553.43249605795654</v>
      </c>
      <c r="BF98" s="614">
        <f t="shared" si="133"/>
        <v>168.31812651417627</v>
      </c>
      <c r="BG98" s="9"/>
      <c r="BH98" s="4">
        <f t="shared" si="147"/>
        <v>81.181933723139949</v>
      </c>
      <c r="BI98" s="386">
        <f t="shared" si="148"/>
        <v>90.205299182111901</v>
      </c>
      <c r="BJ98" s="386">
        <f t="shared" si="149"/>
        <v>3.0795368647902182</v>
      </c>
      <c r="BK98" s="386">
        <f t="shared" si="134"/>
        <v>11.068649921159132</v>
      </c>
      <c r="BL98" s="386">
        <f t="shared" si="135"/>
        <v>3.3663625302835252</v>
      </c>
      <c r="BM98" s="386">
        <f t="shared" si="150"/>
        <v>3.5673905157117893</v>
      </c>
      <c r="BS98" s="18"/>
      <c r="BT98" s="19"/>
    </row>
    <row r="99" spans="7:72" x14ac:dyDescent="0.3">
      <c r="G99">
        <v>90</v>
      </c>
      <c r="H99" s="610">
        <f t="shared" si="97"/>
        <v>12</v>
      </c>
      <c r="I99" s="4" t="str">
        <f t="shared" si="98"/>
        <v>BOOST</v>
      </c>
      <c r="J99">
        <f t="shared" si="136"/>
        <v>2</v>
      </c>
      <c r="K99" s="386">
        <f t="shared" si="137"/>
        <v>9</v>
      </c>
      <c r="L99" s="4">
        <f t="shared" si="99"/>
        <v>40</v>
      </c>
      <c r="M99" s="4">
        <f t="shared" si="151"/>
        <v>37.393266227004517</v>
      </c>
      <c r="N99" s="386">
        <f t="shared" si="100"/>
        <v>1</v>
      </c>
      <c r="O99" s="386">
        <f t="shared" si="101"/>
        <v>0.75931495405179616</v>
      </c>
      <c r="P99" s="4">
        <f t="shared" si="102"/>
        <v>4.4193664295418689</v>
      </c>
      <c r="Q99" s="4">
        <f t="shared" si="103"/>
        <v>40.020339411810923</v>
      </c>
      <c r="R99" s="386">
        <f t="shared" si="138"/>
        <v>108.75496441708165</v>
      </c>
      <c r="S99" s="386">
        <f t="shared" si="139"/>
        <v>0.98631685852138629</v>
      </c>
      <c r="T99" s="386">
        <f t="shared" si="140"/>
        <v>109.74128127560304</v>
      </c>
      <c r="U99" s="4">
        <f t="shared" si="104"/>
        <v>16.145403533035612</v>
      </c>
      <c r="V99" s="386">
        <f t="shared" si="141"/>
        <v>0.52134811048911767</v>
      </c>
      <c r="W99" s="386">
        <f t="shared" si="142"/>
        <v>0.52134811048911767</v>
      </c>
      <c r="X99" s="4">
        <f t="shared" si="105"/>
        <v>1.2757611988717967</v>
      </c>
      <c r="Y99" s="386">
        <f t="shared" si="143"/>
        <v>3.255133273093608E-3</v>
      </c>
      <c r="Z99" s="603">
        <f t="shared" si="144"/>
        <v>3.255133273093608E-3</v>
      </c>
      <c r="AA99" s="386">
        <f t="shared" si="106"/>
        <v>40.020339411810923</v>
      </c>
      <c r="AB99" s="386">
        <f t="shared" si="107"/>
        <v>9.1292771298283153</v>
      </c>
      <c r="AC99" s="386">
        <f t="shared" si="108"/>
        <v>0</v>
      </c>
      <c r="AD99" s="386">
        <f t="shared" si="109"/>
        <v>0</v>
      </c>
      <c r="AE99" s="386">
        <f t="shared" si="110"/>
        <v>-11.054328448776079</v>
      </c>
      <c r="AF99" s="386">
        <f t="shared" si="111"/>
        <v>0</v>
      </c>
      <c r="AG99" s="386">
        <f t="shared" si="112"/>
        <v>0</v>
      </c>
      <c r="AH99" s="386">
        <f t="shared" si="113"/>
        <v>0</v>
      </c>
      <c r="AI99" s="386">
        <f t="shared" si="114"/>
        <v>0</v>
      </c>
      <c r="AJ99" s="386">
        <f t="shared" si="115"/>
        <v>34.873195468277913</v>
      </c>
      <c r="AK99" s="386">
        <f t="shared" si="116"/>
        <v>2.3106655481205665</v>
      </c>
      <c r="AL99" s="386">
        <f t="shared" si="117"/>
        <v>3.5028152910113652</v>
      </c>
      <c r="AM99" s="386">
        <f t="shared" si="118"/>
        <v>0</v>
      </c>
      <c r="AN99" s="386">
        <f t="shared" si="119"/>
        <v>10.808400634345048</v>
      </c>
      <c r="AO99" s="386">
        <f t="shared" si="145"/>
        <v>19.633843344282521</v>
      </c>
      <c r="AP99" s="386">
        <f t="shared" si="120"/>
        <v>0.73242682848887142</v>
      </c>
      <c r="AQ99" s="386">
        <f t="shared" si="121"/>
        <v>1.92</v>
      </c>
      <c r="AR99" s="386">
        <f t="shared" si="122"/>
        <v>3.1076524313579128</v>
      </c>
      <c r="AS99" s="386">
        <f t="shared" si="123"/>
        <v>9.1292771298283153</v>
      </c>
      <c r="AT99" s="386">
        <f t="shared" si="124"/>
        <v>0</v>
      </c>
      <c r="AU99" s="386">
        <f t="shared" si="125"/>
        <v>0.95039999999999991</v>
      </c>
      <c r="AV99" s="386">
        <f t="shared" si="126"/>
        <v>3.648419286506158</v>
      </c>
      <c r="AW99" s="386">
        <f t="shared" si="127"/>
        <v>0.249</v>
      </c>
      <c r="AX99" s="386">
        <f t="shared" si="128"/>
        <v>0.14400000000000002</v>
      </c>
      <c r="AY99" s="386">
        <f t="shared" si="129"/>
        <v>1.2671999999999999</v>
      </c>
      <c r="AZ99" s="386">
        <f t="shared" si="130"/>
        <v>0.10439999999999998</v>
      </c>
      <c r="BA99" s="386">
        <f t="shared" si="152"/>
        <v>1.4112</v>
      </c>
      <c r="BB99" s="386">
        <f t="shared" si="153"/>
        <v>119.38662842279828</v>
      </c>
      <c r="BC99">
        <f t="shared" si="131"/>
        <v>432</v>
      </c>
      <c r="BD99" s="604">
        <f t="shared" si="146"/>
        <v>0.78347928246955301</v>
      </c>
      <c r="BE99" s="614">
        <f t="shared" si="132"/>
        <v>571.78323171725242</v>
      </c>
      <c r="BF99" s="614">
        <f t="shared" si="133"/>
        <v>171.06422156789566</v>
      </c>
      <c r="BG99" s="9"/>
      <c r="BH99" s="4">
        <f t="shared" si="147"/>
        <v>78.347928246955306</v>
      </c>
      <c r="BI99" s="386">
        <f t="shared" si="148"/>
        <v>109.74128127560304</v>
      </c>
      <c r="BJ99" s="386">
        <f t="shared" si="149"/>
        <v>3.8121246169268819</v>
      </c>
      <c r="BK99" s="386">
        <f t="shared" si="134"/>
        <v>11.435664634345049</v>
      </c>
      <c r="BL99" s="386">
        <f t="shared" si="135"/>
        <v>3.4212844313579129</v>
      </c>
      <c r="BM99" s="386">
        <f t="shared" si="150"/>
        <v>3.648419286506158</v>
      </c>
      <c r="BS99" s="18"/>
      <c r="BT99" s="19"/>
    </row>
    <row r="100" spans="7:72" x14ac:dyDescent="0.3">
      <c r="G100">
        <v>91</v>
      </c>
      <c r="H100" s="610">
        <f t="shared" si="97"/>
        <v>12</v>
      </c>
      <c r="I100" s="4" t="str">
        <f t="shared" si="98"/>
        <v>BOOST</v>
      </c>
      <c r="J100">
        <f t="shared" si="136"/>
        <v>2</v>
      </c>
      <c r="K100" s="386">
        <f t="shared" si="137"/>
        <v>9.1</v>
      </c>
      <c r="L100" s="4">
        <f t="shared" si="99"/>
        <v>40.444444444444436</v>
      </c>
      <c r="M100" s="4">
        <f t="shared" si="151"/>
        <v>37.825053729005177</v>
      </c>
      <c r="N100" s="386">
        <f t="shared" si="100"/>
        <v>1</v>
      </c>
      <c r="O100" s="386">
        <f t="shared" si="101"/>
        <v>0.7594187158279726</v>
      </c>
      <c r="P100" s="4">
        <f t="shared" si="102"/>
        <v>4.4179418181784849</v>
      </c>
      <c r="Q100" s="4">
        <f t="shared" si="103"/>
        <v>40.464547494222067</v>
      </c>
      <c r="R100" s="386">
        <f t="shared" si="138"/>
        <v>137.98017294568882</v>
      </c>
      <c r="S100" s="386">
        <f t="shared" si="139"/>
        <v>0.98558446576926317</v>
      </c>
      <c r="T100" s="386">
        <f t="shared" si="140"/>
        <v>138.96575741145807</v>
      </c>
      <c r="U100" s="4">
        <f t="shared" si="104"/>
        <v>16.325815536431662</v>
      </c>
      <c r="V100" s="386">
        <f t="shared" si="141"/>
        <v>0.53306450585918685</v>
      </c>
      <c r="W100" s="386">
        <f t="shared" si="142"/>
        <v>0.53306450585918685</v>
      </c>
      <c r="X100" s="4">
        <f t="shared" si="105"/>
        <v>1.2753499489947264</v>
      </c>
      <c r="Y100" s="386">
        <f t="shared" si="143"/>
        <v>3.2530349848017026E-3</v>
      </c>
      <c r="Z100" s="603">
        <f t="shared" si="144"/>
        <v>3.2530349848017026E-3</v>
      </c>
      <c r="AA100" s="386">
        <f t="shared" si="106"/>
        <v>40.464547494222067</v>
      </c>
      <c r="AB100" s="386">
        <f t="shared" si="107"/>
        <v>9.3330637422992755</v>
      </c>
      <c r="AC100" s="386">
        <f t="shared" si="108"/>
        <v>0</v>
      </c>
      <c r="AD100" s="386">
        <f t="shared" si="109"/>
        <v>0</v>
      </c>
      <c r="AE100" s="386">
        <f t="shared" si="110"/>
        <v>-10.769589714536286</v>
      </c>
      <c r="AF100" s="386">
        <f t="shared" si="111"/>
        <v>0</v>
      </c>
      <c r="AG100" s="386">
        <f t="shared" si="112"/>
        <v>0</v>
      </c>
      <c r="AH100" s="386">
        <f t="shared" si="113"/>
        <v>0</v>
      </c>
      <c r="AI100" s="386">
        <f t="shared" si="114"/>
        <v>0</v>
      </c>
      <c r="AJ100" s="386">
        <f t="shared" si="115"/>
        <v>35.262681635489407</v>
      </c>
      <c r="AK100" s="386">
        <f t="shared" si="116"/>
        <v>2.3625677606391755</v>
      </c>
      <c r="AL100" s="386">
        <f t="shared" si="117"/>
        <v>3.5417354609114908</v>
      </c>
      <c r="AM100" s="386">
        <f t="shared" si="118"/>
        <v>0</v>
      </c>
      <c r="AN100" s="386">
        <f t="shared" si="119"/>
        <v>11.19327945839769</v>
      </c>
      <c r="AO100" s="386">
        <f t="shared" si="145"/>
        <v>19.847490717626535</v>
      </c>
      <c r="AP100" s="386">
        <f t="shared" si="120"/>
        <v>0.74845348679391577</v>
      </c>
      <c r="AQ100" s="386">
        <f t="shared" si="121"/>
        <v>1.9413333333333329</v>
      </c>
      <c r="AR100" s="386">
        <f t="shared" si="122"/>
        <v>3.1633040021698888</v>
      </c>
      <c r="AS100" s="386">
        <f t="shared" si="123"/>
        <v>9.3330637422992755</v>
      </c>
      <c r="AT100" s="386">
        <f t="shared" si="124"/>
        <v>0</v>
      </c>
      <c r="AU100" s="386">
        <f t="shared" si="125"/>
        <v>0.95039999999999991</v>
      </c>
      <c r="AV100" s="386">
        <f t="shared" si="126"/>
        <v>3.7303701483776459</v>
      </c>
      <c r="AW100" s="386">
        <f t="shared" si="127"/>
        <v>0.249</v>
      </c>
      <c r="AX100" s="386">
        <f t="shared" si="128"/>
        <v>0.14400000000000002</v>
      </c>
      <c r="AY100" s="386">
        <f t="shared" si="129"/>
        <v>1.2671999999999999</v>
      </c>
      <c r="AZ100" s="386">
        <f t="shared" si="130"/>
        <v>0.10439999999999998</v>
      </c>
      <c r="BA100" s="386">
        <f t="shared" si="152"/>
        <v>1.4112</v>
      </c>
      <c r="BB100" s="386">
        <f t="shared" si="153"/>
        <v>149.430038846711</v>
      </c>
      <c r="BC100">
        <f t="shared" si="131"/>
        <v>436.79999999999995</v>
      </c>
      <c r="BD100" s="604">
        <f t="shared" si="146"/>
        <v>0.74509999668272819</v>
      </c>
      <c r="BE100" s="614">
        <f t="shared" si="132"/>
        <v>591.02717291988449</v>
      </c>
      <c r="BF100" s="614">
        <f t="shared" si="133"/>
        <v>173.84680010849445</v>
      </c>
      <c r="BG100" s="9"/>
      <c r="BH100" s="4">
        <f t="shared" si="147"/>
        <v>74.509999668272826</v>
      </c>
      <c r="BI100" s="386">
        <f t="shared" si="148"/>
        <v>138.96575741145807</v>
      </c>
      <c r="BJ100" s="386">
        <f t="shared" si="149"/>
        <v>4.5373937460312925</v>
      </c>
      <c r="BK100" s="386">
        <f t="shared" si="134"/>
        <v>11.82054345839769</v>
      </c>
      <c r="BL100" s="386">
        <f t="shared" si="135"/>
        <v>3.476936002169889</v>
      </c>
      <c r="BM100" s="386">
        <f t="shared" si="150"/>
        <v>3.7303701483776459</v>
      </c>
      <c r="BS100" s="18"/>
      <c r="BT100" s="19"/>
    </row>
    <row r="101" spans="7:72" x14ac:dyDescent="0.3">
      <c r="G101">
        <v>92</v>
      </c>
      <c r="H101" s="610">
        <f t="shared" si="97"/>
        <v>12</v>
      </c>
      <c r="I101" s="4" t="str">
        <f t="shared" si="98"/>
        <v>BOOST</v>
      </c>
      <c r="J101">
        <f t="shared" si="136"/>
        <v>2</v>
      </c>
      <c r="K101" s="386">
        <f t="shared" si="137"/>
        <v>9.1999999999999993</v>
      </c>
      <c r="L101" s="4">
        <f t="shared" si="99"/>
        <v>40.888888888888886</v>
      </c>
      <c r="M101" s="4">
        <f t="shared" si="151"/>
        <v>38.257214767691423</v>
      </c>
      <c r="N101" s="386">
        <f t="shared" si="100"/>
        <v>1</v>
      </c>
      <c r="O101" s="386">
        <f t="shared" si="101"/>
        <v>0.7595224833834614</v>
      </c>
      <c r="P101" s="4">
        <f t="shared" si="102"/>
        <v>4.4165166860932086</v>
      </c>
      <c r="Q101" s="4">
        <f t="shared" si="103"/>
        <v>40.908760710526451</v>
      </c>
      <c r="R101" s="386">
        <f t="shared" si="138"/>
        <v>186.46523310099019</v>
      </c>
      <c r="S101" s="386">
        <f t="shared" si="139"/>
        <v>0.98485211338073553</v>
      </c>
      <c r="T101" s="386">
        <f t="shared" si="140"/>
        <v>187.45008521437092</v>
      </c>
      <c r="U101" s="4">
        <f t="shared" si="104"/>
        <v>16.506369783398565</v>
      </c>
      <c r="V101" s="386">
        <f t="shared" si="141"/>
        <v>0.54492048685258632</v>
      </c>
      <c r="W101" s="386">
        <f t="shared" si="142"/>
        <v>0.54492048685258632</v>
      </c>
      <c r="X101" s="4">
        <f t="shared" si="105"/>
        <v>1.2749385487981941</v>
      </c>
      <c r="Y101" s="386">
        <f t="shared" si="143"/>
        <v>3.2509366064232908E-3</v>
      </c>
      <c r="Z101" s="603">
        <f t="shared" si="144"/>
        <v>3.2509366064232908E-3</v>
      </c>
      <c r="AA101" s="386">
        <f t="shared" si="106"/>
        <v>40.908760710526451</v>
      </c>
      <c r="AB101" s="386">
        <f t="shared" si="107"/>
        <v>9.5391022063653423</v>
      </c>
      <c r="AC101" s="386">
        <f t="shared" si="108"/>
        <v>0</v>
      </c>
      <c r="AD101" s="386">
        <f t="shared" si="109"/>
        <v>0</v>
      </c>
      <c r="AE101" s="386">
        <f t="shared" si="110"/>
        <v>-10.507697087089518</v>
      </c>
      <c r="AF101" s="386">
        <f t="shared" si="111"/>
        <v>0</v>
      </c>
      <c r="AG101" s="386">
        <f t="shared" si="112"/>
        <v>0</v>
      </c>
      <c r="AH101" s="386">
        <f t="shared" si="113"/>
        <v>0</v>
      </c>
      <c r="AI101" s="386">
        <f t="shared" si="114"/>
        <v>0</v>
      </c>
      <c r="AJ101" s="386">
        <f t="shared" si="115"/>
        <v>35.652225139157913</v>
      </c>
      <c r="AK101" s="386">
        <f t="shared" si="116"/>
        <v>2.4150541990090866</v>
      </c>
      <c r="AL101" s="386">
        <f t="shared" si="117"/>
        <v>3.5806556308116178</v>
      </c>
      <c r="AM101" s="386">
        <f t="shared" si="118"/>
        <v>0</v>
      </c>
      <c r="AN101" s="386">
        <f t="shared" si="119"/>
        <v>11.597360818014653</v>
      </c>
      <c r="AO101" s="386">
        <f t="shared" si="145"/>
        <v>20.061045473701242</v>
      </c>
      <c r="AP101" s="386">
        <f t="shared" si="120"/>
        <v>0.76464653644602731</v>
      </c>
      <c r="AQ101" s="386">
        <f t="shared" si="121"/>
        <v>1.9626666666666666</v>
      </c>
      <c r="AR101" s="386">
        <f t="shared" si="122"/>
        <v>3.2196996385092134</v>
      </c>
      <c r="AS101" s="386">
        <f t="shared" si="123"/>
        <v>9.5391022063653423</v>
      </c>
      <c r="AT101" s="386">
        <f t="shared" si="124"/>
        <v>0</v>
      </c>
      <c r="AU101" s="386">
        <f t="shared" si="125"/>
        <v>0.95039999999999991</v>
      </c>
      <c r="AV101" s="386">
        <f t="shared" si="126"/>
        <v>3.8132434721196105</v>
      </c>
      <c r="AW101" s="386">
        <f t="shared" si="127"/>
        <v>0.249</v>
      </c>
      <c r="AX101" s="386">
        <f t="shared" si="128"/>
        <v>0.14400000000000002</v>
      </c>
      <c r="AY101" s="386">
        <f t="shared" si="129"/>
        <v>1.2671999999999999</v>
      </c>
      <c r="AZ101" s="386">
        <f t="shared" si="130"/>
        <v>0.10439999999999998</v>
      </c>
      <c r="BA101" s="386">
        <f t="shared" si="152"/>
        <v>1.4112</v>
      </c>
      <c r="BB101" s="386">
        <f t="shared" si="153"/>
        <v>198.7314634793839</v>
      </c>
      <c r="BC101">
        <f t="shared" si="131"/>
        <v>441.59999999999997</v>
      </c>
      <c r="BD101" s="604">
        <f t="shared" si="146"/>
        <v>0.68964282592091897</v>
      </c>
      <c r="BE101" s="614">
        <f t="shared" si="132"/>
        <v>611.2312409007327</v>
      </c>
      <c r="BF101" s="614">
        <f t="shared" si="133"/>
        <v>176.66658192546066</v>
      </c>
      <c r="BG101" s="9"/>
      <c r="BH101" s="4">
        <f t="shared" si="147"/>
        <v>68.964282592091891</v>
      </c>
      <c r="BI101" s="386">
        <f t="shared" si="148"/>
        <v>187.45008521437092</v>
      </c>
      <c r="BJ101" s="386">
        <f t="shared" si="149"/>
        <v>5.2597633694343493</v>
      </c>
      <c r="BK101" s="386">
        <f t="shared" si="134"/>
        <v>12.224624818014654</v>
      </c>
      <c r="BL101" s="386">
        <f t="shared" si="135"/>
        <v>3.5333316385092135</v>
      </c>
      <c r="BM101" s="386">
        <f t="shared" si="150"/>
        <v>3.8132434721196105</v>
      </c>
      <c r="BS101" s="18"/>
      <c r="BT101" s="19"/>
    </row>
    <row r="102" spans="7:72" x14ac:dyDescent="0.3">
      <c r="G102">
        <v>93</v>
      </c>
      <c r="H102" s="610">
        <f t="shared" si="97"/>
        <v>12</v>
      </c>
      <c r="I102" s="4" t="str">
        <f t="shared" si="98"/>
        <v>BOOST</v>
      </c>
      <c r="J102">
        <f t="shared" si="136"/>
        <v>2</v>
      </c>
      <c r="K102" s="386">
        <f t="shared" si="137"/>
        <v>9.3000000000000007</v>
      </c>
      <c r="L102" s="4">
        <f t="shared" si="99"/>
        <v>41.333333333333336</v>
      </c>
      <c r="M102" s="4">
        <f t="shared" si="151"/>
        <v>38.689749858071394</v>
      </c>
      <c r="N102" s="386">
        <f t="shared" si="100"/>
        <v>1</v>
      </c>
      <c r="O102" s="386">
        <f t="shared" si="101"/>
        <v>0.75962625671874562</v>
      </c>
      <c r="P102" s="4">
        <f t="shared" si="102"/>
        <v>4.4150910332425362</v>
      </c>
      <c r="Q102" s="4">
        <f t="shared" si="103"/>
        <v>41.352978895283506</v>
      </c>
      <c r="R102" s="386">
        <f t="shared" si="138"/>
        <v>282.57970108565775</v>
      </c>
      <c r="S102" s="386">
        <f t="shared" si="139"/>
        <v>0.98411980164097779</v>
      </c>
      <c r="T102" s="386">
        <f t="shared" si="140"/>
        <v>283.56382088729873</v>
      </c>
      <c r="U102" s="4">
        <f t="shared" si="104"/>
        <v>16.687065157917193</v>
      </c>
      <c r="V102" s="386">
        <f t="shared" si="141"/>
        <v>0.55691628716914787</v>
      </c>
      <c r="W102" s="386">
        <f t="shared" si="142"/>
        <v>0.55691628716914787</v>
      </c>
      <c r="X102" s="4">
        <f t="shared" si="105"/>
        <v>1.2745269982696408</v>
      </c>
      <c r="Y102" s="386">
        <f t="shared" si="143"/>
        <v>3.2488381386364422E-3</v>
      </c>
      <c r="Z102" s="603">
        <f t="shared" si="144"/>
        <v>3.2488381386364422E-3</v>
      </c>
      <c r="AA102" s="386">
        <f t="shared" si="106"/>
        <v>41.352978895283506</v>
      </c>
      <c r="AB102" s="386">
        <f t="shared" si="107"/>
        <v>9.7473925220284503</v>
      </c>
      <c r="AC102" s="386">
        <f t="shared" si="108"/>
        <v>0</v>
      </c>
      <c r="AD102" s="386">
        <f t="shared" si="109"/>
        <v>0</v>
      </c>
      <c r="AE102" s="386">
        <f t="shared" si="110"/>
        <v>-10.266048653865697</v>
      </c>
      <c r="AF102" s="386">
        <f t="shared" si="111"/>
        <v>0</v>
      </c>
      <c r="AG102" s="386">
        <f t="shared" si="112"/>
        <v>0</v>
      </c>
      <c r="AH102" s="386">
        <f t="shared" si="113"/>
        <v>0</v>
      </c>
      <c r="AI102" s="386">
        <f t="shared" si="114"/>
        <v>0</v>
      </c>
      <c r="AJ102" s="386">
        <f t="shared" si="115"/>
        <v>36.041825835024497</v>
      </c>
      <c r="AK102" s="386">
        <f t="shared" si="116"/>
        <v>2.4681250980922549</v>
      </c>
      <c r="AL102" s="386">
        <f t="shared" si="117"/>
        <v>3.6195758007117442</v>
      </c>
      <c r="AM102" s="386">
        <f t="shared" si="118"/>
        <v>0</v>
      </c>
      <c r="AN102" s="386">
        <f t="shared" si="119"/>
        <v>12.022120236305854</v>
      </c>
      <c r="AO102" s="386">
        <f t="shared" si="145"/>
        <v>20.274507490726471</v>
      </c>
      <c r="AP102" s="386">
        <f t="shared" si="120"/>
        <v>0.78100574258389521</v>
      </c>
      <c r="AQ102" s="386">
        <f t="shared" si="121"/>
        <v>1.9840000000000002</v>
      </c>
      <c r="AR102" s="386">
        <f t="shared" si="122"/>
        <v>3.2768541195850132</v>
      </c>
      <c r="AS102" s="386">
        <f t="shared" si="123"/>
        <v>9.7473925220284503</v>
      </c>
      <c r="AT102" s="386">
        <f t="shared" si="124"/>
        <v>0</v>
      </c>
      <c r="AU102" s="386">
        <f t="shared" si="125"/>
        <v>0.95039999999999991</v>
      </c>
      <c r="AV102" s="386">
        <f t="shared" si="126"/>
        <v>3.8970396285667182</v>
      </c>
      <c r="AW102" s="386">
        <f t="shared" si="127"/>
        <v>0.249</v>
      </c>
      <c r="AX102" s="386">
        <f t="shared" si="128"/>
        <v>0.14400000000000002</v>
      </c>
      <c r="AY102" s="386">
        <f t="shared" si="129"/>
        <v>1.2671999999999999</v>
      </c>
      <c r="AZ102" s="386">
        <f t="shared" si="130"/>
        <v>0.10439999999999998</v>
      </c>
      <c r="BA102" s="386">
        <f t="shared" si="152"/>
        <v>1.4112</v>
      </c>
      <c r="BB102" s="386">
        <f t="shared" si="153"/>
        <v>295.66455134319847</v>
      </c>
      <c r="BC102">
        <f t="shared" si="131"/>
        <v>446.40000000000003</v>
      </c>
      <c r="BD102" s="604">
        <f t="shared" si="146"/>
        <v>0.60156491668006373</v>
      </c>
      <c r="BE102" s="614">
        <f t="shared" si="132"/>
        <v>632.46921181529274</v>
      </c>
      <c r="BF102" s="614">
        <f t="shared" si="133"/>
        <v>179.52430597925067</v>
      </c>
      <c r="BG102" s="9"/>
      <c r="BH102" s="4">
        <f t="shared" si="147"/>
        <v>60.156491668006375</v>
      </c>
      <c r="BI102" s="386">
        <f t="shared" si="148"/>
        <v>283.56382088729873</v>
      </c>
      <c r="BJ102" s="386">
        <f t="shared" si="149"/>
        <v>5.9833257020251702</v>
      </c>
      <c r="BK102" s="386">
        <f t="shared" si="134"/>
        <v>12.649384236305854</v>
      </c>
      <c r="BL102" s="386">
        <f t="shared" si="135"/>
        <v>3.5904861195850133</v>
      </c>
      <c r="BM102" s="386">
        <f t="shared" si="150"/>
        <v>3.8970396285667182</v>
      </c>
      <c r="BS102" s="18"/>
      <c r="BT102" s="19"/>
    </row>
    <row r="103" spans="7:72" x14ac:dyDescent="0.3">
      <c r="G103">
        <v>94</v>
      </c>
      <c r="H103" s="610">
        <f t="shared" si="97"/>
        <v>12</v>
      </c>
      <c r="I103" s="4" t="str">
        <f t="shared" si="98"/>
        <v>BOOST</v>
      </c>
      <c r="J103">
        <f t="shared" si="136"/>
        <v>2</v>
      </c>
      <c r="K103" s="386">
        <f t="shared" si="137"/>
        <v>9.4</v>
      </c>
      <c r="L103" s="4">
        <f t="shared" si="99"/>
        <v>41.777777777777779</v>
      </c>
      <c r="M103" s="4">
        <f t="shared" si="151"/>
        <v>39.122659516100349</v>
      </c>
      <c r="N103" s="386">
        <f t="shared" si="100"/>
        <v>1</v>
      </c>
      <c r="O103" s="386">
        <f t="shared" si="101"/>
        <v>0.75973003583430798</v>
      </c>
      <c r="P103" s="4">
        <f t="shared" si="102"/>
        <v>4.413664859582954</v>
      </c>
      <c r="Q103" s="4">
        <f t="shared" si="103"/>
        <v>41.797201890084011</v>
      </c>
      <c r="R103" s="386">
        <f t="shared" si="138"/>
        <v>564.15891578988374</v>
      </c>
      <c r="S103" s="386">
        <f t="shared" si="139"/>
        <v>0.98338753083524411</v>
      </c>
      <c r="T103" s="386">
        <f t="shared" si="140"/>
        <v>565.14230332071895</v>
      </c>
      <c r="U103" s="4">
        <f t="shared" si="104"/>
        <v>16.867900594598531</v>
      </c>
      <c r="V103" s="386">
        <f t="shared" si="141"/>
        <v>0.56905214093851497</v>
      </c>
      <c r="W103" s="386">
        <f t="shared" si="142"/>
        <v>0.56905214093851497</v>
      </c>
      <c r="X103" s="4">
        <f t="shared" si="105"/>
        <v>1.2741152973965053</v>
      </c>
      <c r="Y103" s="386">
        <f t="shared" si="143"/>
        <v>3.2467395821195702E-3</v>
      </c>
      <c r="Z103" s="603">
        <f t="shared" si="144"/>
        <v>3.2467395821195702E-3</v>
      </c>
      <c r="AA103" s="386">
        <f t="shared" si="106"/>
        <v>41.797201890084011</v>
      </c>
      <c r="AB103" s="386">
        <f t="shared" si="107"/>
        <v>9.9579346892905214</v>
      </c>
      <c r="AC103" s="386">
        <f t="shared" si="108"/>
        <v>0</v>
      </c>
      <c r="AD103" s="386">
        <f t="shared" si="109"/>
        <v>0</v>
      </c>
      <c r="AE103" s="386">
        <f t="shared" si="110"/>
        <v>-10.042422211410269</v>
      </c>
      <c r="AF103" s="386">
        <f t="shared" si="111"/>
        <v>0</v>
      </c>
      <c r="AG103" s="386">
        <f t="shared" si="112"/>
        <v>0</v>
      </c>
      <c r="AH103" s="386">
        <f t="shared" si="113"/>
        <v>0</v>
      </c>
      <c r="AI103" s="386">
        <f t="shared" si="114"/>
        <v>0</v>
      </c>
      <c r="AJ103" s="386">
        <f t="shared" si="115"/>
        <v>36.431483584920251</v>
      </c>
      <c r="AK103" s="386">
        <f t="shared" si="116"/>
        <v>2.5217806927767961</v>
      </c>
      <c r="AL103" s="386">
        <f t="shared" si="117"/>
        <v>3.6584959706118703</v>
      </c>
      <c r="AM103" s="386">
        <f t="shared" si="118"/>
        <v>0</v>
      </c>
      <c r="AN103" s="386">
        <f t="shared" si="119"/>
        <v>12.46918835103731</v>
      </c>
      <c r="AO103" s="386">
        <f t="shared" si="145"/>
        <v>20.487876650403013</v>
      </c>
      <c r="AP103" s="386">
        <f t="shared" si="120"/>
        <v>0.7975308703200451</v>
      </c>
      <c r="AQ103" s="386">
        <f t="shared" si="121"/>
        <v>2.0053333333333336</v>
      </c>
      <c r="AR103" s="386">
        <f t="shared" si="122"/>
        <v>3.3347826208384723</v>
      </c>
      <c r="AS103" s="386">
        <f t="shared" si="123"/>
        <v>9.9579346892905214</v>
      </c>
      <c r="AT103" s="386">
        <f t="shared" si="124"/>
        <v>0</v>
      </c>
      <c r="AU103" s="386">
        <f t="shared" si="125"/>
        <v>0.95039999999999991</v>
      </c>
      <c r="AV103" s="386">
        <f t="shared" si="126"/>
        <v>3.9817589885949412</v>
      </c>
      <c r="AW103" s="386">
        <f t="shared" si="127"/>
        <v>0.249</v>
      </c>
      <c r="AX103" s="386">
        <f t="shared" si="128"/>
        <v>0.14400000000000002</v>
      </c>
      <c r="AY103" s="386">
        <f t="shared" si="129"/>
        <v>1.2671999999999999</v>
      </c>
      <c r="AZ103" s="386">
        <f t="shared" si="130"/>
        <v>0.10439999999999998</v>
      </c>
      <c r="BA103" s="386">
        <f t="shared" si="152"/>
        <v>1.4112</v>
      </c>
      <c r="BB103" s="386">
        <f t="shared" si="153"/>
        <v>578.06850995030015</v>
      </c>
      <c r="BC103">
        <f t="shared" si="131"/>
        <v>451.20000000000005</v>
      </c>
      <c r="BD103" s="604">
        <f t="shared" si="146"/>
        <v>0.43836957571138263</v>
      </c>
      <c r="BE103" s="614">
        <f t="shared" si="132"/>
        <v>654.82261755186551</v>
      </c>
      <c r="BF103" s="614">
        <f t="shared" si="133"/>
        <v>182.42073104192363</v>
      </c>
      <c r="BG103" s="9"/>
      <c r="BH103" s="4">
        <f t="shared" si="147"/>
        <v>43.836957571138264</v>
      </c>
      <c r="BI103" s="386">
        <f t="shared" si="148"/>
        <v>565.14230332071895</v>
      </c>
      <c r="BJ103" s="386">
        <f t="shared" si="149"/>
        <v>6.7119487604655141</v>
      </c>
      <c r="BK103" s="386">
        <f t="shared" si="134"/>
        <v>13.096452351037311</v>
      </c>
      <c r="BL103" s="386">
        <f t="shared" si="135"/>
        <v>3.6484146208384725</v>
      </c>
      <c r="BM103" s="386">
        <f t="shared" si="150"/>
        <v>3.9817589885949412</v>
      </c>
      <c r="BS103" s="18"/>
      <c r="BT103" s="19"/>
    </row>
    <row r="104" spans="7:72" x14ac:dyDescent="0.3">
      <c r="G104">
        <v>95</v>
      </c>
      <c r="H104" s="610">
        <f t="shared" si="97"/>
        <v>12</v>
      </c>
      <c r="I104" s="4" t="str">
        <f t="shared" si="98"/>
        <v>BOOST</v>
      </c>
      <c r="J104">
        <f t="shared" si="136"/>
        <v>2</v>
      </c>
      <c r="K104" s="386">
        <f t="shared" si="137"/>
        <v>9.5</v>
      </c>
      <c r="L104" s="4">
        <f t="shared" si="99"/>
        <v>42.222222222222221</v>
      </c>
      <c r="M104" s="4">
        <f t="shared" si="151"/>
        <v>39.555944258683006</v>
      </c>
      <c r="N104" s="386">
        <f t="shared" si="100"/>
        <v>1</v>
      </c>
      <c r="O104" s="386">
        <f t="shared" si="101"/>
        <v>0.75983382073063177</v>
      </c>
      <c r="P104" s="4">
        <f t="shared" si="102"/>
        <v>4.4122381650709492</v>
      </c>
      <c r="Q104" s="4">
        <f t="shared" si="103"/>
        <v>42.241429543180608</v>
      </c>
      <c r="R104" s="386">
        <f t="shared" si="138"/>
        <v>16210.460411327778</v>
      </c>
      <c r="S104" s="386">
        <f t="shared" si="139"/>
        <v>0.98265530124888034</v>
      </c>
      <c r="T104" s="386">
        <f t="shared" si="140"/>
        <v>16211.443066629026</v>
      </c>
      <c r="U104" s="4">
        <f t="shared" si="104"/>
        <v>17.048875076103023</v>
      </c>
      <c r="V104" s="386">
        <f t="shared" si="141"/>
        <v>0.58132828272113379</v>
      </c>
      <c r="W104" s="386">
        <f t="shared" si="142"/>
        <v>0.58132828272113379</v>
      </c>
      <c r="X104" s="4">
        <f t="shared" si="105"/>
        <v>1.2737034461662267</v>
      </c>
      <c r="Y104" s="386">
        <f t="shared" si="143"/>
        <v>3.2446409375514436E-3</v>
      </c>
      <c r="Z104" s="603">
        <f t="shared" si="144"/>
        <v>3.2446409375514436E-3</v>
      </c>
      <c r="AA104" s="386">
        <f t="shared" si="106"/>
        <v>42.241429543180608</v>
      </c>
      <c r="AB104" s="386">
        <f t="shared" si="107"/>
        <v>10.170728708153502</v>
      </c>
      <c r="AC104" s="386">
        <f t="shared" si="108"/>
        <v>0</v>
      </c>
      <c r="AD104" s="386">
        <f t="shared" si="109"/>
        <v>0</v>
      </c>
      <c r="AE104" s="386">
        <f t="shared" si="110"/>
        <v>-9.8349084647544096</v>
      </c>
      <c r="AF104" s="386">
        <f t="shared" si="111"/>
        <v>0</v>
      </c>
      <c r="AG104" s="386">
        <f t="shared" si="112"/>
        <v>0</v>
      </c>
      <c r="AH104" s="386">
        <f t="shared" si="113"/>
        <v>0</v>
      </c>
      <c r="AI104" s="386">
        <f t="shared" si="114"/>
        <v>0</v>
      </c>
      <c r="AJ104" s="386">
        <f t="shared" si="115"/>
        <v>36.821198256446323</v>
      </c>
      <c r="AK104" s="386">
        <f t="shared" si="116"/>
        <v>2.576021217976999</v>
      </c>
      <c r="AL104" s="386">
        <f t="shared" si="117"/>
        <v>3.6974161405119967</v>
      </c>
      <c r="AM104" s="386">
        <f t="shared" si="118"/>
        <v>0</v>
      </c>
      <c r="AN104" s="386">
        <f t="shared" si="119"/>
        <v>12.940371848579714</v>
      </c>
      <c r="AO104" s="386">
        <f t="shared" si="145"/>
        <v>20.701152837727793</v>
      </c>
      <c r="AP104" s="386">
        <f t="shared" si="120"/>
        <v>0.81422168474083434</v>
      </c>
      <c r="AQ104" s="386">
        <f t="shared" si="121"/>
        <v>2.0266666666666668</v>
      </c>
      <c r="AR104" s="386">
        <f t="shared" si="122"/>
        <v>3.3935007272734716</v>
      </c>
      <c r="AS104" s="386">
        <f t="shared" si="123"/>
        <v>10.170728708153502</v>
      </c>
      <c r="AT104" s="386">
        <f t="shared" si="124"/>
        <v>0</v>
      </c>
      <c r="AU104" s="386">
        <f t="shared" si="125"/>
        <v>0.95039999999999991</v>
      </c>
      <c r="AV104" s="386">
        <f t="shared" si="126"/>
        <v>4.0674019231215777</v>
      </c>
      <c r="AW104" s="386">
        <f t="shared" si="127"/>
        <v>0.249</v>
      </c>
      <c r="AX104" s="386">
        <f t="shared" si="128"/>
        <v>0.14400000000000002</v>
      </c>
      <c r="AY104" s="386">
        <f t="shared" si="129"/>
        <v>1.2671999999999999</v>
      </c>
      <c r="AZ104" s="386">
        <f t="shared" si="130"/>
        <v>0.10439999999999998</v>
      </c>
      <c r="BA104" s="386">
        <f t="shared" si="152"/>
        <v>1.4112</v>
      </c>
      <c r="BB104" s="386">
        <f t="shared" si="153"/>
        <v>16225.204605586903</v>
      </c>
      <c r="BC104">
        <f t="shared" si="131"/>
        <v>456</v>
      </c>
      <c r="BD104" s="604">
        <f t="shared" si="146"/>
        <v>2.7336155318619829E-2</v>
      </c>
      <c r="BE104" s="614">
        <f t="shared" si="132"/>
        <v>678.3817924289857</v>
      </c>
      <c r="BF104" s="614">
        <f t="shared" si="133"/>
        <v>185.3566363636736</v>
      </c>
      <c r="BG104" s="9"/>
      <c r="BH104" s="4">
        <f t="shared" si="147"/>
        <v>2.7336155318619828</v>
      </c>
      <c r="BI104" s="386">
        <f t="shared" si="148"/>
        <v>16211.443066629026</v>
      </c>
      <c r="BJ104" s="386">
        <f t="shared" si="149"/>
        <v>7.4493641110987756</v>
      </c>
      <c r="BK104" s="386">
        <f t="shared" si="134"/>
        <v>13.567635848579714</v>
      </c>
      <c r="BL104" s="386">
        <f t="shared" si="135"/>
        <v>3.7071327272734718</v>
      </c>
      <c r="BM104" s="386">
        <f t="shared" si="150"/>
        <v>4.0674019231215777</v>
      </c>
      <c r="BS104" s="18"/>
      <c r="BT104" s="19"/>
    </row>
    <row r="105" spans="7:72" x14ac:dyDescent="0.3">
      <c r="G105">
        <v>96</v>
      </c>
      <c r="H105" s="610">
        <f t="shared" si="97"/>
        <v>12</v>
      </c>
      <c r="I105" s="4" t="str">
        <f t="shared" ref="I105:I109" si="154">IF(H105&gt;VIN_BB_to_buck, "BUCK", IF(H105&lt;VIN_boost_to_BB,"BOOST","BUCK-BST"))</f>
        <v>BOOST</v>
      </c>
      <c r="J105">
        <f t="shared" si="136"/>
        <v>2</v>
      </c>
      <c r="K105" s="386">
        <f t="shared" si="137"/>
        <v>9.6</v>
      </c>
      <c r="L105" s="4">
        <f t="shared" ref="L105:L109" si="155">Vout*K105/(Vin*Efficiency)</f>
        <v>42.666666666666657</v>
      </c>
      <c r="M105" s="4">
        <f t="shared" si="151"/>
        <v>39.989604603675524</v>
      </c>
      <c r="N105" s="386">
        <f t="shared" si="100"/>
        <v>1</v>
      </c>
      <c r="O105" s="386">
        <f t="shared" si="101"/>
        <v>0.75993761140819971</v>
      </c>
      <c r="P105" s="4">
        <f t="shared" ref="P105:P109" si="156">MAX(0, CHOOSE(J105, (Vin-(Rdson1+Rdcr)*K105-Vout)*N105/(Fsw*Lf), (Vin-(Rdson4+Rdcr+Rs)*L105)*O105/(Fsw*Lf), IF(Vin&lt;Vout, (Vin-(Rdson4+Rdcr+Rs)*L105)*O105/(0.5*Fsw*Lf),(Vin-(Rdson1+Rdcr)*K105-Vout)*N105/(0.5*Fsw*Lf))))</f>
        <v>4.4108109496630012</v>
      </c>
      <c r="Q105" s="4">
        <f t="shared" ref="Q105:Q109" si="157">CHOOSE(J105, SQRT(K105^2+(P105^2)/12), SQRT(L105^2+(P105^2)/12), SQRT(M105^2+(P105^2)/12))</f>
        <v>42.685661709141272</v>
      </c>
      <c r="R105" s="386">
        <f t="shared" si="138"/>
        <v>-626.54540822731053</v>
      </c>
      <c r="S105" s="386">
        <f t="shared" si="139"/>
        <v>0.98192311316731495</v>
      </c>
      <c r="T105" s="386">
        <f t="shared" si="140"/>
        <v>-625.56348511414319</v>
      </c>
      <c r="U105" s="4">
        <f t="shared" si="104"/>
        <v>17.229987630715851</v>
      </c>
      <c r="V105" s="386">
        <f t="shared" si="141"/>
        <v>0.59374494750924234</v>
      </c>
      <c r="W105" s="386">
        <f t="shared" si="142"/>
        <v>0.59374494750924234</v>
      </c>
      <c r="X105" s="4">
        <f t="shared" si="105"/>
        <v>1.2732914445662413</v>
      </c>
      <c r="Y105" s="386">
        <f t="shared" si="143"/>
        <v>3.2425422056111711E-3</v>
      </c>
      <c r="Z105" s="603">
        <f t="shared" si="144"/>
        <v>3.2425422056111711E-3</v>
      </c>
      <c r="AA105" s="386">
        <f t="shared" si="106"/>
        <v>42.685661709141272</v>
      </c>
      <c r="AB105" s="386">
        <f t="shared" ref="AB105:AB109" si="158">Rdson1*AA105^2</f>
        <v>10.385774578619321</v>
      </c>
      <c r="AC105" s="386">
        <f t="shared" si="108"/>
        <v>0</v>
      </c>
      <c r="AD105" s="386">
        <f t="shared" si="109"/>
        <v>0</v>
      </c>
      <c r="AE105" s="386">
        <f t="shared" ref="AE105:AE109" si="159">(AD105+AC105+AB105*(1+RdsonTopTc*Ta-RdsonTopTc*25))/(1-AB105*RdsonTopTc*ThetaJA_Q1)</f>
        <v>-9.6418578488683995</v>
      </c>
      <c r="AF105" s="386">
        <f t="shared" si="111"/>
        <v>0</v>
      </c>
      <c r="AG105" s="386">
        <f t="shared" ref="AG105:AG109" si="160">Rdson2*AF105^2</f>
        <v>0</v>
      </c>
      <c r="AH105" s="386">
        <f t="shared" si="113"/>
        <v>0</v>
      </c>
      <c r="AI105" s="386">
        <f t="shared" ref="AI105:AI109" si="161">(AH105+AG105*(1+RdsonBotTc*Ta-RdsonBotTc*25))/(1-AG105*RdsonBotTc*ThetaJA_Q2)</f>
        <v>0</v>
      </c>
      <c r="AJ105" s="386">
        <f t="shared" si="115"/>
        <v>37.210969722673831</v>
      </c>
      <c r="AK105" s="386">
        <f t="shared" ref="AK105:AK109" si="162">Rdson4*AJ105^2</f>
        <v>2.6308469086333219</v>
      </c>
      <c r="AL105" s="386">
        <f t="shared" si="117"/>
        <v>3.7363363104121223</v>
      </c>
      <c r="AM105" s="386">
        <f t="shared" si="118"/>
        <v>0</v>
      </c>
      <c r="AN105" s="386">
        <f t="shared" ref="AN105:AN109" si="163">(AM105+AL105+AK105*(1+RdsonTopTc*Ta-RdsonTopTc*25))/(1-AK105*RdsonTopTc*ThetaJA_Q4)</f>
        <v>13.437677882125481</v>
      </c>
      <c r="AO105" s="386">
        <f t="shared" si="145"/>
        <v>20.914335940820603</v>
      </c>
      <c r="AP105" s="386">
        <f t="shared" ref="AP105:AP109" si="164">Rdson3*AO105^2</f>
        <v>0.83107795090645087</v>
      </c>
      <c r="AQ105" s="386">
        <f t="shared" si="121"/>
        <v>2.0479999999999996</v>
      </c>
      <c r="AR105" s="386">
        <f t="shared" ref="AR105:AR109" si="165">(AQ105+AP105*(1+RdsonBotTc*Ta-RdsonBotTc*25))/(1-AP105*RdsonBotTc*ThetaJA_Q3)</f>
        <v>3.453024447329796</v>
      </c>
      <c r="AS105" s="386">
        <f t="shared" si="123"/>
        <v>10.385774578619321</v>
      </c>
      <c r="AT105" s="386">
        <f t="shared" si="124"/>
        <v>0</v>
      </c>
      <c r="AU105" s="386">
        <f t="shared" si="125"/>
        <v>0.95039999999999991</v>
      </c>
      <c r="AV105" s="386">
        <f t="shared" si="126"/>
        <v>4.1539688031052453</v>
      </c>
      <c r="AW105" s="386">
        <f t="shared" si="127"/>
        <v>0.249</v>
      </c>
      <c r="AX105" s="386">
        <f t="shared" si="128"/>
        <v>0.14400000000000002</v>
      </c>
      <c r="AY105" s="386">
        <f t="shared" si="129"/>
        <v>1.2671999999999999</v>
      </c>
      <c r="AZ105" s="386">
        <f t="shared" si="130"/>
        <v>0.10439999999999998</v>
      </c>
      <c r="BA105" s="386">
        <f t="shared" si="152"/>
        <v>1.4112</v>
      </c>
      <c r="BB105" s="386">
        <f t="shared" si="153"/>
        <v>-610.95308434073627</v>
      </c>
      <c r="BC105">
        <f t="shared" si="131"/>
        <v>460.79999999999995</v>
      </c>
      <c r="BD105" s="604">
        <f t="shared" si="146"/>
        <v>-3.0688680290730836</v>
      </c>
      <c r="BE105" s="614">
        <f t="shared" si="132"/>
        <v>703.24709410627406</v>
      </c>
      <c r="BF105" s="614">
        <f t="shared" si="133"/>
        <v>188.33282236648981</v>
      </c>
      <c r="BG105" s="9"/>
      <c r="BH105" s="4">
        <f t="shared" si="147"/>
        <v>-306.88680290730838</v>
      </c>
      <c r="BI105" s="386">
        <f t="shared" si="148"/>
        <v>-625.56348511414319</v>
      </c>
      <c r="BJ105" s="386">
        <f t="shared" si="149"/>
        <v>8.1992444805868772</v>
      </c>
      <c r="BK105" s="386">
        <f t="shared" si="134"/>
        <v>14.064941882125481</v>
      </c>
      <c r="BL105" s="386">
        <f t="shared" si="135"/>
        <v>3.7666564473297961</v>
      </c>
      <c r="BM105" s="386">
        <f t="shared" si="150"/>
        <v>4.1539688031052453</v>
      </c>
      <c r="BS105" s="18"/>
      <c r="BT105" s="19"/>
    </row>
    <row r="106" spans="7:72" x14ac:dyDescent="0.3">
      <c r="G106">
        <v>97</v>
      </c>
      <c r="H106" s="610">
        <f t="shared" si="97"/>
        <v>12</v>
      </c>
      <c r="I106" s="4" t="str">
        <f t="shared" si="154"/>
        <v>BOOST</v>
      </c>
      <c r="J106">
        <f t="shared" si="136"/>
        <v>2</v>
      </c>
      <c r="K106" s="386">
        <f t="shared" si="137"/>
        <v>9.6999999999999993</v>
      </c>
      <c r="L106" s="4">
        <f t="shared" si="155"/>
        <v>43.111111111111107</v>
      </c>
      <c r="M106" s="4">
        <f t="shared" si="151"/>
        <v>40.423641069887836</v>
      </c>
      <c r="N106" s="386">
        <f t="shared" si="100"/>
        <v>1</v>
      </c>
      <c r="O106" s="386">
        <f t="shared" si="101"/>
        <v>0.76004140786749486</v>
      </c>
      <c r="P106" s="4">
        <f t="shared" si="156"/>
        <v>4.4093832133155813</v>
      </c>
      <c r="Q106" s="4">
        <f t="shared" si="157"/>
        <v>43.12989824852427</v>
      </c>
      <c r="R106" s="386">
        <f t="shared" si="138"/>
        <v>-312.22174667671123</v>
      </c>
      <c r="S106" s="386">
        <f t="shared" si="139"/>
        <v>0.98119096687605845</v>
      </c>
      <c r="T106" s="386">
        <f t="shared" si="140"/>
        <v>-311.24055570983518</v>
      </c>
      <c r="U106" s="4">
        <f t="shared" si="104"/>
        <v>17.411237330067415</v>
      </c>
      <c r="V106" s="386">
        <f t="shared" si="141"/>
        <v>0.60630237072786619</v>
      </c>
      <c r="W106" s="386">
        <f t="shared" si="142"/>
        <v>0.60630237072786619</v>
      </c>
      <c r="X106" s="4">
        <f t="shared" si="105"/>
        <v>1.272879292583984</v>
      </c>
      <c r="Y106" s="386">
        <f t="shared" si="143"/>
        <v>3.2404433869782073E-3</v>
      </c>
      <c r="Z106" s="603">
        <f t="shared" si="144"/>
        <v>3.2404433869782073E-3</v>
      </c>
      <c r="AA106" s="386">
        <f t="shared" si="106"/>
        <v>43.12989824852427</v>
      </c>
      <c r="AB106" s="386">
        <f t="shared" si="158"/>
        <v>10.603072300689924</v>
      </c>
      <c r="AC106" s="386">
        <f t="shared" si="108"/>
        <v>0</v>
      </c>
      <c r="AD106" s="386">
        <f t="shared" si="109"/>
        <v>0</v>
      </c>
      <c r="AE106" s="386">
        <f t="shared" si="159"/>
        <v>-9.4618378379521655</v>
      </c>
      <c r="AF106" s="386">
        <f t="shared" si="111"/>
        <v>0</v>
      </c>
      <c r="AG106" s="386">
        <f t="shared" si="160"/>
        <v>0</v>
      </c>
      <c r="AH106" s="386">
        <f t="shared" si="113"/>
        <v>0</v>
      </c>
      <c r="AI106" s="386">
        <f t="shared" si="161"/>
        <v>0</v>
      </c>
      <c r="AJ106" s="386">
        <f t="shared" si="115"/>
        <v>37.600797861862361</v>
      </c>
      <c r="AK106" s="386">
        <f t="shared" si="162"/>
        <v>2.686257999712403</v>
      </c>
      <c r="AL106" s="386">
        <f t="shared" si="117"/>
        <v>3.7752564803122484</v>
      </c>
      <c r="AM106" s="386">
        <f t="shared" si="118"/>
        <v>0</v>
      </c>
      <c r="AN106" s="386">
        <f t="shared" si="163"/>
        <v>13.96334267005891</v>
      </c>
      <c r="AO106" s="386">
        <f t="shared" si="145"/>
        <v>21.127425850761469</v>
      </c>
      <c r="AP106" s="386">
        <f t="shared" si="164"/>
        <v>0.84809943385090558</v>
      </c>
      <c r="AQ106" s="386">
        <f t="shared" si="121"/>
        <v>2.0693333333333332</v>
      </c>
      <c r="AR106" s="386">
        <f t="shared" si="165"/>
        <v>3.513370227324796</v>
      </c>
      <c r="AS106" s="386">
        <f t="shared" si="123"/>
        <v>10.603072300689924</v>
      </c>
      <c r="AT106" s="386">
        <f t="shared" si="124"/>
        <v>0</v>
      </c>
      <c r="AU106" s="386">
        <f t="shared" si="125"/>
        <v>0.95039999999999991</v>
      </c>
      <c r="AV106" s="386">
        <f t="shared" si="126"/>
        <v>4.2414599995458993</v>
      </c>
      <c r="AW106" s="386">
        <f t="shared" si="127"/>
        <v>0.249</v>
      </c>
      <c r="AX106" s="386">
        <f t="shared" si="128"/>
        <v>0.14400000000000002</v>
      </c>
      <c r="AY106" s="386">
        <f t="shared" si="129"/>
        <v>1.2671999999999999</v>
      </c>
      <c r="AZ106" s="386">
        <f t="shared" si="130"/>
        <v>0.10439999999999998</v>
      </c>
      <c r="BA106" s="386">
        <f t="shared" si="152"/>
        <v>1.4112</v>
      </c>
      <c r="BB106" s="386">
        <f t="shared" si="153"/>
        <v>-295.76407783674284</v>
      </c>
      <c r="BC106">
        <f t="shared" si="131"/>
        <v>465.59999999999997</v>
      </c>
      <c r="BD106" s="604">
        <f t="shared" si="146"/>
        <v>2.741469496379191</v>
      </c>
      <c r="BE106" s="614">
        <f t="shared" si="132"/>
        <v>729.5303335029455</v>
      </c>
      <c r="BF106" s="614">
        <f t="shared" si="133"/>
        <v>191.35011136623982</v>
      </c>
      <c r="BG106" s="9"/>
      <c r="BH106" s="4">
        <f t="shared" si="147"/>
        <v>274.14694963791908</v>
      </c>
      <c r="BI106" s="386">
        <f t="shared" si="148"/>
        <v>-311.24055570983518</v>
      </c>
      <c r="BJ106" s="386">
        <f t="shared" si="149"/>
        <v>8.9652750594315407</v>
      </c>
      <c r="BK106" s="386">
        <f t="shared" si="134"/>
        <v>14.590606670058911</v>
      </c>
      <c r="BL106" s="386">
        <f t="shared" si="135"/>
        <v>3.8270022273247961</v>
      </c>
      <c r="BM106" s="386">
        <f t="shared" si="150"/>
        <v>4.2414599995458993</v>
      </c>
      <c r="BS106" s="18"/>
      <c r="BT106" s="19"/>
    </row>
    <row r="107" spans="7:72" x14ac:dyDescent="0.3">
      <c r="G107">
        <v>98</v>
      </c>
      <c r="H107" s="610">
        <f t="shared" si="97"/>
        <v>12</v>
      </c>
      <c r="I107" s="4" t="str">
        <f t="shared" si="154"/>
        <v>BOOST</v>
      </c>
      <c r="J107">
        <f t="shared" si="136"/>
        <v>2</v>
      </c>
      <c r="K107" s="386">
        <f t="shared" si="137"/>
        <v>9.8000000000000007</v>
      </c>
      <c r="L107" s="4">
        <f t="shared" si="155"/>
        <v>43.555555555555557</v>
      </c>
      <c r="M107" s="4">
        <f t="shared" si="151"/>
        <v>40.858054177085847</v>
      </c>
      <c r="N107" s="386">
        <f t="shared" si="100"/>
        <v>1</v>
      </c>
      <c r="O107" s="386">
        <f t="shared" si="101"/>
        <v>0.76014521010900049</v>
      </c>
      <c r="P107" s="4">
        <f t="shared" si="156"/>
        <v>4.4079549559851623</v>
      </c>
      <c r="Q107" s="4">
        <f t="shared" si="157"/>
        <v>43.574139027572912</v>
      </c>
      <c r="R107" s="386">
        <f t="shared" si="138"/>
        <v>-210.04996473906701</v>
      </c>
      <c r="S107" s="386">
        <f t="shared" si="139"/>
        <v>0.9804588626607128</v>
      </c>
      <c r="T107" s="386">
        <f t="shared" si="140"/>
        <v>-209.06950587640628</v>
      </c>
      <c r="U107" s="4">
        <f t="shared" si="104"/>
        <v>17.592623286989006</v>
      </c>
      <c r="V107" s="386">
        <f t="shared" si="141"/>
        <v>0.61900078823581584</v>
      </c>
      <c r="W107" s="386">
        <f t="shared" si="142"/>
        <v>0.61900078823581584</v>
      </c>
      <c r="X107" s="4">
        <f t="shared" si="105"/>
        <v>1.2724669902068892</v>
      </c>
      <c r="Y107" s="386">
        <f t="shared" si="143"/>
        <v>3.2383444823323592E-3</v>
      </c>
      <c r="Z107" s="603">
        <f t="shared" si="144"/>
        <v>3.2383444823323592E-3</v>
      </c>
      <c r="AA107" s="386">
        <f t="shared" si="106"/>
        <v>43.574139027572912</v>
      </c>
      <c r="AB107" s="386">
        <f t="shared" si="158"/>
        <v>10.822621874367242</v>
      </c>
      <c r="AC107" s="386">
        <f t="shared" si="108"/>
        <v>0</v>
      </c>
      <c r="AD107" s="386">
        <f t="shared" si="109"/>
        <v>0</v>
      </c>
      <c r="AE107" s="386">
        <f t="shared" si="159"/>
        <v>-9.2935984062535066</v>
      </c>
      <c r="AF107" s="386">
        <f t="shared" si="111"/>
        <v>0</v>
      </c>
      <c r="AG107" s="386">
        <f t="shared" si="160"/>
        <v>0</v>
      </c>
      <c r="AH107" s="386">
        <f t="shared" si="113"/>
        <v>0</v>
      </c>
      <c r="AI107" s="386">
        <f t="shared" si="161"/>
        <v>0</v>
      </c>
      <c r="AJ107" s="386">
        <f t="shared" si="115"/>
        <v>37.990682557195591</v>
      </c>
      <c r="AK107" s="386">
        <f t="shared" si="162"/>
        <v>2.74225472620705</v>
      </c>
      <c r="AL107" s="386">
        <f t="shared" si="117"/>
        <v>3.8141766502123762</v>
      </c>
      <c r="AM107" s="386">
        <f t="shared" si="118"/>
        <v>0</v>
      </c>
      <c r="AN107" s="386">
        <f t="shared" si="163"/>
        <v>14.519865133866059</v>
      </c>
      <c r="AO107" s="386">
        <f t="shared" si="145"/>
        <v>21.340422461437996</v>
      </c>
      <c r="AP107" s="386">
        <f t="shared" si="164"/>
        <v>0.86528589858202987</v>
      </c>
      <c r="AQ107" s="386">
        <f t="shared" si="121"/>
        <v>2.0906666666666669</v>
      </c>
      <c r="AR107" s="386">
        <f t="shared" si="165"/>
        <v>3.5745549664908807</v>
      </c>
      <c r="AS107" s="386">
        <f t="shared" si="123"/>
        <v>10.822621874367242</v>
      </c>
      <c r="AT107" s="386">
        <f t="shared" si="124"/>
        <v>0</v>
      </c>
      <c r="AU107" s="386">
        <f t="shared" si="125"/>
        <v>0.95039999999999991</v>
      </c>
      <c r="AV107" s="386">
        <f t="shared" si="126"/>
        <v>4.3298758834848163</v>
      </c>
      <c r="AW107" s="386">
        <f t="shared" si="127"/>
        <v>0.249</v>
      </c>
      <c r="AX107" s="386">
        <f t="shared" si="128"/>
        <v>0.14400000000000002</v>
      </c>
      <c r="AY107" s="386">
        <f t="shared" si="129"/>
        <v>1.2671999999999999</v>
      </c>
      <c r="AZ107" s="386">
        <f t="shared" si="130"/>
        <v>0.10439999999999998</v>
      </c>
      <c r="BA107" s="386">
        <f t="shared" si="152"/>
        <v>1.4112</v>
      </c>
      <c r="BB107" s="386">
        <f t="shared" si="153"/>
        <v>-192.70596916609986</v>
      </c>
      <c r="BC107">
        <f t="shared" si="131"/>
        <v>470.40000000000003</v>
      </c>
      <c r="BD107" s="604">
        <f t="shared" si="146"/>
        <v>1.6939507075013973</v>
      </c>
      <c r="BE107" s="614">
        <f t="shared" si="132"/>
        <v>757.35645669330302</v>
      </c>
      <c r="BF107" s="614">
        <f t="shared" si="133"/>
        <v>194.40934832454403</v>
      </c>
      <c r="BG107" s="9"/>
      <c r="BH107" s="4">
        <f t="shared" si="147"/>
        <v>169.39507075013972</v>
      </c>
      <c r="BI107" s="386">
        <f t="shared" si="148"/>
        <v>-209.06950587640628</v>
      </c>
      <c r="BJ107" s="386">
        <f t="shared" si="149"/>
        <v>9.7512216941034335</v>
      </c>
      <c r="BK107" s="386">
        <f t="shared" si="134"/>
        <v>15.147129133866059</v>
      </c>
      <c r="BL107" s="386">
        <f t="shared" si="135"/>
        <v>3.8881869664908808</v>
      </c>
      <c r="BM107" s="386">
        <f t="shared" si="150"/>
        <v>4.3298758834848163</v>
      </c>
      <c r="BS107" s="18"/>
      <c r="BT107" s="19"/>
    </row>
    <row r="108" spans="7:72" x14ac:dyDescent="0.3">
      <c r="G108">
        <v>99</v>
      </c>
      <c r="H108" s="610">
        <f t="shared" si="97"/>
        <v>12</v>
      </c>
      <c r="I108" s="4" t="str">
        <f t="shared" si="154"/>
        <v>BOOST</v>
      </c>
      <c r="J108">
        <f t="shared" si="136"/>
        <v>2</v>
      </c>
      <c r="K108" s="386">
        <f t="shared" si="137"/>
        <v>9.9</v>
      </c>
      <c r="L108" s="4">
        <f t="shared" si="155"/>
        <v>44</v>
      </c>
      <c r="M108" s="4">
        <f t="shared" si="151"/>
        <v>41.292844445993509</v>
      </c>
      <c r="N108" s="386">
        <f t="shared" si="100"/>
        <v>1</v>
      </c>
      <c r="O108" s="386">
        <f t="shared" si="101"/>
        <v>0.76024901813319956</v>
      </c>
      <c r="P108" s="4">
        <f t="shared" si="156"/>
        <v>4.4065261776282076</v>
      </c>
      <c r="Q108" s="4">
        <f t="shared" si="157"/>
        <v>44.018383917928844</v>
      </c>
      <c r="R108" s="386">
        <f t="shared" si="138"/>
        <v>-159.44446833981127</v>
      </c>
      <c r="S108" s="386">
        <f t="shared" si="139"/>
        <v>0.9797268008069594</v>
      </c>
      <c r="T108" s="386">
        <f t="shared" si="140"/>
        <v>-158.46474153900431</v>
      </c>
      <c r="U108" s="4">
        <f t="shared" si="104"/>
        <v>17.774144653494336</v>
      </c>
      <c r="V108" s="386">
        <f t="shared" si="141"/>
        <v>0.63184043632668263</v>
      </c>
      <c r="W108" s="386">
        <f t="shared" si="142"/>
        <v>0.63184043632668263</v>
      </c>
      <c r="X108" s="4">
        <f t="shared" si="105"/>
        <v>1.2720545374223893</v>
      </c>
      <c r="Y108" s="386">
        <f t="shared" si="143"/>
        <v>3.2362454923537775E-3</v>
      </c>
      <c r="Z108" s="603">
        <f t="shared" si="144"/>
        <v>3.2362454923537775E-3</v>
      </c>
      <c r="AA108" s="386">
        <f t="shared" si="106"/>
        <v>44.018383917928844</v>
      </c>
      <c r="AB108" s="386">
        <f t="shared" si="158"/>
        <v>11.044423299653207</v>
      </c>
      <c r="AC108" s="386">
        <f t="shared" si="108"/>
        <v>0</v>
      </c>
      <c r="AD108" s="386">
        <f t="shared" si="109"/>
        <v>0</v>
      </c>
      <c r="AE108" s="386">
        <f t="shared" si="159"/>
        <v>-9.136043880552565</v>
      </c>
      <c r="AF108" s="386">
        <f t="shared" si="111"/>
        <v>0</v>
      </c>
      <c r="AG108" s="386">
        <f t="shared" si="160"/>
        <v>0</v>
      </c>
      <c r="AH108" s="386">
        <f t="shared" si="113"/>
        <v>0</v>
      </c>
      <c r="AI108" s="386">
        <f t="shared" si="161"/>
        <v>0</v>
      </c>
      <c r="AJ108" s="386">
        <f t="shared" si="115"/>
        <v>38.38062369653305</v>
      </c>
      <c r="AK108" s="386">
        <f t="shared" si="162"/>
        <v>2.7988373231362611</v>
      </c>
      <c r="AL108" s="386">
        <f t="shared" si="117"/>
        <v>3.8530968201125018</v>
      </c>
      <c r="AM108" s="386">
        <f t="shared" si="118"/>
        <v>0</v>
      </c>
      <c r="AN108" s="386">
        <f t="shared" si="163"/>
        <v>15.110046643000901</v>
      </c>
      <c r="AO108" s="386">
        <f t="shared" si="145"/>
        <v>21.553325669401985</v>
      </c>
      <c r="AP108" s="386">
        <f t="shared" si="164"/>
        <v>0.88263711008147483</v>
      </c>
      <c r="AQ108" s="386">
        <f t="shared" si="121"/>
        <v>2.1120000000000001</v>
      </c>
      <c r="AR108" s="386">
        <f t="shared" si="165"/>
        <v>3.6365960326376934</v>
      </c>
      <c r="AS108" s="386">
        <f t="shared" si="123"/>
        <v>11.044423299653207</v>
      </c>
      <c r="AT108" s="386">
        <f t="shared" si="124"/>
        <v>0</v>
      </c>
      <c r="AU108" s="386">
        <f t="shared" si="125"/>
        <v>0.95039999999999991</v>
      </c>
      <c r="AV108" s="386">
        <f t="shared" si="126"/>
        <v>4.4192168260046234</v>
      </c>
      <c r="AW108" s="386">
        <f t="shared" si="127"/>
        <v>0.249</v>
      </c>
      <c r="AX108" s="386">
        <f t="shared" si="128"/>
        <v>0.14400000000000002</v>
      </c>
      <c r="AY108" s="386">
        <f t="shared" si="129"/>
        <v>1.2671999999999999</v>
      </c>
      <c r="AZ108" s="386">
        <f t="shared" si="130"/>
        <v>0.10439999999999998</v>
      </c>
      <c r="BA108" s="386">
        <f t="shared" si="152"/>
        <v>1.4112</v>
      </c>
      <c r="BB108" s="386">
        <f t="shared" si="153"/>
        <v>-141.18924923609458</v>
      </c>
      <c r="BC108">
        <f t="shared" si="131"/>
        <v>475.20000000000005</v>
      </c>
      <c r="BD108" s="604">
        <f t="shared" si="146"/>
        <v>1.4227086969900973</v>
      </c>
      <c r="BE108" s="614">
        <f t="shared" si="132"/>
        <v>786.86553215004506</v>
      </c>
      <c r="BF108" s="614">
        <f t="shared" si="133"/>
        <v>197.51140163188467</v>
      </c>
      <c r="BG108" s="9"/>
      <c r="BH108" s="4">
        <f t="shared" si="147"/>
        <v>142.27086969900972</v>
      </c>
      <c r="BI108" s="386">
        <f t="shared" si="148"/>
        <v>-158.46474153900431</v>
      </c>
      <c r="BJ108" s="386">
        <f t="shared" si="149"/>
        <v>10.56099879508603</v>
      </c>
      <c r="BK108" s="386">
        <f t="shared" si="134"/>
        <v>15.737310643000901</v>
      </c>
      <c r="BL108" s="386">
        <f t="shared" si="135"/>
        <v>3.9502280326376935</v>
      </c>
      <c r="BM108" s="386">
        <f t="shared" si="150"/>
        <v>4.4192168260046234</v>
      </c>
      <c r="BS108" s="18"/>
      <c r="BT108" s="19"/>
    </row>
    <row r="109" spans="7:72" x14ac:dyDescent="0.3">
      <c r="G109">
        <v>100</v>
      </c>
      <c r="H109" s="610">
        <f t="shared" si="97"/>
        <v>12</v>
      </c>
      <c r="I109" s="4" t="str">
        <f t="shared" si="154"/>
        <v>BOOST</v>
      </c>
      <c r="J109">
        <f t="shared" si="136"/>
        <v>2</v>
      </c>
      <c r="K109" s="386">
        <f t="shared" si="137"/>
        <v>10</v>
      </c>
      <c r="L109" s="4">
        <f t="shared" si="155"/>
        <v>44.444444444444443</v>
      </c>
      <c r="M109" s="4">
        <f>K109/(1-O109)</f>
        <v>41.728012398295213</v>
      </c>
      <c r="N109" s="386">
        <f t="shared" si="100"/>
        <v>1</v>
      </c>
      <c r="O109" s="386">
        <f t="shared" si="101"/>
        <v>0.76035283194057557</v>
      </c>
      <c r="P109" s="4">
        <f t="shared" si="156"/>
        <v>4.4050968782011806</v>
      </c>
      <c r="Q109" s="4">
        <f t="shared" si="157"/>
        <v>44.462632796362499</v>
      </c>
      <c r="R109" s="386">
        <f t="shared" si="138"/>
        <v>-129.23689503453144</v>
      </c>
      <c r="S109" s="386">
        <f t="shared" si="139"/>
        <v>0.97899478160057074</v>
      </c>
      <c r="T109" s="386">
        <f t="shared" si="140"/>
        <v>-128.25790025293088</v>
      </c>
      <c r="U109" s="4">
        <f t="shared" si="104"/>
        <v>17.955800618878651</v>
      </c>
      <c r="V109" s="386">
        <f t="shared" si="141"/>
        <v>0.64482155172984601</v>
      </c>
      <c r="W109" s="386">
        <f t="shared" si="142"/>
        <v>0.64482155172984601</v>
      </c>
      <c r="X109" s="4">
        <f t="shared" si="105"/>
        <v>1.2716419342179159</v>
      </c>
      <c r="Y109" s="386">
        <f t="shared" si="143"/>
        <v>3.234146417722965E-3</v>
      </c>
      <c r="Z109" s="603">
        <f t="shared" si="144"/>
        <v>3.234146417722965E-3</v>
      </c>
      <c r="AA109" s="386">
        <f t="shared" si="106"/>
        <v>44.462632796362499</v>
      </c>
      <c r="AB109" s="386">
        <f t="shared" si="158"/>
        <v>11.268476576549769</v>
      </c>
      <c r="AC109" s="386">
        <f t="shared" si="108"/>
        <v>0</v>
      </c>
      <c r="AD109" s="386">
        <f t="shared" si="109"/>
        <v>0</v>
      </c>
      <c r="AE109" s="386">
        <f t="shared" si="159"/>
        <v>-8.9882098456783659</v>
      </c>
      <c r="AF109" s="386">
        <f t="shared" si="111"/>
        <v>0</v>
      </c>
      <c r="AG109" s="386">
        <f t="shared" si="160"/>
        <v>0</v>
      </c>
      <c r="AH109" s="386">
        <f t="shared" si="113"/>
        <v>0</v>
      </c>
      <c r="AI109" s="386">
        <f t="shared" si="161"/>
        <v>0</v>
      </c>
      <c r="AJ109" s="386">
        <f t="shared" si="115"/>
        <v>38.770621172176639</v>
      </c>
      <c r="AK109" s="386">
        <f t="shared" si="162"/>
        <v>2.85600602554522</v>
      </c>
      <c r="AL109" s="386">
        <f t="shared" si="117"/>
        <v>3.8920169900126274</v>
      </c>
      <c r="AM109" s="386">
        <f t="shared" si="118"/>
        <v>0</v>
      </c>
      <c r="AN109" s="386">
        <f t="shared" si="163"/>
        <v>15.737038200571151</v>
      </c>
      <c r="AO109" s="386">
        <f t="shared" si="145"/>
        <v>21.766135373734553</v>
      </c>
      <c r="AP109" s="386">
        <f t="shared" si="164"/>
        <v>0.9001528333047033</v>
      </c>
      <c r="AQ109" s="386">
        <f t="shared" si="121"/>
        <v>2.1333333333333333</v>
      </c>
      <c r="AR109" s="386">
        <f t="shared" si="165"/>
        <v>3.6995112784694286</v>
      </c>
      <c r="AS109" s="386">
        <f t="shared" si="123"/>
        <v>11.268476576549769</v>
      </c>
      <c r="AT109" s="386">
        <f t="shared" si="124"/>
        <v>0</v>
      </c>
      <c r="AU109" s="386">
        <f t="shared" si="125"/>
        <v>0.95039999999999991</v>
      </c>
      <c r="AV109" s="386">
        <f t="shared" si="126"/>
        <v>4.5094831982292947</v>
      </c>
      <c r="AW109" s="386">
        <f t="shared" si="127"/>
        <v>0.249</v>
      </c>
      <c r="AX109" s="386">
        <f t="shared" si="128"/>
        <v>0.14400000000000002</v>
      </c>
      <c r="AY109" s="386">
        <f t="shared" si="129"/>
        <v>1.2671999999999999</v>
      </c>
      <c r="AZ109" s="386">
        <f t="shared" si="130"/>
        <v>0.10439999999999998</v>
      </c>
      <c r="BA109" s="386">
        <f t="shared" si="152"/>
        <v>1.4112</v>
      </c>
      <c r="BB109" s="386">
        <f t="shared" si="153"/>
        <v>-110.04142172319182</v>
      </c>
      <c r="BC109">
        <f t="shared" si="131"/>
        <v>480</v>
      </c>
      <c r="BD109" s="604">
        <f t="shared" si="146"/>
        <v>1.2974425467730533</v>
      </c>
      <c r="BE109" s="614">
        <f t="shared" si="132"/>
        <v>818.21511002855743</v>
      </c>
      <c r="BF109" s="614">
        <f t="shared" si="133"/>
        <v>200.65716392347142</v>
      </c>
      <c r="BG109" s="9"/>
      <c r="BH109" s="4">
        <f t="shared" si="147"/>
        <v>129.74425467730532</v>
      </c>
      <c r="BI109" s="386">
        <f t="shared" si="148"/>
        <v>-128.25790025293088</v>
      </c>
      <c r="BJ109" s="386">
        <f t="shared" si="149"/>
        <v>11.398739633362213</v>
      </c>
      <c r="BK109" s="386">
        <f t="shared" si="134"/>
        <v>16.364302200571149</v>
      </c>
      <c r="BL109" s="386">
        <f t="shared" si="135"/>
        <v>4.0131432784694283</v>
      </c>
      <c r="BM109" s="386">
        <f t="shared" si="150"/>
        <v>4.5094831982292947</v>
      </c>
      <c r="BS109" s="18"/>
      <c r="BT109" s="19"/>
    </row>
    <row r="110" spans="7:72" x14ac:dyDescent="0.3">
      <c r="H110" s="610"/>
      <c r="I110" s="4"/>
      <c r="L110" s="4"/>
      <c r="M110" s="4"/>
      <c r="Q110" s="386"/>
      <c r="R110" s="386"/>
      <c r="S110" s="386"/>
      <c r="T110" s="386"/>
      <c r="V110" s="386"/>
      <c r="W110" s="386"/>
      <c r="X110" s="386"/>
      <c r="Y110" s="386"/>
      <c r="Z110" s="603"/>
      <c r="AA110" s="386"/>
      <c r="AB110" s="386"/>
      <c r="AC110" s="386"/>
      <c r="AE110" s="386"/>
      <c r="AF110" s="386"/>
      <c r="AG110" s="386"/>
      <c r="AH110" s="386"/>
      <c r="AI110" s="386"/>
      <c r="AJ110" s="386"/>
      <c r="AK110" s="386"/>
      <c r="AL110" s="386"/>
      <c r="AN110" s="386"/>
      <c r="AO110" s="386"/>
      <c r="AP110" s="386"/>
      <c r="AQ110" s="386"/>
      <c r="AR110" s="386"/>
      <c r="AS110" s="386"/>
      <c r="AT110" s="386"/>
      <c r="AU110" s="386"/>
      <c r="AV110" s="386"/>
      <c r="AW110" s="386"/>
      <c r="AX110" s="386"/>
      <c r="AY110" s="386"/>
      <c r="AZ110" s="386"/>
      <c r="BA110" s="386"/>
      <c r="BB110" s="386"/>
      <c r="BD110" s="604"/>
      <c r="BE110" s="614"/>
      <c r="BF110" s="614"/>
      <c r="BG110" s="9"/>
      <c r="BH110" s="48"/>
      <c r="BI110" s="386"/>
      <c r="BJ110" s="386"/>
      <c r="BK110" s="386"/>
      <c r="BL110" s="386"/>
      <c r="BM110" s="386"/>
    </row>
    <row r="111" spans="7:72" x14ac:dyDescent="0.3">
      <c r="H111" s="610"/>
      <c r="I111" s="4"/>
      <c r="L111" s="4"/>
      <c r="M111" s="4"/>
      <c r="Q111" s="386"/>
      <c r="R111" s="386"/>
      <c r="S111" s="386"/>
      <c r="T111" s="386"/>
      <c r="V111" s="386"/>
      <c r="W111" s="386"/>
      <c r="X111" s="386"/>
      <c r="Y111" s="386"/>
      <c r="Z111" s="603"/>
      <c r="AA111" s="386"/>
      <c r="AB111" s="386"/>
      <c r="AC111" s="386"/>
      <c r="AE111" s="386"/>
      <c r="AF111" s="386"/>
      <c r="AG111" s="386"/>
      <c r="AH111" s="386"/>
      <c r="AI111" s="386"/>
      <c r="AJ111" s="386"/>
      <c r="AK111" s="386"/>
      <c r="AL111" s="386"/>
      <c r="AN111" s="386"/>
      <c r="AO111" s="386"/>
      <c r="AP111" s="386"/>
      <c r="AQ111" s="386"/>
      <c r="AR111" s="386"/>
      <c r="AS111" s="386"/>
      <c r="AT111" s="386"/>
      <c r="AU111" s="386"/>
      <c r="AV111" s="386"/>
      <c r="AW111" s="386"/>
      <c r="AX111" s="386"/>
      <c r="AY111" s="386"/>
      <c r="AZ111" s="386"/>
      <c r="BA111" s="386"/>
      <c r="BB111" s="386"/>
      <c r="BD111" s="604"/>
      <c r="BE111" s="614"/>
      <c r="BF111" s="614"/>
      <c r="BG111" s="9"/>
      <c r="BH111" s="48"/>
      <c r="BI111" s="386"/>
      <c r="BJ111" s="386"/>
      <c r="BK111" s="386"/>
      <c r="BL111" s="386"/>
      <c r="BM111" s="386"/>
    </row>
    <row r="112" spans="7:72" x14ac:dyDescent="0.3">
      <c r="H112" s="610"/>
      <c r="I112" s="4"/>
      <c r="L112" s="4"/>
      <c r="M112" s="4"/>
      <c r="Q112" s="386"/>
      <c r="R112" s="386"/>
      <c r="S112" s="386"/>
      <c r="T112" s="386"/>
      <c r="V112" s="386"/>
      <c r="W112" s="386"/>
      <c r="X112" s="386"/>
      <c r="Y112" s="386"/>
      <c r="Z112" s="603"/>
      <c r="AA112" s="386"/>
      <c r="AB112" s="386"/>
      <c r="AC112" s="386"/>
      <c r="AE112" s="386"/>
      <c r="AF112" s="386"/>
      <c r="AG112" s="386"/>
      <c r="AH112" s="386"/>
      <c r="AI112" s="386"/>
      <c r="AJ112" s="386"/>
      <c r="AK112" s="386"/>
      <c r="AL112" s="386"/>
      <c r="AN112" s="386"/>
      <c r="AO112" s="386"/>
      <c r="AP112" s="386"/>
      <c r="AQ112" s="386"/>
      <c r="AR112" s="386"/>
      <c r="AS112" s="386"/>
      <c r="AT112" s="386"/>
      <c r="AU112" s="386"/>
      <c r="AV112" s="386"/>
      <c r="AW112" s="386"/>
      <c r="AX112" s="386"/>
      <c r="AY112" s="386"/>
      <c r="AZ112" s="386"/>
      <c r="BA112" s="386"/>
      <c r="BB112" s="386"/>
      <c r="BD112" s="604"/>
      <c r="BE112" s="614"/>
      <c r="BF112" s="614"/>
      <c r="BG112" s="9"/>
      <c r="BH112" s="48"/>
      <c r="BI112" s="386"/>
      <c r="BJ112" s="386"/>
      <c r="BK112" s="386"/>
      <c r="BL112" s="386"/>
      <c r="BM112" s="386"/>
    </row>
    <row r="113" spans="8:65" x14ac:dyDescent="0.3">
      <c r="H113" s="610"/>
      <c r="I113" s="4"/>
      <c r="L113" s="4"/>
      <c r="M113" s="4"/>
      <c r="Q113" s="386"/>
      <c r="R113" s="386"/>
      <c r="S113" s="386"/>
      <c r="T113" s="386"/>
      <c r="V113" s="386"/>
      <c r="W113" s="386"/>
      <c r="X113" s="386"/>
      <c r="Y113" s="386"/>
      <c r="Z113" s="603"/>
      <c r="AA113" s="386"/>
      <c r="AB113" s="386"/>
      <c r="AC113" s="386"/>
      <c r="AE113" s="386"/>
      <c r="AF113" s="386"/>
      <c r="AG113" s="386"/>
      <c r="AH113" s="386"/>
      <c r="AI113" s="386"/>
      <c r="AJ113" s="386"/>
      <c r="AK113" s="386"/>
      <c r="AL113" s="386"/>
      <c r="AN113" s="386"/>
      <c r="AO113" s="386"/>
      <c r="AP113" s="386"/>
      <c r="AQ113" s="386"/>
      <c r="AR113" s="386"/>
      <c r="AS113" s="386"/>
      <c r="AT113" s="386"/>
      <c r="AU113" s="386"/>
      <c r="AV113" s="386"/>
      <c r="AW113" s="386"/>
      <c r="AX113" s="386"/>
      <c r="AY113" s="386"/>
      <c r="AZ113" s="386"/>
      <c r="BA113" s="386"/>
      <c r="BB113" s="386"/>
      <c r="BD113" s="604"/>
      <c r="BE113" s="614"/>
      <c r="BF113" s="614"/>
      <c r="BG113" s="9"/>
      <c r="BH113" s="48"/>
      <c r="BI113" s="386"/>
      <c r="BJ113" s="386"/>
      <c r="BK113" s="386"/>
      <c r="BL113" s="386"/>
      <c r="BM113" s="386"/>
    </row>
    <row r="114" spans="8:65" x14ac:dyDescent="0.3">
      <c r="H114" s="610"/>
      <c r="I114" s="4"/>
      <c r="L114" s="4"/>
      <c r="M114" s="4"/>
      <c r="Q114" s="386"/>
      <c r="R114" s="386"/>
      <c r="S114" s="386"/>
      <c r="T114" s="386"/>
      <c r="V114" s="386"/>
      <c r="W114" s="386"/>
      <c r="X114" s="386"/>
      <c r="Y114" s="386"/>
      <c r="Z114" s="603"/>
      <c r="AA114" s="386"/>
      <c r="AB114" s="386"/>
      <c r="AC114" s="386"/>
      <c r="AE114" s="386"/>
      <c r="AF114" s="386"/>
      <c r="AG114" s="386"/>
      <c r="AH114" s="386"/>
      <c r="AI114" s="386"/>
      <c r="AJ114" s="386"/>
      <c r="AK114" s="386"/>
      <c r="AL114" s="386"/>
      <c r="AN114" s="386"/>
      <c r="AO114" s="386"/>
      <c r="AP114" s="386"/>
      <c r="AQ114" s="386"/>
      <c r="AR114" s="386"/>
      <c r="AS114" s="386"/>
      <c r="AT114" s="386"/>
      <c r="AU114" s="386"/>
      <c r="AV114" s="386"/>
      <c r="AW114" s="386"/>
      <c r="AX114" s="386"/>
      <c r="AY114" s="386"/>
      <c r="AZ114" s="386"/>
      <c r="BA114" s="386"/>
      <c r="BB114" s="386"/>
      <c r="BD114" s="604"/>
      <c r="BE114" s="614"/>
      <c r="BF114" s="614"/>
      <c r="BG114" s="9"/>
      <c r="BH114" s="48"/>
      <c r="BI114" s="386"/>
      <c r="BJ114" s="386"/>
      <c r="BK114" s="386"/>
      <c r="BL114" s="386"/>
      <c r="BM114" s="386"/>
    </row>
    <row r="115" spans="8:65" x14ac:dyDescent="0.3">
      <c r="H115" s="610"/>
      <c r="I115" s="4"/>
      <c r="L115" s="4"/>
      <c r="M115" s="4"/>
      <c r="Q115" s="386"/>
      <c r="R115" s="386"/>
      <c r="S115" s="386"/>
      <c r="T115" s="386"/>
      <c r="V115" s="386"/>
      <c r="W115" s="386"/>
      <c r="X115" s="386"/>
      <c r="Y115" s="386"/>
      <c r="Z115" s="603"/>
      <c r="AA115" s="386"/>
      <c r="AB115" s="386"/>
      <c r="AC115" s="386"/>
      <c r="AE115" s="386"/>
      <c r="AF115" s="386"/>
      <c r="AG115" s="386"/>
      <c r="AH115" s="386"/>
      <c r="AI115" s="386"/>
      <c r="AJ115" s="386"/>
      <c r="AK115" s="386"/>
      <c r="AL115" s="386"/>
      <c r="AN115" s="386"/>
      <c r="AO115" s="386"/>
      <c r="AP115" s="386"/>
      <c r="AQ115" s="386"/>
      <c r="AR115" s="386"/>
      <c r="AS115" s="386"/>
      <c r="AT115" s="386"/>
      <c r="AU115" s="386"/>
      <c r="AV115" s="386"/>
      <c r="AW115" s="386"/>
      <c r="AX115" s="386"/>
      <c r="AY115" s="386"/>
      <c r="AZ115" s="386"/>
      <c r="BA115" s="386"/>
      <c r="BB115" s="386"/>
      <c r="BD115" s="604"/>
      <c r="BE115" s="614"/>
      <c r="BF115" s="614"/>
      <c r="BG115" s="9"/>
      <c r="BH115" s="48"/>
      <c r="BI115" s="386"/>
      <c r="BJ115" s="386"/>
      <c r="BK115" s="386"/>
      <c r="BL115" s="386"/>
      <c r="BM115" s="386"/>
    </row>
    <row r="116" spans="8:65" x14ac:dyDescent="0.3">
      <c r="H116" s="610"/>
      <c r="I116" s="4"/>
      <c r="L116" s="4"/>
      <c r="M116" s="4"/>
      <c r="Q116" s="386"/>
      <c r="R116" s="386"/>
      <c r="S116" s="386"/>
      <c r="T116" s="386"/>
      <c r="V116" s="386"/>
      <c r="W116" s="386"/>
      <c r="X116" s="386"/>
      <c r="Y116" s="386"/>
      <c r="Z116" s="603"/>
      <c r="AA116" s="386"/>
      <c r="AB116" s="386"/>
      <c r="AC116" s="386"/>
      <c r="AE116" s="386"/>
      <c r="AF116" s="386"/>
      <c r="AG116" s="386"/>
      <c r="AH116" s="386"/>
      <c r="AI116" s="386"/>
      <c r="AJ116" s="386"/>
      <c r="AK116" s="386"/>
      <c r="AL116" s="386"/>
      <c r="AN116" s="386"/>
      <c r="AO116" s="386"/>
      <c r="AP116" s="386"/>
      <c r="AQ116" s="386"/>
      <c r="AR116" s="386"/>
      <c r="AS116" s="386"/>
      <c r="AT116" s="386"/>
      <c r="AU116" s="386"/>
      <c r="AV116" s="386"/>
      <c r="AW116" s="386"/>
      <c r="AX116" s="386"/>
      <c r="AY116" s="386"/>
      <c r="AZ116" s="386"/>
      <c r="BA116" s="386"/>
      <c r="BB116" s="386"/>
      <c r="BD116" s="604"/>
      <c r="BE116" s="614"/>
      <c r="BF116" s="614"/>
      <c r="BG116" s="9"/>
      <c r="BH116" s="48"/>
      <c r="BI116" s="386"/>
      <c r="BJ116" s="386"/>
      <c r="BK116" s="386"/>
      <c r="BL116" s="386"/>
      <c r="BM116" s="386"/>
    </row>
    <row r="117" spans="8:65" x14ac:dyDescent="0.3">
      <c r="H117" s="610"/>
      <c r="I117" s="4"/>
      <c r="L117" s="4"/>
      <c r="M117" s="4"/>
      <c r="Q117" s="386"/>
      <c r="R117" s="386"/>
      <c r="S117" s="386"/>
      <c r="T117" s="386"/>
      <c r="V117" s="386"/>
      <c r="W117" s="386"/>
      <c r="X117" s="386"/>
      <c r="Y117" s="386"/>
      <c r="Z117" s="603"/>
      <c r="AA117" s="386"/>
      <c r="AB117" s="386"/>
      <c r="AC117" s="386"/>
      <c r="AE117" s="386"/>
      <c r="AF117" s="386"/>
      <c r="AG117" s="386"/>
      <c r="AH117" s="386"/>
      <c r="AI117" s="386"/>
      <c r="AJ117" s="386"/>
      <c r="AK117" s="386"/>
      <c r="AL117" s="386"/>
      <c r="AN117" s="386"/>
      <c r="AO117" s="386"/>
      <c r="AP117" s="386"/>
      <c r="AQ117" s="386"/>
      <c r="AR117" s="386"/>
      <c r="AS117" s="386"/>
      <c r="AT117" s="386"/>
      <c r="AU117" s="386"/>
      <c r="AV117" s="386"/>
      <c r="AW117" s="386"/>
      <c r="AX117" s="386"/>
      <c r="AY117" s="386"/>
      <c r="AZ117" s="386"/>
      <c r="BA117" s="386"/>
      <c r="BB117" s="386"/>
      <c r="BD117" s="604"/>
      <c r="BE117" s="614"/>
      <c r="BF117" s="614"/>
      <c r="BG117" s="9"/>
      <c r="BH117" s="48"/>
      <c r="BI117" s="386"/>
      <c r="BJ117" s="386"/>
      <c r="BK117" s="386"/>
      <c r="BL117" s="386"/>
      <c r="BM117" s="386"/>
    </row>
    <row r="118" spans="8:65" x14ac:dyDescent="0.3">
      <c r="H118" s="610"/>
      <c r="I118" s="4"/>
      <c r="L118" s="4"/>
      <c r="M118" s="4"/>
      <c r="Q118" s="386"/>
      <c r="R118" s="386"/>
      <c r="S118" s="386"/>
      <c r="T118" s="386"/>
      <c r="V118" s="386"/>
      <c r="W118" s="386"/>
      <c r="X118" s="386"/>
      <c r="Y118" s="386"/>
      <c r="Z118" s="603"/>
      <c r="AA118" s="386"/>
      <c r="AB118" s="386"/>
      <c r="AC118" s="386"/>
      <c r="AE118" s="386"/>
      <c r="AF118" s="386"/>
      <c r="AG118" s="386"/>
      <c r="AH118" s="386"/>
      <c r="AI118" s="386"/>
      <c r="AJ118" s="386"/>
      <c r="AK118" s="386"/>
      <c r="AL118" s="386"/>
      <c r="AN118" s="386"/>
      <c r="AO118" s="386"/>
      <c r="AP118" s="386"/>
      <c r="AQ118" s="386"/>
      <c r="AR118" s="386"/>
      <c r="AS118" s="386"/>
      <c r="AT118" s="386"/>
      <c r="AU118" s="386"/>
      <c r="AV118" s="386"/>
      <c r="AW118" s="386"/>
      <c r="AX118" s="386"/>
      <c r="AY118" s="386"/>
      <c r="AZ118" s="386"/>
      <c r="BA118" s="386"/>
      <c r="BB118" s="386"/>
      <c r="BD118" s="604"/>
      <c r="BE118" s="614"/>
      <c r="BF118" s="614"/>
      <c r="BG118" s="9"/>
      <c r="BH118" s="48"/>
      <c r="BI118" s="386"/>
      <c r="BJ118" s="386"/>
      <c r="BK118" s="386"/>
      <c r="BL118" s="386"/>
      <c r="BM118" s="386"/>
    </row>
    <row r="119" spans="8:65" x14ac:dyDescent="0.3">
      <c r="H119" s="610"/>
      <c r="I119" s="4"/>
      <c r="L119" s="4"/>
      <c r="M119" s="4"/>
      <c r="Q119" s="386"/>
      <c r="R119" s="386"/>
      <c r="S119" s="386"/>
      <c r="T119" s="386"/>
      <c r="V119" s="386"/>
      <c r="W119" s="386"/>
      <c r="X119" s="386"/>
      <c r="Y119" s="386"/>
      <c r="Z119" s="603"/>
      <c r="AA119" s="386"/>
      <c r="AB119" s="386"/>
      <c r="AC119" s="386"/>
      <c r="AE119" s="386"/>
      <c r="AF119" s="386"/>
      <c r="AG119" s="386"/>
      <c r="AH119" s="386"/>
      <c r="AI119" s="386"/>
      <c r="AJ119" s="386"/>
      <c r="AK119" s="386"/>
      <c r="AL119" s="386"/>
      <c r="AN119" s="386"/>
      <c r="AO119" s="386"/>
      <c r="AP119" s="386"/>
      <c r="AQ119" s="386"/>
      <c r="AR119" s="386"/>
      <c r="AS119" s="386"/>
      <c r="AT119" s="386"/>
      <c r="AU119" s="386"/>
      <c r="AV119" s="386"/>
      <c r="AW119" s="386"/>
      <c r="AX119" s="386"/>
      <c r="AY119" s="386"/>
      <c r="AZ119" s="386"/>
      <c r="BA119" s="386"/>
      <c r="BB119" s="386"/>
      <c r="BD119" s="604"/>
      <c r="BE119" s="614"/>
      <c r="BF119" s="614"/>
      <c r="BG119" s="9"/>
      <c r="BH119" s="48"/>
      <c r="BI119" s="386"/>
      <c r="BJ119" s="386"/>
      <c r="BK119" s="386"/>
      <c r="BL119" s="386"/>
      <c r="BM119" s="386"/>
    </row>
    <row r="120" spans="8:65" x14ac:dyDescent="0.3">
      <c r="H120" s="610"/>
      <c r="I120" s="4"/>
      <c r="L120" s="4"/>
      <c r="M120" s="4"/>
      <c r="Q120" s="386"/>
      <c r="R120" s="386"/>
      <c r="S120" s="386"/>
      <c r="T120" s="386"/>
      <c r="V120" s="386"/>
      <c r="W120" s="386"/>
      <c r="X120" s="386"/>
      <c r="Y120" s="386"/>
      <c r="Z120" s="603"/>
      <c r="AA120" s="386"/>
      <c r="AB120" s="386"/>
      <c r="AC120" s="386"/>
      <c r="AE120" s="386"/>
      <c r="AF120" s="386"/>
      <c r="AG120" s="386"/>
      <c r="AH120" s="386"/>
      <c r="AI120" s="386"/>
      <c r="AJ120" s="386"/>
      <c r="AK120" s="386"/>
      <c r="AL120" s="386"/>
      <c r="AN120" s="386"/>
      <c r="AO120" s="386"/>
      <c r="AP120" s="386"/>
      <c r="AQ120" s="386"/>
      <c r="AR120" s="386"/>
      <c r="AS120" s="386"/>
      <c r="AT120" s="386"/>
      <c r="AU120" s="386"/>
      <c r="AV120" s="386"/>
      <c r="AW120" s="386"/>
      <c r="AX120" s="386"/>
      <c r="AY120" s="386"/>
      <c r="AZ120" s="386"/>
      <c r="BA120" s="386"/>
      <c r="BB120" s="386"/>
      <c r="BD120" s="604"/>
      <c r="BE120" s="614"/>
      <c r="BF120" s="614"/>
      <c r="BG120" s="9"/>
      <c r="BH120" s="48"/>
      <c r="BI120" s="386"/>
      <c r="BJ120" s="386"/>
      <c r="BK120" s="386"/>
      <c r="BL120" s="386"/>
      <c r="BM120" s="386"/>
    </row>
    <row r="121" spans="8:65" x14ac:dyDescent="0.3">
      <c r="H121" s="610"/>
      <c r="I121" s="4"/>
      <c r="L121" s="4"/>
      <c r="M121" s="4"/>
      <c r="Q121" s="386"/>
      <c r="R121" s="386"/>
      <c r="S121" s="386"/>
      <c r="T121" s="386"/>
      <c r="V121" s="386"/>
      <c r="W121" s="386"/>
      <c r="X121" s="386"/>
      <c r="Y121" s="386"/>
      <c r="Z121" s="603"/>
      <c r="AA121" s="386"/>
      <c r="AB121" s="386"/>
      <c r="AC121" s="386"/>
      <c r="AE121" s="386"/>
      <c r="AF121" s="386"/>
      <c r="AG121" s="386"/>
      <c r="AH121" s="386"/>
      <c r="AI121" s="386"/>
      <c r="AJ121" s="386"/>
      <c r="AK121" s="386"/>
      <c r="AL121" s="386"/>
      <c r="AN121" s="386"/>
      <c r="AO121" s="386"/>
      <c r="AP121" s="386"/>
      <c r="AQ121" s="386"/>
      <c r="AR121" s="386"/>
      <c r="AS121" s="386"/>
      <c r="AT121" s="386"/>
      <c r="AU121" s="386"/>
      <c r="AV121" s="386"/>
      <c r="AW121" s="386"/>
      <c r="AX121" s="386"/>
      <c r="AY121" s="386"/>
      <c r="AZ121" s="386"/>
      <c r="BA121" s="386"/>
      <c r="BB121" s="386"/>
      <c r="BD121" s="604"/>
      <c r="BE121" s="614"/>
      <c r="BF121" s="614"/>
      <c r="BG121" s="9"/>
      <c r="BH121" s="48"/>
      <c r="BI121" s="386"/>
      <c r="BJ121" s="386"/>
      <c r="BK121" s="386"/>
      <c r="BL121" s="386"/>
      <c r="BM121" s="386"/>
    </row>
    <row r="122" spans="8:65" x14ac:dyDescent="0.3">
      <c r="H122" s="610"/>
      <c r="I122" s="4"/>
      <c r="L122" s="4"/>
      <c r="M122" s="4"/>
      <c r="Q122" s="386"/>
      <c r="R122" s="386"/>
      <c r="S122" s="386"/>
      <c r="T122" s="386"/>
      <c r="V122" s="386"/>
      <c r="W122" s="386"/>
      <c r="X122" s="386"/>
      <c r="Y122" s="386"/>
      <c r="Z122" s="603"/>
      <c r="AA122" s="386"/>
      <c r="AB122" s="386"/>
      <c r="AC122" s="386"/>
      <c r="AE122" s="386"/>
      <c r="AF122" s="386"/>
      <c r="AG122" s="386"/>
      <c r="AH122" s="386"/>
      <c r="AI122" s="386"/>
      <c r="AJ122" s="386"/>
      <c r="AK122" s="386"/>
      <c r="AL122" s="386"/>
      <c r="AN122" s="386"/>
      <c r="AO122" s="386"/>
      <c r="AP122" s="386"/>
      <c r="AQ122" s="386"/>
      <c r="AR122" s="386"/>
      <c r="AS122" s="386"/>
      <c r="AT122" s="386"/>
      <c r="AU122" s="386"/>
      <c r="AV122" s="386"/>
      <c r="AW122" s="386"/>
      <c r="AX122" s="386"/>
      <c r="AY122" s="386"/>
      <c r="AZ122" s="386"/>
      <c r="BA122" s="386"/>
      <c r="BB122" s="386"/>
      <c r="BD122" s="604"/>
      <c r="BE122" s="614"/>
      <c r="BF122" s="614"/>
      <c r="BG122" s="9"/>
      <c r="BH122" s="48"/>
      <c r="BI122" s="386"/>
      <c r="BJ122" s="386"/>
      <c r="BK122" s="386"/>
      <c r="BL122" s="386"/>
      <c r="BM122" s="386"/>
    </row>
    <row r="123" spans="8:65" x14ac:dyDescent="0.3">
      <c r="H123" s="610"/>
      <c r="I123" s="4"/>
      <c r="L123" s="4"/>
      <c r="M123" s="4"/>
      <c r="Q123" s="386"/>
      <c r="R123" s="386"/>
      <c r="S123" s="386"/>
      <c r="T123" s="386"/>
      <c r="V123" s="386"/>
      <c r="W123" s="386"/>
      <c r="X123" s="386"/>
      <c r="Y123" s="386"/>
      <c r="Z123" s="603"/>
      <c r="AA123" s="386"/>
      <c r="AB123" s="386"/>
      <c r="AC123" s="386"/>
      <c r="AE123" s="386"/>
      <c r="AF123" s="386"/>
      <c r="AG123" s="386"/>
      <c r="AH123" s="386"/>
      <c r="AI123" s="386"/>
      <c r="AJ123" s="386"/>
      <c r="AK123" s="386"/>
      <c r="AL123" s="386"/>
      <c r="AN123" s="386"/>
      <c r="AO123" s="386"/>
      <c r="AP123" s="386"/>
      <c r="AQ123" s="386"/>
      <c r="AR123" s="386"/>
      <c r="AS123" s="386"/>
      <c r="AT123" s="386"/>
      <c r="AU123" s="386"/>
      <c r="AV123" s="386"/>
      <c r="AW123" s="386"/>
      <c r="AX123" s="386"/>
      <c r="AY123" s="386"/>
      <c r="AZ123" s="386"/>
      <c r="BA123" s="386"/>
      <c r="BB123" s="386"/>
      <c r="BD123" s="604"/>
      <c r="BE123" s="614"/>
      <c r="BF123" s="614"/>
      <c r="BG123" s="9"/>
      <c r="BH123" s="48"/>
      <c r="BI123" s="386"/>
      <c r="BJ123" s="386"/>
      <c r="BK123" s="386"/>
      <c r="BL123" s="386"/>
      <c r="BM123" s="386"/>
    </row>
    <row r="124" spans="8:65" x14ac:dyDescent="0.3">
      <c r="H124" s="610"/>
      <c r="I124" s="4"/>
      <c r="L124" s="4"/>
      <c r="M124" s="4"/>
      <c r="Q124" s="386"/>
      <c r="R124" s="386"/>
      <c r="S124" s="386"/>
      <c r="T124" s="386"/>
      <c r="V124" s="386"/>
      <c r="W124" s="386"/>
      <c r="X124" s="386"/>
      <c r="Y124" s="386"/>
      <c r="Z124" s="603"/>
      <c r="AA124" s="386"/>
      <c r="AB124" s="386"/>
      <c r="AC124" s="386"/>
      <c r="AE124" s="386"/>
      <c r="AF124" s="386"/>
      <c r="AG124" s="386"/>
      <c r="AH124" s="386"/>
      <c r="AI124" s="386"/>
      <c r="AJ124" s="386"/>
      <c r="AK124" s="386"/>
      <c r="AL124" s="386"/>
      <c r="AN124" s="386"/>
      <c r="AO124" s="386"/>
      <c r="AP124" s="386"/>
      <c r="AQ124" s="386"/>
      <c r="AR124" s="386"/>
      <c r="AS124" s="386"/>
      <c r="AT124" s="386"/>
      <c r="AU124" s="386"/>
      <c r="AV124" s="386"/>
      <c r="AW124" s="386"/>
      <c r="AX124" s="386"/>
      <c r="AY124" s="386"/>
      <c r="AZ124" s="386"/>
      <c r="BA124" s="386"/>
      <c r="BB124" s="386"/>
      <c r="BD124" s="604"/>
      <c r="BE124" s="614"/>
      <c r="BF124" s="614"/>
      <c r="BG124" s="9"/>
      <c r="BH124" s="48"/>
      <c r="BI124" s="386"/>
      <c r="BJ124" s="386"/>
      <c r="BK124" s="386"/>
      <c r="BL124" s="386"/>
      <c r="BM124" s="386"/>
    </row>
    <row r="125" spans="8:65" x14ac:dyDescent="0.3">
      <c r="H125" s="610"/>
      <c r="I125" s="4"/>
      <c r="L125" s="4"/>
      <c r="M125" s="4"/>
      <c r="Q125" s="386"/>
      <c r="R125" s="386"/>
      <c r="S125" s="386"/>
      <c r="T125" s="386"/>
      <c r="V125" s="386"/>
      <c r="W125" s="386"/>
      <c r="X125" s="386"/>
      <c r="Y125" s="386"/>
      <c r="Z125" s="603"/>
      <c r="AA125" s="386"/>
      <c r="AB125" s="386"/>
      <c r="AC125" s="386"/>
      <c r="AE125" s="386"/>
      <c r="AF125" s="386"/>
      <c r="AG125" s="386"/>
      <c r="AH125" s="386"/>
      <c r="AI125" s="386"/>
      <c r="AJ125" s="386"/>
      <c r="AK125" s="386"/>
      <c r="AL125" s="386"/>
      <c r="AN125" s="386"/>
      <c r="AO125" s="386"/>
      <c r="AP125" s="386"/>
      <c r="AQ125" s="386"/>
      <c r="AR125" s="386"/>
      <c r="AS125" s="386"/>
      <c r="AT125" s="386"/>
      <c r="AU125" s="386"/>
      <c r="AV125" s="386"/>
      <c r="AW125" s="386"/>
      <c r="AX125" s="386"/>
      <c r="AY125" s="386"/>
      <c r="AZ125" s="386"/>
      <c r="BA125" s="386"/>
      <c r="BB125" s="386"/>
      <c r="BD125" s="604"/>
      <c r="BE125" s="614"/>
      <c r="BF125" s="614"/>
      <c r="BG125" s="9"/>
      <c r="BH125" s="48"/>
      <c r="BI125" s="386"/>
      <c r="BJ125" s="386"/>
      <c r="BK125" s="386"/>
      <c r="BL125" s="386"/>
      <c r="BM125" s="386"/>
    </row>
    <row r="126" spans="8:65" x14ac:dyDescent="0.3">
      <c r="H126" s="610"/>
      <c r="I126" s="4"/>
      <c r="L126" s="4"/>
      <c r="M126" s="4"/>
      <c r="Q126" s="386"/>
      <c r="R126" s="386"/>
      <c r="S126" s="386"/>
      <c r="T126" s="386"/>
      <c r="V126" s="386"/>
      <c r="W126" s="386"/>
      <c r="X126" s="386"/>
      <c r="Y126" s="386"/>
      <c r="Z126" s="603"/>
      <c r="AA126" s="386"/>
      <c r="AB126" s="386"/>
      <c r="AC126" s="386"/>
      <c r="AE126" s="386"/>
      <c r="AF126" s="386"/>
      <c r="AG126" s="386"/>
      <c r="AH126" s="386"/>
      <c r="AI126" s="386"/>
      <c r="AJ126" s="386"/>
      <c r="AK126" s="386"/>
      <c r="AL126" s="386"/>
      <c r="AN126" s="386"/>
      <c r="AO126" s="386"/>
      <c r="AP126" s="386"/>
      <c r="AQ126" s="386"/>
      <c r="AR126" s="386"/>
      <c r="AS126" s="386"/>
      <c r="AT126" s="386"/>
      <c r="AU126" s="386"/>
      <c r="AV126" s="386"/>
      <c r="AW126" s="386"/>
      <c r="AX126" s="386"/>
      <c r="AY126" s="386"/>
      <c r="AZ126" s="386"/>
      <c r="BA126" s="386"/>
      <c r="BB126" s="386"/>
      <c r="BD126" s="604"/>
      <c r="BE126" s="614"/>
      <c r="BF126" s="614"/>
      <c r="BG126" s="9"/>
      <c r="BH126" s="48"/>
      <c r="BI126" s="386"/>
      <c r="BJ126" s="386"/>
      <c r="BK126" s="386"/>
      <c r="BL126" s="386"/>
      <c r="BM126" s="386"/>
    </row>
    <row r="127" spans="8:65" x14ac:dyDescent="0.3">
      <c r="H127" s="610"/>
      <c r="I127" s="4"/>
      <c r="L127" s="4"/>
      <c r="M127" s="4"/>
      <c r="Q127" s="386"/>
      <c r="R127" s="386"/>
      <c r="S127" s="386"/>
      <c r="T127" s="386"/>
      <c r="V127" s="386"/>
      <c r="W127" s="386"/>
      <c r="X127" s="386"/>
      <c r="Y127" s="386"/>
      <c r="Z127" s="603"/>
      <c r="AA127" s="386"/>
      <c r="AB127" s="386"/>
      <c r="AC127" s="386"/>
      <c r="AE127" s="386"/>
      <c r="AF127" s="386"/>
      <c r="AG127" s="386"/>
      <c r="AH127" s="386"/>
      <c r="AI127" s="386"/>
      <c r="AJ127" s="386"/>
      <c r="AK127" s="386"/>
      <c r="AL127" s="386"/>
      <c r="AN127" s="386"/>
      <c r="AO127" s="386"/>
      <c r="AP127" s="386"/>
      <c r="AQ127" s="386"/>
      <c r="AR127" s="386"/>
      <c r="AS127" s="386"/>
      <c r="AT127" s="386"/>
      <c r="AU127" s="386"/>
      <c r="AV127" s="386"/>
      <c r="AW127" s="386"/>
      <c r="AX127" s="386"/>
      <c r="AY127" s="386"/>
      <c r="AZ127" s="386"/>
      <c r="BA127" s="386"/>
      <c r="BB127" s="386"/>
      <c r="BD127" s="604"/>
      <c r="BE127" s="614"/>
      <c r="BF127" s="614"/>
      <c r="BG127" s="9"/>
      <c r="BH127" s="48"/>
      <c r="BI127" s="386"/>
      <c r="BJ127" s="386"/>
      <c r="BK127" s="386"/>
      <c r="BL127" s="386"/>
      <c r="BM127" s="386"/>
    </row>
    <row r="128" spans="8:65" x14ac:dyDescent="0.3">
      <c r="H128" s="610"/>
      <c r="I128" s="4"/>
      <c r="L128" s="4"/>
      <c r="M128" s="4"/>
      <c r="Q128" s="386"/>
      <c r="R128" s="386"/>
      <c r="S128" s="386"/>
      <c r="T128" s="386"/>
      <c r="V128" s="386"/>
      <c r="W128" s="386"/>
      <c r="X128" s="386"/>
      <c r="Y128" s="386"/>
      <c r="Z128" s="603"/>
      <c r="AA128" s="386"/>
      <c r="AB128" s="386"/>
      <c r="AC128" s="386"/>
      <c r="AE128" s="386"/>
      <c r="AF128" s="386"/>
      <c r="AG128" s="386"/>
      <c r="AH128" s="386"/>
      <c r="AI128" s="386"/>
      <c r="AJ128" s="386"/>
      <c r="AK128" s="386"/>
      <c r="AL128" s="386"/>
      <c r="AN128" s="386"/>
      <c r="AO128" s="386"/>
      <c r="AP128" s="386"/>
      <c r="AQ128" s="386"/>
      <c r="AR128" s="386"/>
      <c r="AS128" s="386"/>
      <c r="AT128" s="386"/>
      <c r="AU128" s="386"/>
      <c r="AV128" s="386"/>
      <c r="AW128" s="386"/>
      <c r="AX128" s="386"/>
      <c r="AY128" s="386"/>
      <c r="AZ128" s="386"/>
      <c r="BA128" s="386"/>
      <c r="BB128" s="386"/>
      <c r="BD128" s="604"/>
      <c r="BE128" s="614"/>
      <c r="BF128" s="614"/>
      <c r="BG128" s="9"/>
      <c r="BH128" s="48"/>
      <c r="BI128" s="386"/>
      <c r="BJ128" s="386"/>
      <c r="BK128" s="386"/>
      <c r="BL128" s="386"/>
      <c r="BM128" s="386"/>
    </row>
    <row r="129" spans="8:65" x14ac:dyDescent="0.3">
      <c r="H129" s="610"/>
      <c r="I129" s="4"/>
      <c r="L129" s="4"/>
      <c r="M129" s="4"/>
      <c r="Q129" s="386"/>
      <c r="R129" s="386"/>
      <c r="S129" s="386"/>
      <c r="T129" s="386"/>
      <c r="V129" s="386"/>
      <c r="W129" s="386"/>
      <c r="X129" s="386"/>
      <c r="Y129" s="386"/>
      <c r="Z129" s="603"/>
      <c r="AA129" s="386"/>
      <c r="AB129" s="386"/>
      <c r="AC129" s="386"/>
      <c r="AE129" s="386"/>
      <c r="AF129" s="386"/>
      <c r="AG129" s="386"/>
      <c r="AH129" s="386"/>
      <c r="AI129" s="386"/>
      <c r="AJ129" s="386"/>
      <c r="AK129" s="386"/>
      <c r="AL129" s="386"/>
      <c r="AN129" s="386"/>
      <c r="AO129" s="386"/>
      <c r="AP129" s="386"/>
      <c r="AQ129" s="386"/>
      <c r="AR129" s="386"/>
      <c r="AS129" s="386"/>
      <c r="AT129" s="386"/>
      <c r="AU129" s="386"/>
      <c r="AV129" s="386"/>
      <c r="AW129" s="386"/>
      <c r="AX129" s="386"/>
      <c r="AY129" s="386"/>
      <c r="AZ129" s="386"/>
      <c r="BA129" s="386"/>
      <c r="BB129" s="386"/>
      <c r="BD129" s="604"/>
      <c r="BE129" s="614"/>
      <c r="BF129" s="614"/>
      <c r="BG129" s="9"/>
      <c r="BH129" s="48"/>
      <c r="BI129" s="386"/>
      <c r="BJ129" s="386"/>
      <c r="BK129" s="386"/>
      <c r="BL129" s="386"/>
      <c r="BM129" s="386"/>
    </row>
    <row r="130" spans="8:65" x14ac:dyDescent="0.3">
      <c r="H130" s="610"/>
      <c r="I130" s="4"/>
      <c r="L130" s="4"/>
      <c r="M130" s="4"/>
      <c r="Q130" s="386"/>
      <c r="R130" s="386"/>
      <c r="S130" s="386"/>
      <c r="T130" s="386"/>
      <c r="V130" s="386"/>
      <c r="W130" s="386"/>
      <c r="X130" s="386"/>
      <c r="Y130" s="386"/>
      <c r="Z130" s="603"/>
      <c r="AA130" s="386"/>
      <c r="AB130" s="386"/>
      <c r="AC130" s="386"/>
      <c r="AE130" s="386"/>
      <c r="AF130" s="386"/>
      <c r="AG130" s="386"/>
      <c r="AH130" s="386"/>
      <c r="AI130" s="386"/>
      <c r="AJ130" s="386"/>
      <c r="AK130" s="386"/>
      <c r="AL130" s="386"/>
      <c r="AN130" s="386"/>
      <c r="AO130" s="386"/>
      <c r="AP130" s="386"/>
      <c r="AQ130" s="386"/>
      <c r="AR130" s="386"/>
      <c r="AS130" s="386"/>
      <c r="AT130" s="386"/>
      <c r="AU130" s="386"/>
      <c r="AV130" s="386"/>
      <c r="AW130" s="386"/>
      <c r="AX130" s="386"/>
      <c r="AY130" s="386"/>
      <c r="AZ130" s="386"/>
      <c r="BA130" s="386"/>
      <c r="BB130" s="386"/>
      <c r="BD130" s="604"/>
      <c r="BE130" s="614"/>
      <c r="BF130" s="614"/>
      <c r="BG130" s="9"/>
      <c r="BH130" s="48"/>
      <c r="BI130" s="386"/>
      <c r="BJ130" s="386"/>
      <c r="BK130" s="386"/>
      <c r="BL130" s="386"/>
      <c r="BM130" s="386"/>
    </row>
    <row r="131" spans="8:65" x14ac:dyDescent="0.3">
      <c r="H131" s="610"/>
      <c r="I131" s="4"/>
      <c r="L131" s="4"/>
      <c r="M131" s="4"/>
      <c r="Q131" s="386"/>
      <c r="R131" s="386"/>
      <c r="S131" s="386"/>
      <c r="T131" s="386"/>
      <c r="V131" s="386"/>
      <c r="W131" s="386"/>
      <c r="X131" s="386"/>
      <c r="Y131" s="386"/>
      <c r="Z131" s="603"/>
      <c r="AA131" s="386"/>
      <c r="AB131" s="386"/>
      <c r="AC131" s="386"/>
      <c r="AE131" s="386"/>
      <c r="AF131" s="386"/>
      <c r="AG131" s="386"/>
      <c r="AH131" s="386"/>
      <c r="AI131" s="386"/>
      <c r="AJ131" s="386"/>
      <c r="AK131" s="386"/>
      <c r="AL131" s="386"/>
      <c r="AN131" s="386"/>
      <c r="AO131" s="386"/>
      <c r="AP131" s="386"/>
      <c r="AQ131" s="386"/>
      <c r="AR131" s="386"/>
      <c r="AS131" s="386"/>
      <c r="AT131" s="386"/>
      <c r="AU131" s="386"/>
      <c r="AV131" s="386"/>
      <c r="AW131" s="386"/>
      <c r="AX131" s="386"/>
      <c r="AY131" s="386"/>
      <c r="AZ131" s="386"/>
      <c r="BA131" s="386"/>
      <c r="BB131" s="386"/>
      <c r="BD131" s="604"/>
      <c r="BE131" s="614"/>
      <c r="BF131" s="614"/>
      <c r="BG131" s="9"/>
      <c r="BH131" s="48"/>
      <c r="BI131" s="386"/>
      <c r="BJ131" s="386"/>
      <c r="BK131" s="386"/>
      <c r="BL131" s="386"/>
      <c r="BM131" s="386"/>
    </row>
    <row r="132" spans="8:65" x14ac:dyDescent="0.3">
      <c r="H132" s="610"/>
      <c r="I132" s="4"/>
      <c r="L132" s="4"/>
      <c r="M132" s="4"/>
      <c r="Q132" s="386"/>
      <c r="R132" s="386"/>
      <c r="S132" s="386"/>
      <c r="T132" s="386"/>
      <c r="V132" s="386"/>
      <c r="W132" s="386"/>
      <c r="X132" s="386"/>
      <c r="Y132" s="386"/>
      <c r="Z132" s="603"/>
      <c r="AA132" s="386"/>
      <c r="AB132" s="386"/>
      <c r="AC132" s="386"/>
      <c r="AE132" s="386"/>
      <c r="AF132" s="386"/>
      <c r="AG132" s="386"/>
      <c r="AH132" s="386"/>
      <c r="AI132" s="386"/>
      <c r="AJ132" s="386"/>
      <c r="AK132" s="386"/>
      <c r="AL132" s="386"/>
      <c r="AN132" s="386"/>
      <c r="AO132" s="386"/>
      <c r="AP132" s="386"/>
      <c r="AQ132" s="386"/>
      <c r="AR132" s="386"/>
      <c r="AS132" s="386"/>
      <c r="AT132" s="386"/>
      <c r="AU132" s="386"/>
      <c r="AV132" s="386"/>
      <c r="AW132" s="386"/>
      <c r="AX132" s="386"/>
      <c r="AY132" s="386"/>
      <c r="AZ132" s="386"/>
      <c r="BA132" s="386"/>
      <c r="BB132" s="386"/>
      <c r="BD132" s="604"/>
      <c r="BE132" s="614"/>
      <c r="BF132" s="614"/>
      <c r="BG132" s="9"/>
      <c r="BH132" s="48"/>
      <c r="BI132" s="386"/>
      <c r="BJ132" s="386"/>
      <c r="BK132" s="386"/>
      <c r="BL132" s="386"/>
      <c r="BM132" s="386"/>
    </row>
    <row r="133" spans="8:65" x14ac:dyDescent="0.3">
      <c r="H133" s="610"/>
      <c r="I133" s="4"/>
      <c r="L133" s="4"/>
      <c r="M133" s="4"/>
      <c r="Q133" s="386"/>
      <c r="R133" s="386"/>
      <c r="S133" s="386"/>
      <c r="T133" s="386"/>
      <c r="V133" s="386"/>
      <c r="W133" s="386"/>
      <c r="X133" s="386"/>
      <c r="Y133" s="386"/>
      <c r="Z133" s="603"/>
      <c r="AA133" s="386"/>
      <c r="AB133" s="386"/>
      <c r="AC133" s="386"/>
      <c r="AE133" s="386"/>
      <c r="AF133" s="386"/>
      <c r="AG133" s="386"/>
      <c r="AH133" s="386"/>
      <c r="AI133" s="386"/>
      <c r="AJ133" s="386"/>
      <c r="AK133" s="386"/>
      <c r="AL133" s="386"/>
      <c r="AN133" s="386"/>
      <c r="AO133" s="386"/>
      <c r="AP133" s="386"/>
      <c r="AQ133" s="386"/>
      <c r="AR133" s="386"/>
      <c r="AS133" s="386"/>
      <c r="AT133" s="386"/>
      <c r="AU133" s="386"/>
      <c r="AV133" s="386"/>
      <c r="AW133" s="386"/>
      <c r="AX133" s="386"/>
      <c r="AY133" s="386"/>
      <c r="AZ133" s="386"/>
      <c r="BA133" s="386"/>
      <c r="BB133" s="386"/>
      <c r="BD133" s="604"/>
      <c r="BE133" s="614"/>
      <c r="BF133" s="614"/>
      <c r="BG133" s="9"/>
      <c r="BH133" s="48"/>
      <c r="BI133" s="386"/>
      <c r="BJ133" s="386"/>
      <c r="BK133" s="386"/>
      <c r="BL133" s="386"/>
      <c r="BM133" s="386"/>
    </row>
    <row r="134" spans="8:65" x14ac:dyDescent="0.3">
      <c r="H134" s="610"/>
      <c r="I134" s="4"/>
      <c r="L134" s="4"/>
      <c r="M134" s="4"/>
      <c r="Q134" s="386"/>
      <c r="R134" s="386"/>
      <c r="S134" s="386"/>
      <c r="T134" s="386"/>
      <c r="V134" s="386"/>
      <c r="W134" s="386"/>
      <c r="X134" s="386"/>
      <c r="Y134" s="386"/>
      <c r="Z134" s="603"/>
      <c r="AA134" s="386"/>
      <c r="AB134" s="386"/>
      <c r="AC134" s="386"/>
      <c r="AE134" s="386"/>
      <c r="AF134" s="386"/>
      <c r="AG134" s="386"/>
      <c r="AH134" s="386"/>
      <c r="AI134" s="386"/>
      <c r="AJ134" s="386"/>
      <c r="AK134" s="386"/>
      <c r="AL134" s="386"/>
      <c r="AN134" s="386"/>
      <c r="AO134" s="386"/>
      <c r="AP134" s="386"/>
      <c r="AQ134" s="386"/>
      <c r="AR134" s="386"/>
      <c r="AS134" s="386"/>
      <c r="AT134" s="386"/>
      <c r="AU134" s="386"/>
      <c r="AV134" s="386"/>
      <c r="AW134" s="386"/>
      <c r="AX134" s="386"/>
      <c r="AY134" s="386"/>
      <c r="AZ134" s="386"/>
      <c r="BA134" s="386"/>
      <c r="BB134" s="386"/>
      <c r="BD134" s="604"/>
      <c r="BE134" s="614"/>
      <c r="BF134" s="614"/>
      <c r="BG134" s="9"/>
      <c r="BH134" s="48"/>
      <c r="BI134" s="386"/>
      <c r="BJ134" s="386"/>
      <c r="BK134" s="386"/>
      <c r="BL134" s="386"/>
      <c r="BM134" s="386"/>
    </row>
    <row r="135" spans="8:65" x14ac:dyDescent="0.3">
      <c r="H135" s="610"/>
      <c r="I135" s="4"/>
      <c r="L135" s="4"/>
      <c r="M135" s="4"/>
      <c r="Q135" s="386"/>
      <c r="R135" s="386"/>
      <c r="S135" s="386"/>
      <c r="T135" s="386"/>
      <c r="V135" s="386"/>
      <c r="W135" s="386"/>
      <c r="X135" s="386"/>
      <c r="Y135" s="386"/>
      <c r="Z135" s="603"/>
      <c r="AA135" s="386"/>
      <c r="AB135" s="386"/>
      <c r="AC135" s="386"/>
      <c r="AE135" s="386"/>
      <c r="AF135" s="386"/>
      <c r="AG135" s="386"/>
      <c r="AH135" s="386"/>
      <c r="AI135" s="386"/>
      <c r="AJ135" s="386"/>
      <c r="AK135" s="386"/>
      <c r="AL135" s="386"/>
      <c r="AN135" s="386"/>
      <c r="AO135" s="386"/>
      <c r="AP135" s="386"/>
      <c r="AQ135" s="386"/>
      <c r="AR135" s="386"/>
      <c r="AS135" s="386"/>
      <c r="AT135" s="386"/>
      <c r="AU135" s="386"/>
      <c r="AV135" s="386"/>
      <c r="AW135" s="386"/>
      <c r="AX135" s="386"/>
      <c r="AY135" s="386"/>
      <c r="AZ135" s="386"/>
      <c r="BA135" s="386"/>
      <c r="BB135" s="386"/>
      <c r="BD135" s="604"/>
      <c r="BE135" s="614"/>
      <c r="BF135" s="614"/>
      <c r="BG135" s="9"/>
      <c r="BH135" s="48"/>
      <c r="BI135" s="386"/>
      <c r="BJ135" s="386"/>
      <c r="BK135" s="386"/>
      <c r="BL135" s="386"/>
      <c r="BM135" s="386"/>
    </row>
    <row r="136" spans="8:65" x14ac:dyDescent="0.3">
      <c r="H136" s="610"/>
      <c r="I136" s="4"/>
      <c r="L136" s="4"/>
      <c r="M136" s="4"/>
      <c r="Q136" s="386"/>
      <c r="R136" s="386"/>
      <c r="S136" s="386"/>
      <c r="T136" s="386"/>
      <c r="V136" s="386"/>
      <c r="W136" s="386"/>
      <c r="X136" s="386"/>
      <c r="Y136" s="386"/>
      <c r="Z136" s="603"/>
      <c r="AA136" s="386"/>
      <c r="AB136" s="386"/>
      <c r="AC136" s="386"/>
      <c r="AE136" s="386"/>
      <c r="AF136" s="386"/>
      <c r="AG136" s="386"/>
      <c r="AH136" s="386"/>
      <c r="AI136" s="386"/>
      <c r="AJ136" s="386"/>
      <c r="AK136" s="386"/>
      <c r="AL136" s="386"/>
      <c r="AN136" s="386"/>
      <c r="AO136" s="386"/>
      <c r="AP136" s="386"/>
      <c r="AQ136" s="386"/>
      <c r="AR136" s="386"/>
      <c r="AS136" s="386"/>
      <c r="AT136" s="386"/>
      <c r="AU136" s="386"/>
      <c r="AV136" s="386"/>
      <c r="AW136" s="386"/>
      <c r="AX136" s="386"/>
      <c r="AY136" s="386"/>
      <c r="AZ136" s="386"/>
      <c r="BA136" s="386"/>
      <c r="BB136" s="386"/>
      <c r="BD136" s="604"/>
      <c r="BE136" s="614"/>
      <c r="BF136" s="614"/>
      <c r="BG136" s="9"/>
      <c r="BH136" s="48"/>
      <c r="BI136" s="386"/>
      <c r="BJ136" s="386"/>
      <c r="BK136" s="386"/>
      <c r="BL136" s="386"/>
      <c r="BM136" s="386"/>
    </row>
    <row r="137" spans="8:65" x14ac:dyDescent="0.3">
      <c r="H137" s="610"/>
      <c r="I137" s="4"/>
      <c r="L137" s="4"/>
      <c r="M137" s="4"/>
      <c r="Q137" s="386"/>
      <c r="R137" s="386"/>
      <c r="S137" s="386"/>
      <c r="T137" s="386"/>
      <c r="V137" s="386"/>
      <c r="W137" s="386"/>
      <c r="X137" s="386"/>
      <c r="Y137" s="386"/>
      <c r="Z137" s="603"/>
      <c r="AA137" s="386"/>
      <c r="AB137" s="386"/>
      <c r="AC137" s="386"/>
      <c r="AE137" s="386"/>
      <c r="AF137" s="386"/>
      <c r="AG137" s="386"/>
      <c r="AH137" s="386"/>
      <c r="AI137" s="386"/>
      <c r="AJ137" s="386"/>
      <c r="AK137" s="386"/>
      <c r="AL137" s="386"/>
      <c r="AN137" s="386"/>
      <c r="AO137" s="386"/>
      <c r="AP137" s="386"/>
      <c r="AQ137" s="386"/>
      <c r="AR137" s="386"/>
      <c r="AS137" s="386"/>
      <c r="AT137" s="386"/>
      <c r="AU137" s="386"/>
      <c r="AV137" s="386"/>
      <c r="AW137" s="386"/>
      <c r="AX137" s="386"/>
      <c r="AY137" s="386"/>
      <c r="AZ137" s="386"/>
      <c r="BA137" s="386"/>
      <c r="BB137" s="386"/>
      <c r="BD137" s="604"/>
      <c r="BE137" s="614"/>
      <c r="BF137" s="614"/>
      <c r="BG137" s="9"/>
      <c r="BH137" s="48"/>
      <c r="BI137" s="386"/>
      <c r="BJ137" s="386"/>
      <c r="BK137" s="386"/>
      <c r="BL137" s="386"/>
      <c r="BM137" s="386"/>
    </row>
    <row r="138" spans="8:65" x14ac:dyDescent="0.3">
      <c r="H138" s="610"/>
      <c r="I138" s="4"/>
      <c r="L138" s="4"/>
      <c r="M138" s="4"/>
      <c r="Q138" s="386"/>
      <c r="R138" s="386"/>
      <c r="S138" s="386"/>
      <c r="T138" s="386"/>
      <c r="V138" s="386"/>
      <c r="W138" s="386"/>
      <c r="X138" s="386"/>
      <c r="Y138" s="386"/>
      <c r="Z138" s="603"/>
      <c r="AA138" s="386"/>
      <c r="AB138" s="386"/>
      <c r="AC138" s="386"/>
      <c r="AE138" s="386"/>
      <c r="AF138" s="386"/>
      <c r="AG138" s="386"/>
      <c r="AH138" s="386"/>
      <c r="AI138" s="386"/>
      <c r="AJ138" s="386"/>
      <c r="AK138" s="386"/>
      <c r="AL138" s="386"/>
      <c r="AN138" s="386"/>
      <c r="AO138" s="386"/>
      <c r="AP138" s="386"/>
      <c r="AQ138" s="386"/>
      <c r="AR138" s="386"/>
      <c r="AS138" s="386"/>
      <c r="AT138" s="386"/>
      <c r="AU138" s="386"/>
      <c r="AV138" s="386"/>
      <c r="AW138" s="386"/>
      <c r="AX138" s="386"/>
      <c r="AY138" s="386"/>
      <c r="AZ138" s="386"/>
      <c r="BA138" s="386"/>
      <c r="BB138" s="386"/>
      <c r="BD138" s="604"/>
      <c r="BE138" s="614"/>
      <c r="BF138" s="614"/>
      <c r="BG138" s="9"/>
      <c r="BH138" s="48"/>
      <c r="BI138" s="386"/>
      <c r="BJ138" s="386"/>
      <c r="BK138" s="386"/>
      <c r="BL138" s="386"/>
      <c r="BM138" s="386"/>
    </row>
    <row r="139" spans="8:65" x14ac:dyDescent="0.3">
      <c r="H139" s="610"/>
      <c r="I139" s="4"/>
      <c r="L139" s="4"/>
      <c r="M139" s="4"/>
      <c r="Q139" s="386"/>
      <c r="R139" s="386"/>
      <c r="S139" s="386"/>
      <c r="T139" s="386"/>
      <c r="V139" s="386"/>
      <c r="W139" s="386"/>
      <c r="X139" s="386"/>
      <c r="Y139" s="386"/>
      <c r="Z139" s="603"/>
      <c r="AA139" s="386"/>
      <c r="AB139" s="386"/>
      <c r="AC139" s="386"/>
      <c r="AE139" s="386"/>
      <c r="AF139" s="386"/>
      <c r="AG139" s="386"/>
      <c r="AH139" s="386"/>
      <c r="AI139" s="386"/>
      <c r="AJ139" s="386"/>
      <c r="AK139" s="386"/>
      <c r="AL139" s="386"/>
      <c r="AN139" s="386"/>
      <c r="AO139" s="386"/>
      <c r="AP139" s="386"/>
      <c r="AQ139" s="386"/>
      <c r="AR139" s="386"/>
      <c r="AS139" s="386"/>
      <c r="AT139" s="386"/>
      <c r="AU139" s="386"/>
      <c r="AV139" s="386"/>
      <c r="AW139" s="386"/>
      <c r="AX139" s="386"/>
      <c r="AY139" s="386"/>
      <c r="AZ139" s="386"/>
      <c r="BA139" s="386"/>
      <c r="BB139" s="386"/>
      <c r="BD139" s="604"/>
      <c r="BE139" s="614"/>
      <c r="BF139" s="614"/>
      <c r="BG139" s="9"/>
      <c r="BH139" s="48"/>
      <c r="BI139" s="386"/>
      <c r="BJ139" s="386"/>
      <c r="BK139" s="386"/>
      <c r="BL139" s="386"/>
      <c r="BM139" s="386"/>
    </row>
    <row r="140" spans="8:65" x14ac:dyDescent="0.3">
      <c r="H140" s="610"/>
      <c r="I140" s="4"/>
      <c r="L140" s="4"/>
      <c r="M140" s="4"/>
      <c r="Q140" s="386"/>
      <c r="R140" s="386"/>
      <c r="S140" s="386"/>
      <c r="T140" s="386"/>
      <c r="V140" s="386"/>
      <c r="W140" s="386"/>
      <c r="X140" s="386"/>
      <c r="Y140" s="386"/>
      <c r="Z140" s="603"/>
      <c r="AA140" s="386"/>
      <c r="AB140" s="386"/>
      <c r="AC140" s="386"/>
      <c r="AE140" s="386"/>
      <c r="AF140" s="386"/>
      <c r="AG140" s="386"/>
      <c r="AH140" s="386"/>
      <c r="AI140" s="386"/>
      <c r="AJ140" s="386"/>
      <c r="AK140" s="386"/>
      <c r="AL140" s="386"/>
      <c r="AN140" s="386"/>
      <c r="AO140" s="386"/>
      <c r="AP140" s="386"/>
      <c r="AQ140" s="386"/>
      <c r="AR140" s="386"/>
      <c r="AS140" s="386"/>
      <c r="AT140" s="386"/>
      <c r="AU140" s="386"/>
      <c r="AV140" s="386"/>
      <c r="AW140" s="386"/>
      <c r="AX140" s="386"/>
      <c r="AY140" s="386"/>
      <c r="AZ140" s="386"/>
      <c r="BA140" s="386"/>
      <c r="BB140" s="386"/>
      <c r="BD140" s="604"/>
      <c r="BE140" s="614"/>
      <c r="BF140" s="614"/>
      <c r="BG140" s="9"/>
      <c r="BH140" s="48"/>
      <c r="BI140" s="386"/>
      <c r="BJ140" s="386"/>
      <c r="BK140" s="386"/>
      <c r="BL140" s="386"/>
      <c r="BM140" s="386"/>
    </row>
    <row r="141" spans="8:65" x14ac:dyDescent="0.3">
      <c r="H141" s="610"/>
      <c r="I141" s="4"/>
      <c r="L141" s="4"/>
      <c r="M141" s="4"/>
      <c r="Q141" s="386"/>
      <c r="R141" s="386"/>
      <c r="S141" s="386"/>
      <c r="T141" s="386"/>
      <c r="V141" s="386"/>
      <c r="W141" s="386"/>
      <c r="X141" s="386"/>
      <c r="Y141" s="386"/>
      <c r="Z141" s="603"/>
      <c r="AA141" s="386"/>
      <c r="AB141" s="386"/>
      <c r="AC141" s="386"/>
      <c r="AE141" s="386"/>
      <c r="AF141" s="386"/>
      <c r="AG141" s="386"/>
      <c r="AH141" s="386"/>
      <c r="AI141" s="386"/>
      <c r="AJ141" s="386"/>
      <c r="AK141" s="386"/>
      <c r="AL141" s="386"/>
      <c r="AN141" s="386"/>
      <c r="AO141" s="386"/>
      <c r="AP141" s="386"/>
      <c r="AQ141" s="386"/>
      <c r="AR141" s="386"/>
      <c r="AS141" s="386"/>
      <c r="AT141" s="386"/>
      <c r="AU141" s="386"/>
      <c r="AV141" s="386"/>
      <c r="AW141" s="386"/>
      <c r="AX141" s="386"/>
      <c r="AY141" s="386"/>
      <c r="AZ141" s="386"/>
      <c r="BA141" s="386"/>
      <c r="BB141" s="386"/>
      <c r="BD141" s="604"/>
      <c r="BE141" s="614"/>
      <c r="BF141" s="614"/>
      <c r="BG141" s="9"/>
      <c r="BH141" s="48"/>
      <c r="BI141" s="386"/>
      <c r="BJ141" s="386"/>
      <c r="BK141" s="386"/>
      <c r="BL141" s="386"/>
      <c r="BM141" s="386"/>
    </row>
    <row r="142" spans="8:65" x14ac:dyDescent="0.3">
      <c r="H142" s="610"/>
      <c r="I142" s="4"/>
      <c r="L142" s="4"/>
      <c r="M142" s="4"/>
      <c r="Q142" s="386"/>
      <c r="R142" s="386"/>
      <c r="S142" s="386"/>
      <c r="T142" s="386"/>
      <c r="V142" s="386"/>
      <c r="W142" s="386"/>
      <c r="X142" s="386"/>
      <c r="Y142" s="386"/>
      <c r="Z142" s="603"/>
      <c r="AA142" s="386"/>
      <c r="AB142" s="386"/>
      <c r="AC142" s="386"/>
      <c r="AE142" s="386"/>
      <c r="AF142" s="386"/>
      <c r="AG142" s="386"/>
      <c r="AH142" s="386"/>
      <c r="AI142" s="386"/>
      <c r="AJ142" s="386"/>
      <c r="AK142" s="386"/>
      <c r="AL142" s="386"/>
      <c r="AN142" s="386"/>
      <c r="AO142" s="386"/>
      <c r="AP142" s="386"/>
      <c r="AQ142" s="386"/>
      <c r="AR142" s="386"/>
      <c r="AS142" s="386"/>
      <c r="AT142" s="386"/>
      <c r="AU142" s="386"/>
      <c r="AV142" s="386"/>
      <c r="AW142" s="386"/>
      <c r="AX142" s="386"/>
      <c r="AY142" s="386"/>
      <c r="AZ142" s="386"/>
      <c r="BA142" s="386"/>
      <c r="BB142" s="386"/>
      <c r="BD142" s="604"/>
      <c r="BE142" s="614"/>
      <c r="BF142" s="614"/>
      <c r="BG142" s="9"/>
      <c r="BH142" s="48"/>
      <c r="BI142" s="386"/>
      <c r="BJ142" s="386"/>
      <c r="BK142" s="386"/>
      <c r="BL142" s="386"/>
      <c r="BM142" s="386"/>
    </row>
    <row r="143" spans="8:65" x14ac:dyDescent="0.3">
      <c r="H143" s="610"/>
      <c r="I143" s="4"/>
      <c r="L143" s="4"/>
      <c r="M143" s="4"/>
      <c r="Q143" s="386"/>
      <c r="R143" s="386"/>
      <c r="S143" s="386"/>
      <c r="T143" s="386"/>
      <c r="V143" s="386"/>
      <c r="W143" s="386"/>
      <c r="X143" s="386"/>
      <c r="Y143" s="386"/>
      <c r="Z143" s="603"/>
      <c r="AA143" s="386"/>
      <c r="AB143" s="386"/>
      <c r="AC143" s="386"/>
      <c r="AE143" s="386"/>
      <c r="AF143" s="386"/>
      <c r="AG143" s="386"/>
      <c r="AH143" s="386"/>
      <c r="AI143" s="386"/>
      <c r="AJ143" s="386"/>
      <c r="AK143" s="386"/>
      <c r="AL143" s="386"/>
      <c r="AN143" s="386"/>
      <c r="AO143" s="386"/>
      <c r="AP143" s="386"/>
      <c r="AQ143" s="386"/>
      <c r="AR143" s="386"/>
      <c r="AS143" s="386"/>
      <c r="AT143" s="386"/>
      <c r="AU143" s="386"/>
      <c r="AV143" s="386"/>
      <c r="AW143" s="386"/>
      <c r="AX143" s="386"/>
      <c r="AY143" s="386"/>
      <c r="AZ143" s="386"/>
      <c r="BA143" s="386"/>
      <c r="BB143" s="386"/>
      <c r="BD143" s="604"/>
      <c r="BE143" s="614"/>
      <c r="BF143" s="614"/>
      <c r="BG143" s="9"/>
      <c r="BH143" s="48"/>
      <c r="BI143" s="386"/>
      <c r="BJ143" s="386"/>
      <c r="BK143" s="386"/>
      <c r="BL143" s="386"/>
      <c r="BM143" s="386"/>
    </row>
    <row r="144" spans="8:65" x14ac:dyDescent="0.3">
      <c r="H144" s="610"/>
      <c r="I144" s="4"/>
      <c r="L144" s="4"/>
      <c r="M144" s="4"/>
      <c r="Q144" s="386"/>
      <c r="R144" s="386"/>
      <c r="S144" s="386"/>
      <c r="T144" s="386"/>
      <c r="V144" s="386"/>
      <c r="W144" s="386"/>
      <c r="X144" s="386"/>
      <c r="Y144" s="386"/>
      <c r="Z144" s="603"/>
      <c r="AA144" s="386"/>
      <c r="AB144" s="386"/>
      <c r="AC144" s="386"/>
      <c r="AE144" s="386"/>
      <c r="AF144" s="386"/>
      <c r="AG144" s="386"/>
      <c r="AH144" s="386"/>
      <c r="AI144" s="386"/>
      <c r="AJ144" s="386"/>
      <c r="AK144" s="386"/>
      <c r="AL144" s="386"/>
      <c r="AN144" s="386"/>
      <c r="AO144" s="386"/>
      <c r="AP144" s="386"/>
      <c r="AQ144" s="386"/>
      <c r="AR144" s="386"/>
      <c r="AS144" s="386"/>
      <c r="AT144" s="386"/>
      <c r="AU144" s="386"/>
      <c r="AV144" s="386"/>
      <c r="AW144" s="386"/>
      <c r="AX144" s="386"/>
      <c r="AY144" s="386"/>
      <c r="AZ144" s="386"/>
      <c r="BA144" s="386"/>
      <c r="BB144" s="386"/>
      <c r="BD144" s="604"/>
      <c r="BE144" s="614"/>
      <c r="BF144" s="614"/>
      <c r="BG144" s="9"/>
      <c r="BH144" s="48"/>
      <c r="BI144" s="386"/>
      <c r="BJ144" s="386"/>
      <c r="BK144" s="386"/>
      <c r="BL144" s="386"/>
      <c r="BM144" s="386"/>
    </row>
    <row r="145" spans="8:65" x14ac:dyDescent="0.3">
      <c r="H145" s="610"/>
      <c r="I145" s="4"/>
      <c r="L145" s="4"/>
      <c r="M145" s="4"/>
      <c r="Q145" s="386"/>
      <c r="R145" s="386"/>
      <c r="S145" s="386"/>
      <c r="T145" s="386"/>
      <c r="V145" s="386"/>
      <c r="W145" s="386"/>
      <c r="X145" s="386"/>
      <c r="Y145" s="386"/>
      <c r="Z145" s="603"/>
      <c r="AA145" s="386"/>
      <c r="AB145" s="386"/>
      <c r="AC145" s="386"/>
      <c r="AE145" s="386"/>
      <c r="AF145" s="386"/>
      <c r="AG145" s="386"/>
      <c r="AH145" s="386"/>
      <c r="AI145" s="386"/>
      <c r="AJ145" s="386"/>
      <c r="AK145" s="386"/>
      <c r="AL145" s="386"/>
      <c r="AN145" s="386"/>
      <c r="AO145" s="386"/>
      <c r="AP145" s="386"/>
      <c r="AQ145" s="386"/>
      <c r="AR145" s="386"/>
      <c r="AS145" s="386"/>
      <c r="AT145" s="386"/>
      <c r="AU145" s="386"/>
      <c r="AV145" s="386"/>
      <c r="AW145" s="386"/>
      <c r="AX145" s="386"/>
      <c r="AY145" s="386"/>
      <c r="AZ145" s="386"/>
      <c r="BA145" s="386"/>
      <c r="BB145" s="386"/>
      <c r="BD145" s="604"/>
      <c r="BE145" s="614"/>
      <c r="BF145" s="614"/>
      <c r="BG145" s="9"/>
      <c r="BH145" s="48"/>
      <c r="BI145" s="386"/>
      <c r="BJ145" s="386"/>
      <c r="BK145" s="386"/>
      <c r="BL145" s="386"/>
      <c r="BM145" s="386"/>
    </row>
    <row r="146" spans="8:65" x14ac:dyDescent="0.3">
      <c r="H146" s="610"/>
      <c r="I146" s="4"/>
      <c r="L146" s="4"/>
      <c r="M146" s="4"/>
      <c r="Q146" s="386"/>
      <c r="R146" s="386"/>
      <c r="S146" s="386"/>
      <c r="T146" s="386"/>
      <c r="V146" s="386"/>
      <c r="W146" s="386"/>
      <c r="X146" s="386"/>
      <c r="Y146" s="386"/>
      <c r="Z146" s="603"/>
      <c r="AA146" s="386"/>
      <c r="AB146" s="386"/>
      <c r="AC146" s="386"/>
      <c r="AE146" s="386"/>
      <c r="AF146" s="386"/>
      <c r="AG146" s="386"/>
      <c r="AH146" s="386"/>
      <c r="AI146" s="386"/>
      <c r="AJ146" s="386"/>
      <c r="AK146" s="386"/>
      <c r="AL146" s="386"/>
      <c r="AN146" s="386"/>
      <c r="AO146" s="386"/>
      <c r="AP146" s="386"/>
      <c r="AQ146" s="386"/>
      <c r="AR146" s="386"/>
      <c r="AS146" s="386"/>
      <c r="AT146" s="386"/>
      <c r="AU146" s="386"/>
      <c r="AV146" s="386"/>
      <c r="AW146" s="386"/>
      <c r="AX146" s="386"/>
      <c r="AY146" s="386"/>
      <c r="AZ146" s="386"/>
      <c r="BA146" s="386"/>
      <c r="BB146" s="386"/>
      <c r="BD146" s="604"/>
      <c r="BE146" s="614"/>
      <c r="BF146" s="614"/>
      <c r="BG146" s="9"/>
      <c r="BH146" s="48"/>
      <c r="BI146" s="386"/>
      <c r="BJ146" s="386"/>
      <c r="BK146" s="386"/>
      <c r="BL146" s="386"/>
      <c r="BM146" s="386"/>
    </row>
    <row r="147" spans="8:65" x14ac:dyDescent="0.3">
      <c r="H147" s="610"/>
      <c r="I147" s="4"/>
      <c r="L147" s="4"/>
      <c r="M147" s="4"/>
      <c r="Q147" s="386"/>
      <c r="R147" s="386"/>
      <c r="S147" s="386"/>
      <c r="T147" s="386"/>
      <c r="V147" s="386"/>
      <c r="W147" s="386"/>
      <c r="X147" s="386"/>
      <c r="Y147" s="386"/>
      <c r="Z147" s="603"/>
      <c r="AA147" s="386"/>
      <c r="AB147" s="386"/>
      <c r="AC147" s="386"/>
      <c r="AE147" s="386"/>
      <c r="AF147" s="386"/>
      <c r="AG147" s="386"/>
      <c r="AH147" s="386"/>
      <c r="AI147" s="386"/>
      <c r="AJ147" s="386"/>
      <c r="AK147" s="386"/>
      <c r="AL147" s="386"/>
      <c r="AN147" s="386"/>
      <c r="AO147" s="386"/>
      <c r="AP147" s="386"/>
      <c r="AQ147" s="386"/>
      <c r="AR147" s="386"/>
      <c r="AS147" s="386"/>
      <c r="AT147" s="386"/>
      <c r="AU147" s="386"/>
      <c r="AV147" s="386"/>
      <c r="AW147" s="386"/>
      <c r="AX147" s="386"/>
      <c r="AY147" s="386"/>
      <c r="AZ147" s="386"/>
      <c r="BA147" s="386"/>
      <c r="BB147" s="386"/>
      <c r="BD147" s="604"/>
      <c r="BE147" s="614"/>
      <c r="BF147" s="614"/>
      <c r="BG147" s="9"/>
      <c r="BH147" s="48"/>
      <c r="BI147" s="386"/>
      <c r="BJ147" s="386"/>
      <c r="BK147" s="386"/>
      <c r="BL147" s="386"/>
      <c r="BM147" s="386"/>
    </row>
    <row r="148" spans="8:65" x14ac:dyDescent="0.3">
      <c r="H148" s="610"/>
      <c r="I148" s="4"/>
      <c r="L148" s="4"/>
      <c r="M148" s="4"/>
      <c r="Q148" s="386"/>
      <c r="R148" s="386"/>
      <c r="S148" s="386"/>
      <c r="T148" s="386"/>
      <c r="V148" s="386"/>
      <c r="W148" s="386"/>
      <c r="X148" s="386"/>
      <c r="Y148" s="386"/>
      <c r="Z148" s="603"/>
      <c r="AA148" s="386"/>
      <c r="AB148" s="386"/>
      <c r="AC148" s="386"/>
      <c r="AE148" s="386"/>
      <c r="AF148" s="386"/>
      <c r="AG148" s="386"/>
      <c r="AH148" s="386"/>
      <c r="AI148" s="386"/>
      <c r="AJ148" s="386"/>
      <c r="AK148" s="386"/>
      <c r="AL148" s="386"/>
      <c r="AN148" s="386"/>
      <c r="AO148" s="386"/>
      <c r="AP148" s="386"/>
      <c r="AQ148" s="386"/>
      <c r="AR148" s="386"/>
      <c r="AS148" s="386"/>
      <c r="AT148" s="386"/>
      <c r="AU148" s="386"/>
      <c r="AV148" s="386"/>
      <c r="AW148" s="386"/>
      <c r="AX148" s="386"/>
      <c r="AY148" s="386"/>
      <c r="AZ148" s="386"/>
      <c r="BA148" s="386"/>
      <c r="BB148" s="386"/>
      <c r="BD148" s="604"/>
      <c r="BE148" s="614"/>
      <c r="BF148" s="614"/>
      <c r="BG148" s="9"/>
      <c r="BH148" s="48"/>
      <c r="BI148" s="386"/>
      <c r="BJ148" s="386"/>
      <c r="BK148" s="386"/>
      <c r="BL148" s="386"/>
      <c r="BM148" s="386"/>
    </row>
    <row r="149" spans="8:65" x14ac:dyDescent="0.3">
      <c r="H149" s="610"/>
      <c r="I149" s="4"/>
      <c r="L149" s="4"/>
      <c r="M149" s="4"/>
      <c r="Q149" s="386"/>
      <c r="R149" s="386"/>
      <c r="S149" s="386"/>
      <c r="T149" s="386"/>
      <c r="V149" s="386"/>
      <c r="W149" s="386"/>
      <c r="X149" s="386"/>
      <c r="Y149" s="386"/>
      <c r="Z149" s="603"/>
      <c r="AA149" s="386"/>
      <c r="AB149" s="386"/>
      <c r="AC149" s="386"/>
      <c r="AE149" s="386"/>
      <c r="AF149" s="386"/>
      <c r="AG149" s="386"/>
      <c r="AH149" s="386"/>
      <c r="AI149" s="386"/>
      <c r="AJ149" s="386"/>
      <c r="AK149" s="386"/>
      <c r="AL149" s="386"/>
      <c r="AN149" s="386"/>
      <c r="AO149" s="386"/>
      <c r="AP149" s="386"/>
      <c r="AQ149" s="386"/>
      <c r="AR149" s="386"/>
      <c r="AS149" s="386"/>
      <c r="AT149" s="386"/>
      <c r="AU149" s="386"/>
      <c r="AV149" s="386"/>
      <c r="AW149" s="386"/>
      <c r="AX149" s="386"/>
      <c r="AY149" s="386"/>
      <c r="AZ149" s="386"/>
      <c r="BA149" s="386"/>
      <c r="BB149" s="386"/>
      <c r="BD149" s="604"/>
      <c r="BE149" s="614"/>
      <c r="BF149" s="614"/>
      <c r="BG149" s="9"/>
      <c r="BH149" s="48"/>
      <c r="BI149" s="386"/>
      <c r="BJ149" s="386"/>
      <c r="BK149" s="386"/>
      <c r="BL149" s="386"/>
      <c r="BM149" s="386"/>
    </row>
    <row r="150" spans="8:65" x14ac:dyDescent="0.3">
      <c r="H150" s="610"/>
      <c r="I150" s="4"/>
      <c r="L150" s="4"/>
      <c r="M150" s="4"/>
      <c r="Q150" s="386"/>
      <c r="R150" s="386"/>
      <c r="S150" s="386"/>
      <c r="T150" s="386"/>
      <c r="V150" s="386"/>
      <c r="W150" s="386"/>
      <c r="X150" s="386"/>
      <c r="Y150" s="386"/>
      <c r="Z150" s="603"/>
      <c r="AA150" s="386"/>
      <c r="AB150" s="386"/>
      <c r="AC150" s="386"/>
      <c r="AE150" s="386"/>
      <c r="AF150" s="386"/>
      <c r="AG150" s="386"/>
      <c r="AH150" s="386"/>
      <c r="AI150" s="386"/>
      <c r="AJ150" s="386"/>
      <c r="AK150" s="386"/>
      <c r="AL150" s="386"/>
      <c r="AN150" s="386"/>
      <c r="AO150" s="386"/>
      <c r="AP150" s="386"/>
      <c r="AQ150" s="386"/>
      <c r="AR150" s="386"/>
      <c r="AS150" s="386"/>
      <c r="AT150" s="386"/>
      <c r="AU150" s="386"/>
      <c r="AV150" s="386"/>
      <c r="AW150" s="386"/>
      <c r="AX150" s="386"/>
      <c r="AY150" s="386"/>
      <c r="AZ150" s="386"/>
      <c r="BA150" s="386"/>
      <c r="BB150" s="386"/>
      <c r="BD150" s="604"/>
      <c r="BE150" s="614"/>
      <c r="BF150" s="614"/>
      <c r="BG150" s="9"/>
      <c r="BH150" s="48"/>
      <c r="BI150" s="386"/>
      <c r="BJ150" s="386"/>
      <c r="BK150" s="386"/>
      <c r="BL150" s="386"/>
      <c r="BM150" s="386"/>
    </row>
    <row r="151" spans="8:65" x14ac:dyDescent="0.3">
      <c r="H151" s="610"/>
      <c r="I151" s="4"/>
      <c r="L151" s="4"/>
      <c r="M151" s="4"/>
      <c r="Q151" s="386"/>
      <c r="R151" s="386"/>
      <c r="S151" s="386"/>
      <c r="T151" s="386"/>
      <c r="V151" s="386"/>
      <c r="W151" s="386"/>
      <c r="X151" s="386"/>
      <c r="Y151" s="386"/>
      <c r="Z151" s="603"/>
      <c r="AA151" s="386"/>
      <c r="AB151" s="386"/>
      <c r="AC151" s="386"/>
      <c r="AE151" s="386"/>
      <c r="AF151" s="386"/>
      <c r="AG151" s="386"/>
      <c r="AH151" s="386"/>
      <c r="AI151" s="386"/>
      <c r="AJ151" s="386"/>
      <c r="AK151" s="386"/>
      <c r="AL151" s="386"/>
      <c r="AN151" s="386"/>
      <c r="AO151" s="386"/>
      <c r="AP151" s="386"/>
      <c r="AQ151" s="386"/>
      <c r="AR151" s="386"/>
      <c r="AS151" s="386"/>
      <c r="AT151" s="386"/>
      <c r="AU151" s="386"/>
      <c r="AV151" s="386"/>
      <c r="AW151" s="386"/>
      <c r="AX151" s="386"/>
      <c r="AY151" s="386"/>
      <c r="AZ151" s="386"/>
      <c r="BA151" s="386"/>
      <c r="BB151" s="386"/>
      <c r="BD151" s="604"/>
      <c r="BE151" s="614"/>
      <c r="BF151" s="614"/>
      <c r="BG151" s="9"/>
      <c r="BH151" s="48"/>
      <c r="BI151" s="386"/>
      <c r="BJ151" s="386"/>
      <c r="BK151" s="386"/>
      <c r="BL151" s="386"/>
      <c r="BM151" s="386"/>
    </row>
    <row r="152" spans="8:65" x14ac:dyDescent="0.3">
      <c r="H152" s="610"/>
      <c r="I152" s="4"/>
      <c r="L152" s="4"/>
      <c r="M152" s="4"/>
      <c r="Q152" s="386"/>
      <c r="R152" s="386"/>
      <c r="S152" s="386"/>
      <c r="T152" s="386"/>
      <c r="V152" s="386"/>
      <c r="W152" s="386"/>
      <c r="X152" s="386"/>
      <c r="Y152" s="386"/>
      <c r="Z152" s="603"/>
      <c r="AA152" s="386"/>
      <c r="AB152" s="386"/>
      <c r="AC152" s="386"/>
      <c r="AE152" s="386"/>
      <c r="AF152" s="386"/>
      <c r="AG152" s="386"/>
      <c r="AH152" s="386"/>
      <c r="AI152" s="386"/>
      <c r="AJ152" s="386"/>
      <c r="AK152" s="386"/>
      <c r="AL152" s="386"/>
      <c r="AN152" s="386"/>
      <c r="AO152" s="386"/>
      <c r="AP152" s="386"/>
      <c r="AQ152" s="386"/>
      <c r="AR152" s="386"/>
      <c r="AS152" s="386"/>
      <c r="AT152" s="386"/>
      <c r="AU152" s="386"/>
      <c r="AV152" s="386"/>
      <c r="AW152" s="386"/>
      <c r="AX152" s="386"/>
      <c r="AY152" s="386"/>
      <c r="AZ152" s="386"/>
      <c r="BA152" s="386"/>
      <c r="BB152" s="386"/>
      <c r="BD152" s="604"/>
      <c r="BE152" s="614"/>
      <c r="BF152" s="614"/>
      <c r="BG152" s="9"/>
      <c r="BH152" s="48"/>
      <c r="BI152" s="386"/>
      <c r="BJ152" s="386"/>
      <c r="BK152" s="386"/>
      <c r="BL152" s="386"/>
      <c r="BM152" s="386"/>
    </row>
    <row r="153" spans="8:65" x14ac:dyDescent="0.3">
      <c r="H153" s="610"/>
      <c r="I153" s="4"/>
      <c r="L153" s="4"/>
      <c r="M153" s="4"/>
      <c r="Q153" s="386"/>
      <c r="R153" s="386"/>
      <c r="S153" s="386"/>
      <c r="T153" s="386"/>
      <c r="V153" s="386"/>
      <c r="W153" s="386"/>
      <c r="X153" s="386"/>
      <c r="Y153" s="386"/>
      <c r="Z153" s="603"/>
      <c r="AA153" s="386"/>
      <c r="AB153" s="386"/>
      <c r="AC153" s="386"/>
      <c r="AE153" s="386"/>
      <c r="AF153" s="386"/>
      <c r="AG153" s="386"/>
      <c r="AH153" s="386"/>
      <c r="AI153" s="386"/>
      <c r="AJ153" s="386"/>
      <c r="AK153" s="386"/>
      <c r="AL153" s="386"/>
      <c r="AN153" s="386"/>
      <c r="AO153" s="386"/>
      <c r="AP153" s="386"/>
      <c r="AQ153" s="386"/>
      <c r="AR153" s="386"/>
      <c r="AS153" s="386"/>
      <c r="AT153" s="386"/>
      <c r="AU153" s="386"/>
      <c r="AV153" s="386"/>
      <c r="AW153" s="386"/>
      <c r="AX153" s="386"/>
      <c r="AY153" s="386"/>
      <c r="AZ153" s="386"/>
      <c r="BA153" s="386"/>
      <c r="BB153" s="386"/>
      <c r="BD153" s="604"/>
      <c r="BE153" s="614"/>
      <c r="BF153" s="614"/>
      <c r="BG153" s="9"/>
      <c r="BH153" s="48"/>
      <c r="BI153" s="386"/>
      <c r="BJ153" s="386"/>
      <c r="BK153" s="386"/>
      <c r="BL153" s="386"/>
      <c r="BM153" s="386"/>
    </row>
    <row r="154" spans="8:65" x14ac:dyDescent="0.3">
      <c r="H154" s="610"/>
      <c r="I154" s="4"/>
      <c r="L154" s="4"/>
      <c r="M154" s="4"/>
      <c r="Q154" s="386"/>
      <c r="R154" s="386"/>
      <c r="S154" s="386"/>
      <c r="T154" s="386"/>
      <c r="V154" s="386"/>
      <c r="W154" s="386"/>
      <c r="X154" s="386"/>
      <c r="Y154" s="386"/>
      <c r="Z154" s="603"/>
      <c r="AA154" s="386"/>
      <c r="AB154" s="386"/>
      <c r="AC154" s="386"/>
      <c r="AE154" s="386"/>
      <c r="AF154" s="386"/>
      <c r="AG154" s="386"/>
      <c r="AH154" s="386"/>
      <c r="AI154" s="386"/>
      <c r="AJ154" s="386"/>
      <c r="AK154" s="386"/>
      <c r="AL154" s="386"/>
      <c r="AN154" s="386"/>
      <c r="AO154" s="386"/>
      <c r="AP154" s="386"/>
      <c r="AQ154" s="386"/>
      <c r="AR154" s="386"/>
      <c r="AS154" s="386"/>
      <c r="AT154" s="386"/>
      <c r="AU154" s="386"/>
      <c r="AV154" s="386"/>
      <c r="AW154" s="386"/>
      <c r="AX154" s="386"/>
      <c r="AY154" s="386"/>
      <c r="AZ154" s="386"/>
      <c r="BA154" s="386"/>
      <c r="BB154" s="386"/>
      <c r="BD154" s="604"/>
      <c r="BE154" s="614"/>
      <c r="BF154" s="614"/>
      <c r="BG154" s="9"/>
      <c r="BH154" s="48"/>
      <c r="BI154" s="386"/>
      <c r="BJ154" s="386"/>
      <c r="BK154" s="386"/>
      <c r="BL154" s="386"/>
      <c r="BM154" s="386"/>
    </row>
    <row r="155" spans="8:65" x14ac:dyDescent="0.3">
      <c r="H155" s="610"/>
      <c r="I155" s="4"/>
      <c r="L155" s="4"/>
      <c r="M155" s="4"/>
      <c r="Q155" s="386"/>
      <c r="R155" s="386"/>
      <c r="S155" s="386"/>
      <c r="T155" s="386"/>
      <c r="V155" s="386"/>
      <c r="W155" s="386"/>
      <c r="X155" s="386"/>
      <c r="Y155" s="386"/>
      <c r="Z155" s="603"/>
      <c r="AA155" s="386"/>
      <c r="AB155" s="386"/>
      <c r="AC155" s="386"/>
      <c r="AE155" s="386"/>
      <c r="AF155" s="386"/>
      <c r="AG155" s="386"/>
      <c r="AH155" s="386"/>
      <c r="AI155" s="386"/>
      <c r="AJ155" s="386"/>
      <c r="AK155" s="386"/>
      <c r="AL155" s="386"/>
      <c r="AN155" s="386"/>
      <c r="AO155" s="386"/>
      <c r="AP155" s="386"/>
      <c r="AQ155" s="386"/>
      <c r="AR155" s="386"/>
      <c r="AS155" s="386"/>
      <c r="AT155" s="386"/>
      <c r="AU155" s="386"/>
      <c r="AV155" s="386"/>
      <c r="AW155" s="386"/>
      <c r="AX155" s="386"/>
      <c r="AY155" s="386"/>
      <c r="AZ155" s="386"/>
      <c r="BA155" s="386"/>
      <c r="BB155" s="386"/>
      <c r="BD155" s="604"/>
      <c r="BE155" s="614"/>
      <c r="BF155" s="614"/>
      <c r="BG155" s="9"/>
      <c r="BH155" s="48"/>
      <c r="BI155" s="386"/>
      <c r="BJ155" s="386"/>
      <c r="BK155" s="386"/>
      <c r="BL155" s="386"/>
      <c r="BM155" s="386"/>
    </row>
    <row r="156" spans="8:65" x14ac:dyDescent="0.3">
      <c r="H156" s="610"/>
      <c r="I156" s="4"/>
      <c r="L156" s="4"/>
      <c r="M156" s="4"/>
      <c r="Q156" s="386"/>
      <c r="R156" s="386"/>
      <c r="S156" s="386"/>
      <c r="T156" s="386"/>
      <c r="V156" s="386"/>
      <c r="W156" s="386"/>
      <c r="X156" s="386"/>
      <c r="Y156" s="386"/>
      <c r="Z156" s="603"/>
      <c r="AA156" s="386"/>
      <c r="AB156" s="386"/>
      <c r="AC156" s="386"/>
      <c r="AE156" s="386"/>
      <c r="AF156" s="386"/>
      <c r="AG156" s="386"/>
      <c r="AH156" s="386"/>
      <c r="AI156" s="386"/>
      <c r="AJ156" s="386"/>
      <c r="AK156" s="386"/>
      <c r="AL156" s="386"/>
      <c r="AN156" s="386"/>
      <c r="AO156" s="386"/>
      <c r="AP156" s="386"/>
      <c r="AQ156" s="386"/>
      <c r="AR156" s="386"/>
      <c r="AS156" s="386"/>
      <c r="AT156" s="386"/>
      <c r="AU156" s="386"/>
      <c r="AV156" s="386"/>
      <c r="AW156" s="386"/>
      <c r="AX156" s="386"/>
      <c r="AY156" s="386"/>
      <c r="AZ156" s="386"/>
      <c r="BA156" s="386"/>
      <c r="BB156" s="386"/>
      <c r="BD156" s="604"/>
      <c r="BE156" s="614"/>
      <c r="BF156" s="614"/>
      <c r="BG156" s="9"/>
      <c r="BH156" s="48"/>
      <c r="BI156" s="386"/>
      <c r="BJ156" s="386"/>
      <c r="BK156" s="386"/>
      <c r="BL156" s="386"/>
      <c r="BM156" s="386"/>
    </row>
    <row r="157" spans="8:65" x14ac:dyDescent="0.3">
      <c r="H157" s="610"/>
      <c r="I157" s="4"/>
      <c r="L157" s="4"/>
      <c r="M157" s="4"/>
      <c r="Q157" s="386"/>
      <c r="R157" s="386"/>
      <c r="S157" s="386"/>
      <c r="T157" s="386"/>
      <c r="V157" s="386"/>
      <c r="W157" s="386"/>
      <c r="X157" s="386"/>
      <c r="Y157" s="386"/>
      <c r="Z157" s="603"/>
      <c r="AA157" s="386"/>
      <c r="AB157" s="386"/>
      <c r="AC157" s="386"/>
      <c r="AE157" s="386"/>
      <c r="AF157" s="386"/>
      <c r="AG157" s="386"/>
      <c r="AH157" s="386"/>
      <c r="AI157" s="386"/>
      <c r="AJ157" s="386"/>
      <c r="AK157" s="386"/>
      <c r="AL157" s="386"/>
      <c r="AN157" s="386"/>
      <c r="AO157" s="386"/>
      <c r="AP157" s="386"/>
      <c r="AQ157" s="386"/>
      <c r="AR157" s="386"/>
      <c r="AS157" s="386"/>
      <c r="AT157" s="386"/>
      <c r="AU157" s="386"/>
      <c r="AV157" s="386"/>
      <c r="AW157" s="386"/>
      <c r="AX157" s="386"/>
      <c r="AY157" s="386"/>
      <c r="AZ157" s="386"/>
      <c r="BA157" s="386"/>
      <c r="BB157" s="386"/>
      <c r="BD157" s="604"/>
      <c r="BE157" s="614"/>
      <c r="BF157" s="614"/>
      <c r="BG157" s="9"/>
      <c r="BH157" s="48"/>
      <c r="BI157" s="386"/>
      <c r="BJ157" s="386"/>
      <c r="BK157" s="386"/>
      <c r="BL157" s="386"/>
      <c r="BM157" s="386"/>
    </row>
    <row r="158" spans="8:65" x14ac:dyDescent="0.3">
      <c r="H158" s="610"/>
      <c r="I158" s="4"/>
      <c r="L158" s="4"/>
      <c r="M158" s="4"/>
      <c r="Q158" s="386"/>
      <c r="R158" s="386"/>
      <c r="S158" s="386"/>
      <c r="T158" s="386"/>
      <c r="V158" s="386"/>
      <c r="W158" s="386"/>
      <c r="X158" s="386"/>
      <c r="Y158" s="386"/>
      <c r="Z158" s="603"/>
      <c r="AA158" s="386"/>
      <c r="AB158" s="386"/>
      <c r="AC158" s="386"/>
      <c r="AE158" s="386"/>
      <c r="AF158" s="386"/>
      <c r="AG158" s="386"/>
      <c r="AH158" s="386"/>
      <c r="AI158" s="386"/>
      <c r="AJ158" s="386"/>
      <c r="AK158" s="386"/>
      <c r="AL158" s="386"/>
      <c r="AN158" s="386"/>
      <c r="AO158" s="386"/>
      <c r="AP158" s="386"/>
      <c r="AQ158" s="386"/>
      <c r="AR158" s="386"/>
      <c r="AS158" s="386"/>
      <c r="AT158" s="386"/>
      <c r="AU158" s="386"/>
      <c r="AV158" s="386"/>
      <c r="AW158" s="386"/>
      <c r="AX158" s="386"/>
      <c r="AY158" s="386"/>
      <c r="AZ158" s="386"/>
      <c r="BA158" s="386"/>
      <c r="BB158" s="386"/>
      <c r="BD158" s="604"/>
      <c r="BE158" s="614"/>
      <c r="BF158" s="614"/>
      <c r="BG158" s="9"/>
      <c r="BH158" s="48"/>
      <c r="BI158" s="386"/>
      <c r="BJ158" s="386"/>
      <c r="BK158" s="386"/>
      <c r="BL158" s="386"/>
      <c r="BM158" s="386"/>
    </row>
    <row r="159" spans="8:65" x14ac:dyDescent="0.3">
      <c r="H159" s="610"/>
      <c r="I159" s="4"/>
      <c r="L159" s="4"/>
      <c r="M159" s="4"/>
      <c r="Q159" s="386"/>
      <c r="R159" s="386"/>
      <c r="S159" s="386"/>
      <c r="T159" s="386"/>
      <c r="V159" s="386"/>
      <c r="W159" s="386"/>
      <c r="X159" s="386"/>
      <c r="Y159" s="386"/>
      <c r="Z159" s="603"/>
      <c r="AA159" s="386"/>
      <c r="AB159" s="386"/>
      <c r="AC159" s="386"/>
      <c r="AE159" s="386"/>
      <c r="AF159" s="386"/>
      <c r="AG159" s="386"/>
      <c r="AH159" s="386"/>
      <c r="AI159" s="386"/>
      <c r="AJ159" s="386"/>
      <c r="AK159" s="386"/>
      <c r="AL159" s="386"/>
      <c r="AN159" s="386"/>
      <c r="AO159" s="386"/>
      <c r="AP159" s="386"/>
      <c r="AQ159" s="386"/>
      <c r="AR159" s="386"/>
      <c r="AS159" s="386"/>
      <c r="AT159" s="386"/>
      <c r="AU159" s="386"/>
      <c r="AV159" s="386"/>
      <c r="AW159" s="386"/>
      <c r="AX159" s="386"/>
      <c r="AY159" s="386"/>
      <c r="AZ159" s="386"/>
      <c r="BA159" s="386"/>
      <c r="BB159" s="386"/>
      <c r="BD159" s="604"/>
      <c r="BE159" s="614"/>
      <c r="BF159" s="614"/>
      <c r="BG159" s="9"/>
      <c r="BH159" s="48"/>
      <c r="BI159" s="386"/>
      <c r="BJ159" s="386"/>
      <c r="BK159" s="386"/>
      <c r="BL159" s="386"/>
      <c r="BM159" s="386"/>
    </row>
    <row r="160" spans="8:65" x14ac:dyDescent="0.3">
      <c r="H160" s="610"/>
      <c r="I160" s="4"/>
      <c r="L160" s="4"/>
      <c r="M160" s="4"/>
      <c r="Q160" s="386"/>
      <c r="R160" s="386"/>
      <c r="S160" s="386"/>
      <c r="T160" s="386"/>
      <c r="V160" s="386"/>
      <c r="W160" s="386"/>
      <c r="X160" s="386"/>
      <c r="Y160" s="386"/>
      <c r="Z160" s="603"/>
      <c r="AA160" s="386"/>
      <c r="AB160" s="386"/>
      <c r="AC160" s="386"/>
      <c r="AE160" s="386"/>
      <c r="AF160" s="386"/>
      <c r="AG160" s="386"/>
      <c r="AH160" s="386"/>
      <c r="AI160" s="386"/>
      <c r="AJ160" s="386"/>
      <c r="AK160" s="386"/>
      <c r="AL160" s="386"/>
      <c r="AN160" s="386"/>
      <c r="AO160" s="386"/>
      <c r="AP160" s="386"/>
      <c r="AQ160" s="386"/>
      <c r="AR160" s="386"/>
      <c r="AS160" s="386"/>
      <c r="AT160" s="386"/>
      <c r="AU160" s="386"/>
      <c r="AV160" s="386"/>
      <c r="AW160" s="386"/>
      <c r="AX160" s="386"/>
      <c r="AY160" s="386"/>
      <c r="AZ160" s="386"/>
      <c r="BA160" s="386"/>
      <c r="BB160" s="386"/>
      <c r="BD160" s="604"/>
      <c r="BE160" s="614"/>
      <c r="BF160" s="614"/>
      <c r="BG160" s="9"/>
      <c r="BH160" s="48"/>
      <c r="BI160" s="386"/>
      <c r="BJ160" s="386"/>
      <c r="BK160" s="386"/>
      <c r="BL160" s="386"/>
      <c r="BM160" s="386"/>
    </row>
    <row r="161" spans="8:65" x14ac:dyDescent="0.3">
      <c r="H161" s="610"/>
      <c r="I161" s="4"/>
      <c r="L161" s="4"/>
      <c r="M161" s="4"/>
      <c r="Q161" s="386"/>
      <c r="R161" s="386"/>
      <c r="S161" s="386"/>
      <c r="T161" s="386"/>
      <c r="V161" s="386"/>
      <c r="W161" s="386"/>
      <c r="X161" s="386"/>
      <c r="Y161" s="386"/>
      <c r="Z161" s="603"/>
      <c r="AA161" s="386"/>
      <c r="AB161" s="386"/>
      <c r="AC161" s="386"/>
      <c r="AE161" s="386"/>
      <c r="AF161" s="386"/>
      <c r="AG161" s="386"/>
      <c r="AH161" s="386"/>
      <c r="AI161" s="386"/>
      <c r="AJ161" s="386"/>
      <c r="AK161" s="386"/>
      <c r="AL161" s="386"/>
      <c r="AN161" s="386"/>
      <c r="AO161" s="386"/>
      <c r="AP161" s="386"/>
      <c r="AQ161" s="386"/>
      <c r="AR161" s="386"/>
      <c r="AS161" s="386"/>
      <c r="AT161" s="386"/>
      <c r="AU161" s="386"/>
      <c r="AV161" s="386"/>
      <c r="AW161" s="386"/>
      <c r="AX161" s="386"/>
      <c r="AY161" s="386"/>
      <c r="AZ161" s="386"/>
      <c r="BA161" s="386"/>
      <c r="BB161" s="386"/>
      <c r="BD161" s="604"/>
      <c r="BE161" s="614"/>
      <c r="BF161" s="614"/>
      <c r="BG161" s="9"/>
      <c r="BH161" s="48"/>
      <c r="BI161" s="386"/>
      <c r="BJ161" s="386"/>
      <c r="BK161" s="386"/>
      <c r="BL161" s="386"/>
      <c r="BM161" s="386"/>
    </row>
    <row r="162" spans="8:65" x14ac:dyDescent="0.3">
      <c r="H162" s="610"/>
      <c r="I162" s="4"/>
      <c r="L162" s="4"/>
      <c r="M162" s="4"/>
      <c r="Q162" s="386"/>
      <c r="R162" s="386"/>
      <c r="S162" s="386"/>
      <c r="T162" s="386"/>
      <c r="V162" s="386"/>
      <c r="W162" s="386"/>
      <c r="X162" s="386"/>
      <c r="Y162" s="386"/>
      <c r="Z162" s="603"/>
      <c r="AA162" s="386"/>
      <c r="AB162" s="386"/>
      <c r="AC162" s="386"/>
      <c r="AE162" s="386"/>
      <c r="AF162" s="386"/>
      <c r="AG162" s="386"/>
      <c r="AH162" s="386"/>
      <c r="AI162" s="386"/>
      <c r="AJ162" s="386"/>
      <c r="AK162" s="386"/>
      <c r="AL162" s="386"/>
      <c r="AN162" s="386"/>
      <c r="AO162" s="386"/>
      <c r="AP162" s="386"/>
      <c r="AQ162" s="386"/>
      <c r="AR162" s="386"/>
      <c r="AS162" s="386"/>
      <c r="AT162" s="386"/>
      <c r="AU162" s="386"/>
      <c r="AV162" s="386"/>
      <c r="AW162" s="386"/>
      <c r="AX162" s="386"/>
      <c r="AY162" s="386"/>
      <c r="AZ162" s="386"/>
      <c r="BA162" s="386"/>
      <c r="BB162" s="386"/>
      <c r="BD162" s="604"/>
      <c r="BE162" s="614"/>
      <c r="BF162" s="614"/>
      <c r="BG162" s="9"/>
      <c r="BH162" s="48"/>
      <c r="BI162" s="386"/>
      <c r="BJ162" s="386"/>
      <c r="BK162" s="386"/>
      <c r="BL162" s="386"/>
      <c r="BM162" s="386"/>
    </row>
    <row r="163" spans="8:65" x14ac:dyDescent="0.3">
      <c r="H163" s="610"/>
      <c r="I163" s="4"/>
      <c r="L163" s="4"/>
      <c r="M163" s="4"/>
      <c r="Q163" s="386"/>
      <c r="R163" s="386"/>
      <c r="S163" s="386"/>
      <c r="T163" s="386"/>
      <c r="V163" s="386"/>
      <c r="W163" s="386"/>
      <c r="X163" s="386"/>
      <c r="Y163" s="386"/>
      <c r="Z163" s="603"/>
      <c r="AA163" s="386"/>
      <c r="AB163" s="386"/>
      <c r="AC163" s="386"/>
      <c r="AE163" s="386"/>
      <c r="AF163" s="386"/>
      <c r="AG163" s="386"/>
      <c r="AH163" s="386"/>
      <c r="AI163" s="386"/>
      <c r="AJ163" s="386"/>
      <c r="AK163" s="386"/>
      <c r="AL163" s="386"/>
      <c r="AN163" s="386"/>
      <c r="AO163" s="386"/>
      <c r="AP163" s="386"/>
      <c r="AQ163" s="386"/>
      <c r="AR163" s="386"/>
      <c r="AS163" s="386"/>
      <c r="AT163" s="386"/>
      <c r="AU163" s="386"/>
      <c r="AV163" s="386"/>
      <c r="AW163" s="386"/>
      <c r="AX163" s="386"/>
      <c r="AY163" s="386"/>
      <c r="AZ163" s="386"/>
      <c r="BA163" s="386"/>
      <c r="BB163" s="386"/>
      <c r="BD163" s="604"/>
      <c r="BE163" s="614"/>
      <c r="BF163" s="614"/>
      <c r="BG163" s="9"/>
      <c r="BH163" s="48"/>
      <c r="BI163" s="386"/>
      <c r="BJ163" s="386"/>
      <c r="BK163" s="386"/>
      <c r="BL163" s="386"/>
      <c r="BM163" s="386"/>
    </row>
    <row r="164" spans="8:65" x14ac:dyDescent="0.3">
      <c r="H164" s="610"/>
      <c r="I164" s="4"/>
      <c r="L164" s="4"/>
      <c r="M164" s="4"/>
      <c r="Q164" s="386"/>
      <c r="R164" s="386"/>
      <c r="S164" s="386"/>
      <c r="T164" s="386"/>
      <c r="V164" s="386"/>
      <c r="W164" s="386"/>
      <c r="X164" s="386"/>
      <c r="Y164" s="386"/>
      <c r="Z164" s="603"/>
      <c r="AA164" s="386"/>
      <c r="AB164" s="386"/>
      <c r="AC164" s="386"/>
      <c r="AE164" s="386"/>
      <c r="AF164" s="386"/>
      <c r="AG164" s="386"/>
      <c r="AH164" s="386"/>
      <c r="AI164" s="386"/>
      <c r="AJ164" s="386"/>
      <c r="AK164" s="386"/>
      <c r="AL164" s="386"/>
      <c r="AN164" s="386"/>
      <c r="AO164" s="386"/>
      <c r="AP164" s="386"/>
      <c r="AQ164" s="386"/>
      <c r="AR164" s="386"/>
      <c r="AS164" s="386"/>
      <c r="AT164" s="386"/>
      <c r="AU164" s="386"/>
      <c r="AV164" s="386"/>
      <c r="AW164" s="386"/>
      <c r="AX164" s="386"/>
      <c r="AY164" s="386"/>
      <c r="AZ164" s="386"/>
      <c r="BA164" s="386"/>
      <c r="BB164" s="386"/>
      <c r="BD164" s="604"/>
      <c r="BE164" s="614"/>
      <c r="BF164" s="614"/>
      <c r="BG164" s="9"/>
      <c r="BH164" s="48"/>
      <c r="BI164" s="386"/>
      <c r="BJ164" s="386"/>
      <c r="BK164" s="386"/>
      <c r="BL164" s="386"/>
      <c r="BM164" s="386"/>
    </row>
    <row r="165" spans="8:65" x14ac:dyDescent="0.3">
      <c r="H165" s="610"/>
      <c r="I165" s="4"/>
      <c r="L165" s="4"/>
      <c r="M165" s="4"/>
      <c r="Q165" s="386"/>
      <c r="R165" s="386"/>
      <c r="S165" s="386"/>
      <c r="T165" s="386"/>
      <c r="V165" s="386"/>
      <c r="W165" s="386"/>
      <c r="X165" s="386"/>
      <c r="Y165" s="386"/>
      <c r="Z165" s="603"/>
      <c r="AA165" s="386"/>
      <c r="AB165" s="386"/>
      <c r="AC165" s="386"/>
      <c r="AE165" s="386"/>
      <c r="AF165" s="386"/>
      <c r="AG165" s="386"/>
      <c r="AH165" s="386"/>
      <c r="AI165" s="386"/>
      <c r="AJ165" s="386"/>
      <c r="AK165" s="386"/>
      <c r="AL165" s="386"/>
      <c r="AN165" s="386"/>
      <c r="AO165" s="386"/>
      <c r="AP165" s="386"/>
      <c r="AQ165" s="386"/>
      <c r="AR165" s="386"/>
      <c r="AS165" s="386"/>
      <c r="AT165" s="386"/>
      <c r="AU165" s="386"/>
      <c r="AV165" s="386"/>
      <c r="AW165" s="386"/>
      <c r="AX165" s="386"/>
      <c r="AY165" s="386"/>
      <c r="AZ165" s="386"/>
      <c r="BA165" s="386"/>
      <c r="BB165" s="386"/>
      <c r="BD165" s="604"/>
      <c r="BE165" s="614"/>
      <c r="BF165" s="614"/>
      <c r="BG165" s="9"/>
      <c r="BH165" s="48"/>
      <c r="BI165" s="386"/>
      <c r="BJ165" s="386"/>
      <c r="BK165" s="386"/>
      <c r="BL165" s="386"/>
      <c r="BM165" s="386"/>
    </row>
    <row r="166" spans="8:65" x14ac:dyDescent="0.3">
      <c r="H166" s="610"/>
      <c r="I166" s="4"/>
      <c r="L166" s="4"/>
      <c r="M166" s="4"/>
      <c r="Q166" s="386"/>
      <c r="R166" s="386"/>
      <c r="S166" s="386"/>
      <c r="T166" s="386"/>
      <c r="V166" s="386"/>
      <c r="W166" s="386"/>
      <c r="X166" s="386"/>
      <c r="Y166" s="386"/>
      <c r="Z166" s="603"/>
      <c r="AA166" s="386"/>
      <c r="AB166" s="386"/>
      <c r="AC166" s="386"/>
      <c r="AE166" s="386"/>
      <c r="AF166" s="386"/>
      <c r="AG166" s="386"/>
      <c r="AH166" s="386"/>
      <c r="AI166" s="386"/>
      <c r="AJ166" s="386"/>
      <c r="AK166" s="386"/>
      <c r="AL166" s="386"/>
      <c r="AN166" s="386"/>
      <c r="AO166" s="386"/>
      <c r="AP166" s="386"/>
      <c r="AQ166" s="386"/>
      <c r="AR166" s="386"/>
      <c r="AS166" s="386"/>
      <c r="AT166" s="386"/>
      <c r="AU166" s="386"/>
      <c r="AV166" s="386"/>
      <c r="AW166" s="386"/>
      <c r="AX166" s="386"/>
      <c r="AY166" s="386"/>
      <c r="AZ166" s="386"/>
      <c r="BA166" s="386"/>
      <c r="BB166" s="386"/>
      <c r="BD166" s="604"/>
      <c r="BE166" s="614"/>
      <c r="BF166" s="614"/>
      <c r="BG166" s="9"/>
      <c r="BH166" s="48"/>
      <c r="BI166" s="386"/>
      <c r="BJ166" s="386"/>
      <c r="BK166" s="386"/>
      <c r="BL166" s="386"/>
      <c r="BM166" s="386"/>
    </row>
    <row r="167" spans="8:65" x14ac:dyDescent="0.3">
      <c r="H167" s="610"/>
      <c r="I167" s="4"/>
      <c r="L167" s="4"/>
      <c r="M167" s="4"/>
      <c r="Q167" s="386"/>
      <c r="R167" s="386"/>
      <c r="S167" s="386"/>
      <c r="T167" s="386"/>
      <c r="V167" s="386"/>
      <c r="W167" s="386"/>
      <c r="X167" s="386"/>
      <c r="Y167" s="386"/>
      <c r="Z167" s="603"/>
      <c r="AA167" s="386"/>
      <c r="AB167" s="386"/>
      <c r="AC167" s="386"/>
      <c r="AE167" s="386"/>
      <c r="AF167" s="386"/>
      <c r="AG167" s="386"/>
      <c r="AH167" s="386"/>
      <c r="AI167" s="386"/>
      <c r="AJ167" s="386"/>
      <c r="AK167" s="386"/>
      <c r="AL167" s="386"/>
      <c r="AN167" s="386"/>
      <c r="AO167" s="386"/>
      <c r="AP167" s="386"/>
      <c r="AQ167" s="386"/>
      <c r="AR167" s="386"/>
      <c r="AS167" s="386"/>
      <c r="AT167" s="386"/>
      <c r="AU167" s="386"/>
      <c r="AV167" s="386"/>
      <c r="AW167" s="386"/>
      <c r="AX167" s="386"/>
      <c r="AY167" s="386"/>
      <c r="AZ167" s="386"/>
      <c r="BA167" s="386"/>
      <c r="BB167" s="386"/>
      <c r="BD167" s="604"/>
      <c r="BE167" s="614"/>
      <c r="BF167" s="614"/>
      <c r="BG167" s="9"/>
      <c r="BH167" s="48"/>
      <c r="BI167" s="386"/>
      <c r="BJ167" s="386"/>
      <c r="BK167" s="386"/>
      <c r="BL167" s="386"/>
      <c r="BM167" s="386"/>
    </row>
    <row r="168" spans="8:65" x14ac:dyDescent="0.3">
      <c r="H168" s="610"/>
      <c r="I168" s="4"/>
      <c r="L168" s="4"/>
      <c r="M168" s="4"/>
      <c r="Q168" s="386"/>
      <c r="R168" s="386"/>
      <c r="S168" s="386"/>
      <c r="T168" s="386"/>
      <c r="V168" s="386"/>
      <c r="W168" s="386"/>
      <c r="X168" s="386"/>
      <c r="Y168" s="386"/>
      <c r="Z168" s="603"/>
      <c r="AA168" s="386"/>
      <c r="AB168" s="386"/>
      <c r="AC168" s="386"/>
      <c r="AE168" s="386"/>
      <c r="AF168" s="386"/>
      <c r="AG168" s="386"/>
      <c r="AH168" s="386"/>
      <c r="AI168" s="386"/>
      <c r="AJ168" s="386"/>
      <c r="AK168" s="386"/>
      <c r="AL168" s="386"/>
      <c r="AN168" s="386"/>
      <c r="AO168" s="386"/>
      <c r="AP168" s="386"/>
      <c r="AQ168" s="386"/>
      <c r="AR168" s="386"/>
      <c r="AS168" s="386"/>
      <c r="AT168" s="386"/>
      <c r="AU168" s="386"/>
      <c r="AV168" s="386"/>
      <c r="AW168" s="386"/>
      <c r="AX168" s="386"/>
      <c r="AY168" s="386"/>
      <c r="AZ168" s="386"/>
      <c r="BA168" s="386"/>
      <c r="BB168" s="386"/>
      <c r="BD168" s="604"/>
      <c r="BE168" s="614"/>
      <c r="BF168" s="614"/>
      <c r="BG168" s="9"/>
      <c r="BH168" s="48"/>
      <c r="BI168" s="386"/>
      <c r="BJ168" s="386"/>
      <c r="BK168" s="386"/>
      <c r="BL168" s="386"/>
      <c r="BM168" s="386"/>
    </row>
    <row r="169" spans="8:65" x14ac:dyDescent="0.3">
      <c r="H169" s="610"/>
      <c r="I169" s="4"/>
      <c r="L169" s="4"/>
      <c r="M169" s="4"/>
      <c r="Q169" s="386"/>
      <c r="R169" s="386"/>
      <c r="S169" s="386"/>
      <c r="T169" s="386"/>
      <c r="V169" s="386"/>
      <c r="W169" s="386"/>
      <c r="X169" s="386"/>
      <c r="Y169" s="386"/>
      <c r="Z169" s="603"/>
      <c r="AA169" s="386"/>
      <c r="AB169" s="386"/>
      <c r="AC169" s="386"/>
      <c r="AE169" s="386"/>
      <c r="AF169" s="386"/>
      <c r="AG169" s="386"/>
      <c r="AH169" s="386"/>
      <c r="AI169" s="386"/>
      <c r="AJ169" s="386"/>
      <c r="AK169" s="386"/>
      <c r="AL169" s="386"/>
      <c r="AN169" s="386"/>
      <c r="AO169" s="386"/>
      <c r="AP169" s="386"/>
      <c r="AQ169" s="386"/>
      <c r="AR169" s="386"/>
      <c r="AS169" s="386"/>
      <c r="AT169" s="386"/>
      <c r="AU169" s="386"/>
      <c r="AV169" s="386"/>
      <c r="AW169" s="386"/>
      <c r="AX169" s="386"/>
      <c r="AY169" s="386"/>
      <c r="AZ169" s="386"/>
      <c r="BA169" s="386"/>
      <c r="BB169" s="386"/>
      <c r="BD169" s="604"/>
      <c r="BE169" s="614"/>
      <c r="BF169" s="614"/>
      <c r="BG169" s="9"/>
      <c r="BH169" s="48"/>
      <c r="BI169" s="386"/>
      <c r="BJ169" s="386"/>
      <c r="BK169" s="386"/>
      <c r="BL169" s="386"/>
      <c r="BM169" s="386"/>
    </row>
    <row r="170" spans="8:65" x14ac:dyDescent="0.3">
      <c r="H170" s="610"/>
      <c r="I170" s="4"/>
      <c r="L170" s="4"/>
      <c r="M170" s="4"/>
      <c r="Q170" s="386"/>
      <c r="R170" s="386"/>
      <c r="S170" s="386"/>
      <c r="T170" s="386"/>
      <c r="V170" s="386"/>
      <c r="W170" s="386"/>
      <c r="X170" s="386"/>
      <c r="Y170" s="386"/>
      <c r="Z170" s="603"/>
      <c r="AA170" s="386"/>
      <c r="AB170" s="386"/>
      <c r="AC170" s="386"/>
      <c r="AE170" s="386"/>
      <c r="AF170" s="386"/>
      <c r="AG170" s="386"/>
      <c r="AH170" s="386"/>
      <c r="AI170" s="386"/>
      <c r="AJ170" s="386"/>
      <c r="AK170" s="386"/>
      <c r="AL170" s="386"/>
      <c r="AN170" s="386"/>
      <c r="AO170" s="386"/>
      <c r="AP170" s="386"/>
      <c r="AQ170" s="386"/>
      <c r="AR170" s="386"/>
      <c r="AS170" s="386"/>
      <c r="AT170" s="386"/>
      <c r="AU170" s="386"/>
      <c r="AV170" s="386"/>
      <c r="AW170" s="386"/>
      <c r="AX170" s="386"/>
      <c r="AY170" s="386"/>
      <c r="AZ170" s="386"/>
      <c r="BA170" s="386"/>
      <c r="BB170" s="386"/>
      <c r="BD170" s="604"/>
      <c r="BE170" s="614"/>
      <c r="BF170" s="614"/>
      <c r="BG170" s="9"/>
      <c r="BH170" s="48"/>
      <c r="BI170" s="386"/>
      <c r="BJ170" s="386"/>
      <c r="BK170" s="386"/>
      <c r="BL170" s="386"/>
      <c r="BM170" s="386"/>
    </row>
    <row r="171" spans="8:65" x14ac:dyDescent="0.3">
      <c r="H171" s="610"/>
      <c r="I171" s="4"/>
      <c r="L171" s="4"/>
      <c r="M171" s="4"/>
      <c r="Q171" s="386"/>
      <c r="R171" s="386"/>
      <c r="S171" s="386"/>
      <c r="T171" s="386"/>
      <c r="V171" s="386"/>
      <c r="W171" s="386"/>
      <c r="X171" s="386"/>
      <c r="Y171" s="386"/>
      <c r="Z171" s="603"/>
      <c r="AA171" s="386"/>
      <c r="AB171" s="386"/>
      <c r="AC171" s="386"/>
      <c r="AE171" s="386"/>
      <c r="AF171" s="386"/>
      <c r="AG171" s="386"/>
      <c r="AH171" s="386"/>
      <c r="AI171" s="386"/>
      <c r="AJ171" s="386"/>
      <c r="AK171" s="386"/>
      <c r="AL171" s="386"/>
      <c r="AN171" s="386"/>
      <c r="AO171" s="386"/>
      <c r="AP171" s="386"/>
      <c r="AQ171" s="386"/>
      <c r="AR171" s="386"/>
      <c r="AS171" s="386"/>
      <c r="AT171" s="386"/>
      <c r="AU171" s="386"/>
      <c r="AV171" s="386"/>
      <c r="AW171" s="386"/>
      <c r="AX171" s="386"/>
      <c r="AY171" s="386"/>
      <c r="AZ171" s="386"/>
      <c r="BA171" s="386"/>
      <c r="BB171" s="386"/>
      <c r="BD171" s="604"/>
      <c r="BE171" s="614"/>
      <c r="BF171" s="614"/>
      <c r="BG171" s="9"/>
      <c r="BH171" s="48"/>
      <c r="BI171" s="386"/>
      <c r="BJ171" s="386"/>
      <c r="BK171" s="386"/>
      <c r="BL171" s="386"/>
      <c r="BM171" s="386"/>
    </row>
    <row r="172" spans="8:65" x14ac:dyDescent="0.3">
      <c r="H172" s="610"/>
      <c r="I172" s="4"/>
      <c r="L172" s="4"/>
      <c r="M172" s="4"/>
      <c r="Q172" s="386"/>
      <c r="R172" s="386"/>
      <c r="S172" s="386"/>
      <c r="T172" s="386"/>
      <c r="V172" s="386"/>
      <c r="W172" s="386"/>
      <c r="X172" s="386"/>
      <c r="Y172" s="386"/>
      <c r="Z172" s="603"/>
      <c r="AA172" s="386"/>
      <c r="AB172" s="386"/>
      <c r="AC172" s="386"/>
      <c r="AE172" s="386"/>
      <c r="AF172" s="386"/>
      <c r="AG172" s="386"/>
      <c r="AH172" s="386"/>
      <c r="AI172" s="386"/>
      <c r="AJ172" s="386"/>
      <c r="AK172" s="386"/>
      <c r="AL172" s="386"/>
      <c r="AN172" s="386"/>
      <c r="AO172" s="386"/>
      <c r="AP172" s="386"/>
      <c r="AQ172" s="386"/>
      <c r="AR172" s="386"/>
      <c r="AS172" s="386"/>
      <c r="AT172" s="386"/>
      <c r="AU172" s="386"/>
      <c r="AV172" s="386"/>
      <c r="AW172" s="386"/>
      <c r="AX172" s="386"/>
      <c r="AY172" s="386"/>
      <c r="AZ172" s="386"/>
      <c r="BA172" s="386"/>
      <c r="BB172" s="386"/>
      <c r="BD172" s="604"/>
      <c r="BE172" s="614"/>
      <c r="BF172" s="614"/>
      <c r="BG172" s="9"/>
      <c r="BH172" s="48"/>
      <c r="BI172" s="386"/>
      <c r="BJ172" s="386"/>
      <c r="BK172" s="386"/>
      <c r="BL172" s="386"/>
      <c r="BM172" s="386"/>
    </row>
    <row r="173" spans="8:65" x14ac:dyDescent="0.3">
      <c r="H173" s="610"/>
      <c r="I173" s="4"/>
      <c r="L173" s="4"/>
      <c r="M173" s="4"/>
      <c r="Q173" s="386"/>
      <c r="R173" s="386"/>
      <c r="S173" s="386"/>
      <c r="T173" s="386"/>
      <c r="V173" s="386"/>
      <c r="W173" s="386"/>
      <c r="X173" s="386"/>
      <c r="Y173" s="386"/>
      <c r="Z173" s="603"/>
      <c r="AA173" s="386"/>
      <c r="AB173" s="386"/>
      <c r="AC173" s="386"/>
      <c r="AE173" s="386"/>
      <c r="AF173" s="386"/>
      <c r="AG173" s="386"/>
      <c r="AH173" s="386"/>
      <c r="AI173" s="386"/>
      <c r="AJ173" s="386"/>
      <c r="AK173" s="386"/>
      <c r="AL173" s="386"/>
      <c r="AN173" s="386"/>
      <c r="AO173" s="386"/>
      <c r="AP173" s="386"/>
      <c r="AQ173" s="386"/>
      <c r="AR173" s="386"/>
      <c r="AS173" s="386"/>
      <c r="AT173" s="386"/>
      <c r="AU173" s="386"/>
      <c r="AV173" s="386"/>
      <c r="AW173" s="386"/>
      <c r="AX173" s="386"/>
      <c r="AY173" s="386"/>
      <c r="AZ173" s="386"/>
      <c r="BA173" s="386"/>
      <c r="BB173" s="386"/>
      <c r="BD173" s="604"/>
      <c r="BE173" s="614"/>
      <c r="BF173" s="614"/>
      <c r="BG173" s="9"/>
      <c r="BH173" s="48"/>
      <c r="BI173" s="386"/>
      <c r="BJ173" s="386"/>
      <c r="BK173" s="386"/>
      <c r="BL173" s="386"/>
      <c r="BM173" s="386"/>
    </row>
    <row r="174" spans="8:65" x14ac:dyDescent="0.3">
      <c r="H174" s="610"/>
      <c r="I174" s="4"/>
      <c r="L174" s="4"/>
      <c r="M174" s="4"/>
      <c r="Q174" s="386"/>
      <c r="R174" s="386"/>
      <c r="S174" s="386"/>
      <c r="T174" s="386"/>
      <c r="V174" s="386"/>
      <c r="W174" s="386"/>
      <c r="X174" s="386"/>
      <c r="Y174" s="386"/>
      <c r="Z174" s="603"/>
      <c r="AA174" s="386"/>
      <c r="AB174" s="386"/>
      <c r="AC174" s="386"/>
      <c r="AE174" s="386"/>
      <c r="AF174" s="386"/>
      <c r="AG174" s="386"/>
      <c r="AH174" s="386"/>
      <c r="AI174" s="386"/>
      <c r="AJ174" s="386"/>
      <c r="AK174" s="386"/>
      <c r="AL174" s="386"/>
      <c r="AN174" s="386"/>
      <c r="AO174" s="386"/>
      <c r="AP174" s="386"/>
      <c r="AQ174" s="386"/>
      <c r="AR174" s="386"/>
      <c r="AS174" s="386"/>
      <c r="AT174" s="386"/>
      <c r="AU174" s="386"/>
      <c r="AV174" s="386"/>
      <c r="AW174" s="386"/>
      <c r="AX174" s="386"/>
      <c r="AY174" s="386"/>
      <c r="AZ174" s="386"/>
      <c r="BA174" s="386"/>
      <c r="BB174" s="386"/>
      <c r="BD174" s="604"/>
      <c r="BE174" s="614"/>
      <c r="BF174" s="614"/>
      <c r="BG174" s="9"/>
      <c r="BH174" s="48"/>
      <c r="BI174" s="386"/>
      <c r="BJ174" s="386"/>
      <c r="BK174" s="386"/>
      <c r="BL174" s="386"/>
      <c r="BM174" s="386"/>
    </row>
    <row r="175" spans="8:65" x14ac:dyDescent="0.3">
      <c r="H175" s="610"/>
      <c r="I175" s="4"/>
      <c r="L175" s="4"/>
      <c r="M175" s="4"/>
      <c r="Q175" s="386"/>
      <c r="R175" s="386"/>
      <c r="S175" s="386"/>
      <c r="T175" s="386"/>
      <c r="V175" s="386"/>
      <c r="W175" s="386"/>
      <c r="X175" s="386"/>
      <c r="Y175" s="386"/>
      <c r="Z175" s="603"/>
      <c r="AA175" s="386"/>
      <c r="AB175" s="386"/>
      <c r="AC175" s="386"/>
      <c r="AE175" s="386"/>
      <c r="AF175" s="386"/>
      <c r="AG175" s="386"/>
      <c r="AH175" s="386"/>
      <c r="AI175" s="386"/>
      <c r="AJ175" s="386"/>
      <c r="AK175" s="386"/>
      <c r="AL175" s="386"/>
      <c r="AN175" s="386"/>
      <c r="AO175" s="386"/>
      <c r="AP175" s="386"/>
      <c r="AQ175" s="386"/>
      <c r="AR175" s="386"/>
      <c r="AS175" s="386"/>
      <c r="AT175" s="386"/>
      <c r="AU175" s="386"/>
      <c r="AV175" s="386"/>
      <c r="AW175" s="386"/>
      <c r="AX175" s="386"/>
      <c r="AY175" s="386"/>
      <c r="AZ175" s="386"/>
      <c r="BA175" s="386"/>
      <c r="BB175" s="386"/>
      <c r="BD175" s="604"/>
      <c r="BE175" s="614"/>
      <c r="BF175" s="614"/>
      <c r="BG175" s="9"/>
      <c r="BH175" s="48"/>
      <c r="BI175" s="386"/>
      <c r="BJ175" s="386"/>
      <c r="BK175" s="386"/>
      <c r="BL175" s="386"/>
      <c r="BM175" s="386"/>
    </row>
    <row r="176" spans="8:65" x14ac:dyDescent="0.3">
      <c r="H176" s="610"/>
      <c r="I176" s="4"/>
      <c r="L176" s="4"/>
      <c r="M176" s="4"/>
      <c r="Q176" s="386"/>
      <c r="R176" s="386"/>
      <c r="S176" s="386"/>
      <c r="T176" s="386"/>
      <c r="V176" s="386"/>
      <c r="W176" s="386"/>
      <c r="X176" s="386"/>
      <c r="Y176" s="386"/>
      <c r="Z176" s="603"/>
      <c r="AA176" s="386"/>
      <c r="AB176" s="386"/>
      <c r="AC176" s="386"/>
      <c r="AE176" s="386"/>
      <c r="AF176" s="386"/>
      <c r="AG176" s="386"/>
      <c r="AH176" s="386"/>
      <c r="AI176" s="386"/>
      <c r="AJ176" s="386"/>
      <c r="AK176" s="386"/>
      <c r="AL176" s="386"/>
      <c r="AN176" s="386"/>
      <c r="AO176" s="386"/>
      <c r="AP176" s="386"/>
      <c r="AQ176" s="386"/>
      <c r="AR176" s="386"/>
      <c r="AS176" s="386"/>
      <c r="AT176" s="386"/>
      <c r="AU176" s="386"/>
      <c r="AV176" s="386"/>
      <c r="AW176" s="386"/>
      <c r="AX176" s="386"/>
      <c r="AY176" s="386"/>
      <c r="AZ176" s="386"/>
      <c r="BA176" s="386"/>
      <c r="BB176" s="386"/>
      <c r="BD176" s="604"/>
      <c r="BE176" s="614"/>
      <c r="BF176" s="614"/>
      <c r="BG176" s="9"/>
      <c r="BH176" s="48"/>
      <c r="BI176" s="386"/>
      <c r="BJ176" s="386"/>
      <c r="BK176" s="386"/>
      <c r="BL176" s="386"/>
      <c r="BM176" s="386"/>
    </row>
    <row r="177" spans="8:65" x14ac:dyDescent="0.3">
      <c r="H177" s="610"/>
      <c r="I177" s="4"/>
      <c r="L177" s="4"/>
      <c r="M177" s="4"/>
      <c r="Q177" s="386"/>
      <c r="R177" s="386"/>
      <c r="S177" s="386"/>
      <c r="T177" s="386"/>
      <c r="V177" s="386"/>
      <c r="W177" s="386"/>
      <c r="X177" s="386"/>
      <c r="Y177" s="386"/>
      <c r="Z177" s="603"/>
      <c r="AA177" s="386"/>
      <c r="AB177" s="386"/>
      <c r="AC177" s="386"/>
      <c r="AE177" s="386"/>
      <c r="AF177" s="386"/>
      <c r="AG177" s="386"/>
      <c r="AH177" s="386"/>
      <c r="AI177" s="386"/>
      <c r="AJ177" s="386"/>
      <c r="AK177" s="386"/>
      <c r="AL177" s="386"/>
      <c r="AN177" s="386"/>
      <c r="AO177" s="386"/>
      <c r="AP177" s="386"/>
      <c r="AQ177" s="386"/>
      <c r="AR177" s="386"/>
      <c r="AS177" s="386"/>
      <c r="AT177" s="386"/>
      <c r="AU177" s="386"/>
      <c r="AV177" s="386"/>
      <c r="AW177" s="386"/>
      <c r="AX177" s="386"/>
      <c r="AY177" s="386"/>
      <c r="AZ177" s="386"/>
      <c r="BA177" s="386"/>
      <c r="BB177" s="386"/>
      <c r="BD177" s="604"/>
      <c r="BE177" s="614"/>
      <c r="BF177" s="614"/>
      <c r="BG177" s="9"/>
      <c r="BH177" s="48"/>
      <c r="BI177" s="386"/>
      <c r="BJ177" s="386"/>
      <c r="BK177" s="386"/>
      <c r="BL177" s="386"/>
      <c r="BM177" s="386"/>
    </row>
    <row r="178" spans="8:65" x14ac:dyDescent="0.3">
      <c r="H178" s="610"/>
      <c r="I178" s="4"/>
      <c r="L178" s="4"/>
      <c r="M178" s="4"/>
      <c r="Q178" s="386"/>
      <c r="R178" s="386"/>
      <c r="S178" s="386"/>
      <c r="T178" s="386"/>
      <c r="V178" s="386"/>
      <c r="W178" s="386"/>
      <c r="X178" s="386"/>
      <c r="Y178" s="386"/>
      <c r="Z178" s="603"/>
      <c r="AA178" s="386"/>
      <c r="AB178" s="386"/>
      <c r="AC178" s="386"/>
      <c r="AE178" s="386"/>
      <c r="AF178" s="386"/>
      <c r="AG178" s="386"/>
      <c r="AH178" s="386"/>
      <c r="AI178" s="386"/>
      <c r="AJ178" s="386"/>
      <c r="AK178" s="386"/>
      <c r="AL178" s="386"/>
      <c r="AN178" s="386"/>
      <c r="AO178" s="386"/>
      <c r="AP178" s="386"/>
      <c r="AQ178" s="386"/>
      <c r="AR178" s="386"/>
      <c r="AS178" s="386"/>
      <c r="AT178" s="386"/>
      <c r="AU178" s="386"/>
      <c r="AV178" s="386"/>
      <c r="AW178" s="386"/>
      <c r="AX178" s="386"/>
      <c r="AY178" s="386"/>
      <c r="AZ178" s="386"/>
      <c r="BA178" s="386"/>
      <c r="BB178" s="386"/>
      <c r="BD178" s="604"/>
      <c r="BE178" s="614"/>
      <c r="BF178" s="614"/>
      <c r="BG178" s="9"/>
      <c r="BH178" s="48"/>
      <c r="BI178" s="386"/>
      <c r="BJ178" s="386"/>
      <c r="BK178" s="386"/>
      <c r="BL178" s="386"/>
      <c r="BM178" s="386"/>
    </row>
    <row r="179" spans="8:65" x14ac:dyDescent="0.3">
      <c r="H179" s="610"/>
      <c r="I179" s="4"/>
      <c r="L179" s="4"/>
      <c r="M179" s="4"/>
      <c r="Q179" s="386"/>
      <c r="R179" s="386"/>
      <c r="S179" s="386"/>
      <c r="T179" s="386"/>
      <c r="V179" s="386"/>
      <c r="W179" s="386"/>
      <c r="X179" s="386"/>
      <c r="Y179" s="386"/>
      <c r="Z179" s="603"/>
      <c r="AA179" s="386"/>
      <c r="AB179" s="386"/>
      <c r="AC179" s="386"/>
      <c r="AE179" s="386"/>
      <c r="AF179" s="386"/>
      <c r="AG179" s="386"/>
      <c r="AH179" s="386"/>
      <c r="AI179" s="386"/>
      <c r="AJ179" s="386"/>
      <c r="AK179" s="386"/>
      <c r="AL179" s="386"/>
      <c r="AN179" s="386"/>
      <c r="AO179" s="386"/>
      <c r="AP179" s="386"/>
      <c r="AQ179" s="386"/>
      <c r="AR179" s="386"/>
      <c r="AS179" s="386"/>
      <c r="AT179" s="386"/>
      <c r="AU179" s="386"/>
      <c r="AV179" s="386"/>
      <c r="AW179" s="386"/>
      <c r="AX179" s="386"/>
      <c r="AY179" s="386"/>
      <c r="AZ179" s="386"/>
      <c r="BA179" s="386"/>
      <c r="BB179" s="386"/>
      <c r="BD179" s="604"/>
      <c r="BE179" s="614"/>
      <c r="BF179" s="614"/>
      <c r="BG179" s="9"/>
      <c r="BH179" s="48"/>
      <c r="BI179" s="386"/>
      <c r="BJ179" s="386"/>
      <c r="BK179" s="386"/>
      <c r="BL179" s="386"/>
      <c r="BM179" s="386"/>
    </row>
    <row r="180" spans="8:65" x14ac:dyDescent="0.3">
      <c r="H180" s="610"/>
      <c r="I180" s="4"/>
      <c r="L180" s="4"/>
      <c r="M180" s="4"/>
      <c r="Q180" s="386"/>
      <c r="R180" s="386"/>
      <c r="S180" s="386"/>
      <c r="T180" s="386"/>
      <c r="V180" s="386"/>
      <c r="W180" s="386"/>
      <c r="X180" s="386"/>
      <c r="Y180" s="386"/>
      <c r="Z180" s="603"/>
      <c r="AA180" s="386"/>
      <c r="AB180" s="386"/>
      <c r="AC180" s="386"/>
      <c r="AE180" s="386"/>
      <c r="AF180" s="386"/>
      <c r="AG180" s="386"/>
      <c r="AH180" s="386"/>
      <c r="AI180" s="386"/>
      <c r="AJ180" s="386"/>
      <c r="AK180" s="386"/>
      <c r="AL180" s="386"/>
      <c r="AN180" s="386"/>
      <c r="AO180" s="386"/>
      <c r="AP180" s="386"/>
      <c r="AQ180" s="386"/>
      <c r="AR180" s="386"/>
      <c r="AS180" s="386"/>
      <c r="AT180" s="386"/>
      <c r="AU180" s="386"/>
      <c r="AV180" s="386"/>
      <c r="AW180" s="386"/>
      <c r="AX180" s="386"/>
      <c r="AY180" s="386"/>
      <c r="AZ180" s="386"/>
      <c r="BA180" s="386"/>
      <c r="BB180" s="386"/>
      <c r="BD180" s="604"/>
      <c r="BE180" s="614"/>
      <c r="BF180" s="614"/>
      <c r="BG180" s="9"/>
      <c r="BH180" s="48"/>
      <c r="BI180" s="386"/>
      <c r="BJ180" s="386"/>
      <c r="BK180" s="386"/>
      <c r="BL180" s="386"/>
      <c r="BM180" s="386"/>
    </row>
    <row r="181" spans="8:65" x14ac:dyDescent="0.3">
      <c r="H181" s="610"/>
      <c r="I181" s="4"/>
      <c r="L181" s="4"/>
      <c r="M181" s="4"/>
      <c r="Q181" s="386"/>
      <c r="R181" s="386"/>
      <c r="S181" s="386"/>
      <c r="T181" s="386"/>
      <c r="V181" s="386"/>
      <c r="W181" s="386"/>
      <c r="X181" s="386"/>
      <c r="Y181" s="386"/>
      <c r="Z181" s="603"/>
      <c r="AA181" s="386"/>
      <c r="AB181" s="386"/>
      <c r="AC181" s="386"/>
      <c r="AE181" s="386"/>
      <c r="AF181" s="386"/>
      <c r="AG181" s="386"/>
      <c r="AH181" s="386"/>
      <c r="AI181" s="386"/>
      <c r="AJ181" s="386"/>
      <c r="AK181" s="386"/>
      <c r="AL181" s="386"/>
      <c r="AN181" s="386"/>
      <c r="AO181" s="386"/>
      <c r="AP181" s="386"/>
      <c r="AQ181" s="386"/>
      <c r="AR181" s="386"/>
      <c r="AS181" s="386"/>
      <c r="AT181" s="386"/>
      <c r="AU181" s="386"/>
      <c r="AV181" s="386"/>
      <c r="AW181" s="386"/>
      <c r="AX181" s="386"/>
      <c r="AY181" s="386"/>
      <c r="AZ181" s="386"/>
      <c r="BA181" s="386"/>
      <c r="BB181" s="386"/>
      <c r="BD181" s="604"/>
      <c r="BE181" s="614"/>
      <c r="BF181" s="614"/>
      <c r="BG181" s="9"/>
      <c r="BH181" s="48"/>
      <c r="BI181" s="386"/>
      <c r="BJ181" s="386"/>
      <c r="BK181" s="386"/>
      <c r="BL181" s="386"/>
      <c r="BM181" s="386"/>
    </row>
    <row r="182" spans="8:65" x14ac:dyDescent="0.3">
      <c r="H182" s="610"/>
      <c r="I182" s="4"/>
      <c r="L182" s="4"/>
      <c r="M182" s="4"/>
      <c r="Q182" s="386"/>
      <c r="R182" s="386"/>
      <c r="S182" s="386"/>
      <c r="T182" s="386"/>
      <c r="V182" s="386"/>
      <c r="W182" s="386"/>
      <c r="X182" s="386"/>
      <c r="Y182" s="386"/>
      <c r="Z182" s="603"/>
      <c r="AA182" s="386"/>
      <c r="AB182" s="386"/>
      <c r="AC182" s="386"/>
      <c r="AE182" s="386"/>
      <c r="AF182" s="386"/>
      <c r="AG182" s="386"/>
      <c r="AH182" s="386"/>
      <c r="AI182" s="386"/>
      <c r="AJ182" s="386"/>
      <c r="AK182" s="386"/>
      <c r="AL182" s="386"/>
      <c r="AN182" s="386"/>
      <c r="AO182" s="386"/>
      <c r="AP182" s="386"/>
      <c r="AQ182" s="386"/>
      <c r="AR182" s="386"/>
      <c r="AS182" s="386"/>
      <c r="AT182" s="386"/>
      <c r="AU182" s="386"/>
      <c r="AV182" s="386"/>
      <c r="AW182" s="386"/>
      <c r="AX182" s="386"/>
      <c r="AY182" s="386"/>
      <c r="AZ182" s="386"/>
      <c r="BA182" s="386"/>
      <c r="BB182" s="386"/>
      <c r="BD182" s="604"/>
      <c r="BE182" s="614"/>
      <c r="BF182" s="614"/>
      <c r="BG182" s="9"/>
      <c r="BH182" s="48"/>
      <c r="BI182" s="386"/>
      <c r="BJ182" s="386"/>
      <c r="BK182" s="386"/>
      <c r="BL182" s="386"/>
      <c r="BM182" s="386"/>
    </row>
    <row r="183" spans="8:65" x14ac:dyDescent="0.3">
      <c r="H183" s="610"/>
      <c r="I183" s="4"/>
      <c r="L183" s="4"/>
      <c r="M183" s="4"/>
      <c r="Q183" s="386"/>
      <c r="R183" s="386"/>
      <c r="S183" s="386"/>
      <c r="T183" s="386"/>
      <c r="V183" s="386"/>
      <c r="W183" s="386"/>
      <c r="X183" s="386"/>
      <c r="Y183" s="386"/>
      <c r="Z183" s="603"/>
      <c r="AA183" s="386"/>
      <c r="AB183" s="386"/>
      <c r="AC183" s="386"/>
      <c r="AE183" s="386"/>
      <c r="AF183" s="386"/>
      <c r="AG183" s="386"/>
      <c r="AH183" s="386"/>
      <c r="AI183" s="386"/>
      <c r="AJ183" s="386"/>
      <c r="AK183" s="386"/>
      <c r="AL183" s="386"/>
      <c r="AN183" s="386"/>
      <c r="AO183" s="386"/>
      <c r="AP183" s="386"/>
      <c r="AQ183" s="386"/>
      <c r="AR183" s="386"/>
      <c r="AS183" s="386"/>
      <c r="AT183" s="386"/>
      <c r="AU183" s="386"/>
      <c r="AV183" s="386"/>
      <c r="AW183" s="386"/>
      <c r="AX183" s="386"/>
      <c r="AY183" s="386"/>
      <c r="AZ183" s="386"/>
      <c r="BA183" s="386"/>
      <c r="BB183" s="386"/>
      <c r="BD183" s="604"/>
      <c r="BE183" s="614"/>
      <c r="BF183" s="614"/>
      <c r="BG183" s="9"/>
      <c r="BH183" s="48"/>
      <c r="BI183" s="386"/>
      <c r="BJ183" s="386"/>
      <c r="BK183" s="386"/>
      <c r="BL183" s="386"/>
      <c r="BM183" s="386"/>
    </row>
    <row r="184" spans="8:65" x14ac:dyDescent="0.3">
      <c r="H184" s="610"/>
      <c r="I184" s="4"/>
      <c r="L184" s="4"/>
      <c r="M184" s="4"/>
      <c r="Q184" s="386"/>
      <c r="R184" s="386"/>
      <c r="S184" s="386"/>
      <c r="T184" s="386"/>
      <c r="V184" s="386"/>
      <c r="W184" s="386"/>
      <c r="X184" s="386"/>
      <c r="Y184" s="386"/>
      <c r="Z184" s="603"/>
      <c r="AA184" s="386"/>
      <c r="AB184" s="386"/>
      <c r="AC184" s="386"/>
      <c r="AE184" s="386"/>
      <c r="AF184" s="386"/>
      <c r="AG184" s="386"/>
      <c r="AH184" s="386"/>
      <c r="AI184" s="386"/>
      <c r="AJ184" s="386"/>
      <c r="AK184" s="386"/>
      <c r="AL184" s="386"/>
      <c r="AN184" s="386"/>
      <c r="AO184" s="386"/>
      <c r="AP184" s="386"/>
      <c r="AQ184" s="386"/>
      <c r="AR184" s="386"/>
      <c r="AS184" s="386"/>
      <c r="AT184" s="386"/>
      <c r="AU184" s="386"/>
      <c r="AV184" s="386"/>
      <c r="AW184" s="386"/>
      <c r="AX184" s="386"/>
      <c r="AY184" s="386"/>
      <c r="AZ184" s="386"/>
      <c r="BA184" s="386"/>
      <c r="BB184" s="386"/>
      <c r="BD184" s="604"/>
      <c r="BE184" s="614"/>
      <c r="BF184" s="614"/>
      <c r="BG184" s="9"/>
      <c r="BH184" s="48"/>
      <c r="BI184" s="386"/>
      <c r="BJ184" s="386"/>
      <c r="BK184" s="386"/>
      <c r="BL184" s="386"/>
      <c r="BM184" s="386"/>
    </row>
    <row r="185" spans="8:65" x14ac:dyDescent="0.3">
      <c r="H185" s="610"/>
      <c r="I185" s="4"/>
      <c r="L185" s="4"/>
      <c r="M185" s="4"/>
      <c r="Q185" s="386"/>
      <c r="R185" s="386"/>
      <c r="S185" s="386"/>
      <c r="T185" s="386"/>
      <c r="V185" s="386"/>
      <c r="W185" s="386"/>
      <c r="X185" s="386"/>
      <c r="Y185" s="386"/>
      <c r="Z185" s="603"/>
      <c r="AA185" s="386"/>
      <c r="AB185" s="386"/>
      <c r="AC185" s="386"/>
      <c r="AE185" s="386"/>
      <c r="AF185" s="386"/>
      <c r="AG185" s="386"/>
      <c r="AH185" s="386"/>
      <c r="AI185" s="386"/>
      <c r="AJ185" s="386"/>
      <c r="AK185" s="386"/>
      <c r="AL185" s="386"/>
      <c r="AN185" s="386"/>
      <c r="AO185" s="386"/>
      <c r="AP185" s="386"/>
      <c r="AQ185" s="386"/>
      <c r="AR185" s="386"/>
      <c r="AS185" s="386"/>
      <c r="AT185" s="386"/>
      <c r="AU185" s="386"/>
      <c r="AV185" s="386"/>
      <c r="AW185" s="386"/>
      <c r="AX185" s="386"/>
      <c r="AY185" s="386"/>
      <c r="AZ185" s="386"/>
      <c r="BA185" s="386"/>
      <c r="BB185" s="386"/>
      <c r="BD185" s="604"/>
      <c r="BE185" s="614"/>
      <c r="BF185" s="614"/>
      <c r="BG185" s="9"/>
      <c r="BH185" s="48"/>
      <c r="BI185" s="386"/>
      <c r="BJ185" s="386"/>
      <c r="BK185" s="386"/>
      <c r="BL185" s="386"/>
      <c r="BM185" s="386"/>
    </row>
    <row r="186" spans="8:65" x14ac:dyDescent="0.3">
      <c r="H186" s="610"/>
      <c r="I186" s="4"/>
      <c r="L186" s="4"/>
      <c r="M186" s="4"/>
      <c r="Q186" s="386"/>
      <c r="R186" s="386"/>
      <c r="S186" s="386"/>
      <c r="T186" s="386"/>
      <c r="V186" s="386"/>
      <c r="W186" s="386"/>
      <c r="X186" s="386"/>
      <c r="Y186" s="386"/>
      <c r="Z186" s="603"/>
      <c r="AA186" s="386"/>
      <c r="AB186" s="386"/>
      <c r="AC186" s="386"/>
      <c r="AE186" s="386"/>
      <c r="AF186" s="386"/>
      <c r="AG186" s="386"/>
      <c r="AH186" s="386"/>
      <c r="AI186" s="386"/>
      <c r="AJ186" s="386"/>
      <c r="AK186" s="386"/>
      <c r="AL186" s="386"/>
      <c r="AN186" s="386"/>
      <c r="AO186" s="386"/>
      <c r="AP186" s="386"/>
      <c r="AQ186" s="386"/>
      <c r="AR186" s="386"/>
      <c r="AS186" s="386"/>
      <c r="AT186" s="386"/>
      <c r="AU186" s="386"/>
      <c r="AV186" s="386"/>
      <c r="AW186" s="386"/>
      <c r="AX186" s="386"/>
      <c r="AY186" s="386"/>
      <c r="AZ186" s="386"/>
      <c r="BA186" s="386"/>
      <c r="BB186" s="386"/>
      <c r="BD186" s="604"/>
      <c r="BE186" s="614"/>
      <c r="BF186" s="614"/>
      <c r="BG186" s="9"/>
      <c r="BH186" s="48"/>
      <c r="BI186" s="386"/>
      <c r="BJ186" s="386"/>
      <c r="BK186" s="386"/>
      <c r="BL186" s="386"/>
      <c r="BM186" s="386"/>
    </row>
    <row r="187" spans="8:65" x14ac:dyDescent="0.3">
      <c r="H187" s="610"/>
      <c r="I187" s="4"/>
      <c r="L187" s="4"/>
      <c r="M187" s="4"/>
      <c r="Q187" s="386"/>
      <c r="R187" s="386"/>
      <c r="S187" s="386"/>
      <c r="T187" s="386"/>
      <c r="V187" s="386"/>
      <c r="W187" s="386"/>
      <c r="X187" s="386"/>
      <c r="Y187" s="386"/>
      <c r="Z187" s="603"/>
      <c r="AA187" s="386"/>
      <c r="AB187" s="386"/>
      <c r="AC187" s="386"/>
      <c r="AE187" s="386"/>
      <c r="AF187" s="386"/>
      <c r="AG187" s="386"/>
      <c r="AH187" s="386"/>
      <c r="AI187" s="386"/>
      <c r="AJ187" s="386"/>
      <c r="AK187" s="386"/>
      <c r="AL187" s="386"/>
      <c r="AN187" s="386"/>
      <c r="AO187" s="386"/>
      <c r="AP187" s="386"/>
      <c r="AQ187" s="386"/>
      <c r="AR187" s="386"/>
      <c r="AS187" s="386"/>
      <c r="AT187" s="386"/>
      <c r="AU187" s="386"/>
      <c r="AV187" s="386"/>
      <c r="AW187" s="386"/>
      <c r="AX187" s="386"/>
      <c r="AY187" s="386"/>
      <c r="AZ187" s="386"/>
      <c r="BA187" s="386"/>
      <c r="BB187" s="386"/>
      <c r="BD187" s="604"/>
      <c r="BE187" s="614"/>
      <c r="BF187" s="614"/>
      <c r="BG187" s="9"/>
      <c r="BH187" s="48"/>
      <c r="BI187" s="386"/>
      <c r="BJ187" s="386"/>
      <c r="BK187" s="386"/>
      <c r="BL187" s="386"/>
      <c r="BM187" s="386"/>
    </row>
    <row r="188" spans="8:65" x14ac:dyDescent="0.3">
      <c r="H188" s="610"/>
      <c r="I188" s="4"/>
      <c r="L188" s="4"/>
      <c r="M188" s="4"/>
      <c r="Q188" s="386"/>
      <c r="R188" s="386"/>
      <c r="S188" s="386"/>
      <c r="T188" s="386"/>
      <c r="V188" s="386"/>
      <c r="W188" s="386"/>
      <c r="X188" s="386"/>
      <c r="Y188" s="386"/>
      <c r="Z188" s="603"/>
      <c r="AA188" s="386"/>
      <c r="AB188" s="386"/>
      <c r="AC188" s="386"/>
      <c r="AE188" s="386"/>
      <c r="AF188" s="386"/>
      <c r="AG188" s="386"/>
      <c r="AH188" s="386"/>
      <c r="AI188" s="386"/>
      <c r="AJ188" s="386"/>
      <c r="AK188" s="386"/>
      <c r="AL188" s="386"/>
      <c r="AN188" s="386"/>
      <c r="AO188" s="386"/>
      <c r="AP188" s="386"/>
      <c r="AQ188" s="386"/>
      <c r="AR188" s="386"/>
      <c r="AS188" s="386"/>
      <c r="AT188" s="386"/>
      <c r="AU188" s="386"/>
      <c r="AV188" s="386"/>
      <c r="AW188" s="386"/>
      <c r="AX188" s="386"/>
      <c r="AY188" s="386"/>
      <c r="AZ188" s="386"/>
      <c r="BA188" s="386"/>
      <c r="BB188" s="386"/>
      <c r="BD188" s="604"/>
      <c r="BE188" s="614"/>
      <c r="BF188" s="614"/>
      <c r="BG188" s="9"/>
      <c r="BH188" s="48"/>
      <c r="BI188" s="386"/>
      <c r="BJ188" s="386"/>
      <c r="BK188" s="386"/>
      <c r="BL188" s="386"/>
      <c r="BM188" s="386"/>
    </row>
    <row r="189" spans="8:65" x14ac:dyDescent="0.3">
      <c r="H189" s="610"/>
      <c r="I189" s="4"/>
      <c r="L189" s="4"/>
      <c r="M189" s="4"/>
      <c r="Q189" s="386"/>
      <c r="R189" s="386"/>
      <c r="S189" s="386"/>
      <c r="T189" s="386"/>
      <c r="V189" s="386"/>
      <c r="W189" s="386"/>
      <c r="X189" s="386"/>
      <c r="Y189" s="386"/>
      <c r="Z189" s="603"/>
      <c r="AA189" s="386"/>
      <c r="AB189" s="386"/>
      <c r="AC189" s="386"/>
      <c r="AE189" s="386"/>
      <c r="AF189" s="386"/>
      <c r="AG189" s="386"/>
      <c r="AH189" s="386"/>
      <c r="AI189" s="386"/>
      <c r="AJ189" s="386"/>
      <c r="AK189" s="386"/>
      <c r="AL189" s="386"/>
      <c r="AN189" s="386"/>
      <c r="AO189" s="386"/>
      <c r="AP189" s="386"/>
      <c r="AQ189" s="386"/>
      <c r="AR189" s="386"/>
      <c r="AS189" s="386"/>
      <c r="AT189" s="386"/>
      <c r="AU189" s="386"/>
      <c r="AV189" s="386"/>
      <c r="AW189" s="386"/>
      <c r="AX189" s="386"/>
      <c r="AY189" s="386"/>
      <c r="AZ189" s="386"/>
      <c r="BA189" s="386"/>
      <c r="BB189" s="386"/>
      <c r="BD189" s="604"/>
      <c r="BE189" s="614"/>
      <c r="BF189" s="614"/>
      <c r="BG189" s="9"/>
      <c r="BH189" s="48"/>
      <c r="BI189" s="386"/>
      <c r="BJ189" s="386"/>
      <c r="BK189" s="386"/>
      <c r="BL189" s="386"/>
      <c r="BM189" s="386"/>
    </row>
    <row r="190" spans="8:65" x14ac:dyDescent="0.3">
      <c r="H190" s="610"/>
      <c r="I190" s="4"/>
      <c r="L190" s="4"/>
      <c r="M190" s="4"/>
      <c r="Q190" s="386"/>
      <c r="R190" s="386"/>
      <c r="S190" s="386"/>
      <c r="T190" s="386"/>
      <c r="V190" s="386"/>
      <c r="W190" s="386"/>
      <c r="X190" s="386"/>
      <c r="Y190" s="386"/>
      <c r="Z190" s="603"/>
      <c r="AA190" s="386"/>
      <c r="AB190" s="386"/>
      <c r="AC190" s="386"/>
      <c r="AE190" s="386"/>
      <c r="AF190" s="386"/>
      <c r="AG190" s="386"/>
      <c r="AH190" s="386"/>
      <c r="AI190" s="386"/>
      <c r="AJ190" s="386"/>
      <c r="AK190" s="386"/>
      <c r="AL190" s="386"/>
      <c r="AN190" s="386"/>
      <c r="AO190" s="386"/>
      <c r="AP190" s="386"/>
      <c r="AQ190" s="386"/>
      <c r="AR190" s="386"/>
      <c r="AS190" s="386"/>
      <c r="AT190" s="386"/>
      <c r="AU190" s="386"/>
      <c r="AV190" s="386"/>
      <c r="AW190" s="386"/>
      <c r="AX190" s="386"/>
      <c r="AY190" s="386"/>
      <c r="AZ190" s="386"/>
      <c r="BA190" s="386"/>
      <c r="BB190" s="386"/>
      <c r="BD190" s="604"/>
      <c r="BE190" s="614"/>
      <c r="BF190" s="614"/>
      <c r="BG190" s="9"/>
      <c r="BH190" s="48"/>
      <c r="BI190" s="386"/>
      <c r="BJ190" s="386"/>
      <c r="BK190" s="386"/>
      <c r="BL190" s="386"/>
      <c r="BM190" s="386"/>
    </row>
    <row r="191" spans="8:65" x14ac:dyDescent="0.3">
      <c r="H191" s="610"/>
      <c r="I191" s="4"/>
      <c r="L191" s="4"/>
      <c r="M191" s="4"/>
      <c r="Q191" s="386"/>
      <c r="R191" s="386"/>
      <c r="S191" s="386"/>
      <c r="T191" s="386"/>
      <c r="V191" s="386"/>
      <c r="W191" s="386"/>
      <c r="X191" s="386"/>
      <c r="Y191" s="386"/>
      <c r="Z191" s="603"/>
      <c r="AA191" s="386"/>
      <c r="AB191" s="386"/>
      <c r="AC191" s="386"/>
      <c r="AE191" s="386"/>
      <c r="AF191" s="386"/>
      <c r="AG191" s="386"/>
      <c r="AH191" s="386"/>
      <c r="AI191" s="386"/>
      <c r="AJ191" s="386"/>
      <c r="AK191" s="386"/>
      <c r="AL191" s="386"/>
      <c r="AN191" s="386"/>
      <c r="AO191" s="386"/>
      <c r="AP191" s="386"/>
      <c r="AQ191" s="386"/>
      <c r="AR191" s="386"/>
      <c r="AS191" s="386"/>
      <c r="AT191" s="386"/>
      <c r="AU191" s="386"/>
      <c r="AV191" s="386"/>
      <c r="AW191" s="386"/>
      <c r="AX191" s="386"/>
      <c r="AY191" s="386"/>
      <c r="AZ191" s="386"/>
      <c r="BA191" s="386"/>
      <c r="BB191" s="386"/>
      <c r="BD191" s="604"/>
      <c r="BE191" s="614"/>
      <c r="BF191" s="614"/>
      <c r="BG191" s="9"/>
      <c r="BH191" s="48"/>
      <c r="BI191" s="386"/>
      <c r="BJ191" s="386"/>
      <c r="BK191" s="386"/>
      <c r="BL191" s="386"/>
      <c r="BM191" s="386"/>
    </row>
    <row r="192" spans="8:65" x14ac:dyDescent="0.3">
      <c r="H192" s="610"/>
      <c r="I192" s="4"/>
      <c r="L192" s="4"/>
      <c r="M192" s="4"/>
      <c r="Q192" s="386"/>
      <c r="R192" s="386"/>
      <c r="S192" s="386"/>
      <c r="T192" s="386"/>
      <c r="V192" s="386"/>
      <c r="W192" s="386"/>
      <c r="X192" s="386"/>
      <c r="Y192" s="386"/>
      <c r="Z192" s="603"/>
      <c r="AA192" s="386"/>
      <c r="AB192" s="386"/>
      <c r="AC192" s="386"/>
      <c r="AE192" s="386"/>
      <c r="AF192" s="386"/>
      <c r="AG192" s="386"/>
      <c r="AH192" s="386"/>
      <c r="AI192" s="386"/>
      <c r="AJ192" s="386"/>
      <c r="AK192" s="386"/>
      <c r="AL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D192" s="604"/>
      <c r="BE192" s="614"/>
      <c r="BF192" s="614"/>
      <c r="BG192" s="9"/>
      <c r="BH192" s="48"/>
      <c r="BI192" s="386"/>
      <c r="BJ192" s="386"/>
      <c r="BK192" s="386"/>
      <c r="BL192" s="386"/>
      <c r="BM192" s="386"/>
    </row>
    <row r="193" spans="8:65" x14ac:dyDescent="0.3">
      <c r="H193" s="610"/>
      <c r="I193" s="4"/>
      <c r="L193" s="4"/>
      <c r="M193" s="4"/>
      <c r="Q193" s="386"/>
      <c r="R193" s="386"/>
      <c r="S193" s="386"/>
      <c r="T193" s="386"/>
      <c r="V193" s="386"/>
      <c r="W193" s="386"/>
      <c r="X193" s="386"/>
      <c r="Y193" s="386"/>
      <c r="Z193" s="603"/>
      <c r="AA193" s="386"/>
      <c r="AB193" s="386"/>
      <c r="AC193" s="386"/>
      <c r="AE193" s="386"/>
      <c r="AF193" s="386"/>
      <c r="AG193" s="386"/>
      <c r="AH193" s="386"/>
      <c r="AI193" s="386"/>
      <c r="AJ193" s="386"/>
      <c r="AK193" s="386"/>
      <c r="AL193" s="386"/>
      <c r="AN193" s="386"/>
      <c r="AO193" s="386"/>
      <c r="AP193" s="386"/>
      <c r="AQ193" s="386"/>
      <c r="AR193" s="386"/>
      <c r="AS193" s="386"/>
      <c r="AT193" s="386"/>
      <c r="AU193" s="386"/>
      <c r="AV193" s="386"/>
      <c r="AW193" s="386"/>
      <c r="AX193" s="386"/>
      <c r="AY193" s="386"/>
      <c r="AZ193" s="386"/>
      <c r="BA193" s="386"/>
      <c r="BB193" s="386"/>
      <c r="BD193" s="604"/>
      <c r="BE193" s="614"/>
      <c r="BF193" s="614"/>
      <c r="BG193" s="9"/>
      <c r="BH193" s="48"/>
      <c r="BI193" s="386"/>
      <c r="BJ193" s="386"/>
      <c r="BK193" s="386"/>
      <c r="BL193" s="386"/>
      <c r="BM193" s="386"/>
    </row>
    <row r="194" spans="8:65" x14ac:dyDescent="0.3">
      <c r="H194" s="610"/>
      <c r="I194" s="4"/>
      <c r="L194" s="4"/>
      <c r="M194" s="4"/>
      <c r="Q194" s="386"/>
      <c r="R194" s="386"/>
      <c r="S194" s="386"/>
      <c r="T194" s="386"/>
      <c r="V194" s="386"/>
      <c r="W194" s="386"/>
      <c r="X194" s="386"/>
      <c r="Y194" s="386"/>
      <c r="Z194" s="603"/>
      <c r="AA194" s="386"/>
      <c r="AB194" s="386"/>
      <c r="AC194" s="386"/>
      <c r="AE194" s="386"/>
      <c r="AF194" s="386"/>
      <c r="AG194" s="386"/>
      <c r="AH194" s="386"/>
      <c r="AI194" s="386"/>
      <c r="AJ194" s="386"/>
      <c r="AK194" s="386"/>
      <c r="AL194" s="386"/>
      <c r="AN194" s="386"/>
      <c r="AO194" s="386"/>
      <c r="AP194" s="386"/>
      <c r="AQ194" s="386"/>
      <c r="AR194" s="386"/>
      <c r="AS194" s="386"/>
      <c r="AT194" s="386"/>
      <c r="AU194" s="386"/>
      <c r="AV194" s="386"/>
      <c r="AW194" s="386"/>
      <c r="AX194" s="386"/>
      <c r="AY194" s="386"/>
      <c r="AZ194" s="386"/>
      <c r="BA194" s="386"/>
      <c r="BB194" s="386"/>
      <c r="BD194" s="604"/>
      <c r="BE194" s="614"/>
      <c r="BF194" s="614"/>
      <c r="BG194" s="9"/>
      <c r="BH194" s="48"/>
      <c r="BI194" s="386"/>
      <c r="BJ194" s="386"/>
      <c r="BK194" s="386"/>
      <c r="BL194" s="386"/>
      <c r="BM194" s="386"/>
    </row>
    <row r="195" spans="8:65" x14ac:dyDescent="0.3">
      <c r="H195" s="610"/>
      <c r="I195" s="4"/>
      <c r="L195" s="4"/>
      <c r="M195" s="4"/>
      <c r="Q195" s="386"/>
      <c r="R195" s="386"/>
      <c r="S195" s="386"/>
      <c r="T195" s="386"/>
      <c r="V195" s="386"/>
      <c r="W195" s="386"/>
      <c r="X195" s="386"/>
      <c r="Y195" s="386"/>
      <c r="Z195" s="603"/>
      <c r="AA195" s="386"/>
      <c r="AB195" s="386"/>
      <c r="AC195" s="386"/>
      <c r="AE195" s="386"/>
      <c r="AF195" s="386"/>
      <c r="AG195" s="386"/>
      <c r="AH195" s="386"/>
      <c r="AI195" s="386"/>
      <c r="AJ195" s="386"/>
      <c r="AK195" s="386"/>
      <c r="AL195" s="386"/>
      <c r="AN195" s="386"/>
      <c r="AO195" s="386"/>
      <c r="AP195" s="386"/>
      <c r="AQ195" s="386"/>
      <c r="AR195" s="386"/>
      <c r="AS195" s="386"/>
      <c r="AT195" s="386"/>
      <c r="AU195" s="386"/>
      <c r="AV195" s="386"/>
      <c r="AW195" s="386"/>
      <c r="AX195" s="386"/>
      <c r="AY195" s="386"/>
      <c r="AZ195" s="386"/>
      <c r="BA195" s="386"/>
      <c r="BB195" s="386"/>
      <c r="BD195" s="604"/>
      <c r="BE195" s="614"/>
      <c r="BF195" s="614"/>
      <c r="BG195" s="9"/>
      <c r="BH195" s="48"/>
      <c r="BI195" s="386"/>
      <c r="BJ195" s="386"/>
      <c r="BK195" s="386"/>
      <c r="BL195" s="386"/>
      <c r="BM195" s="386"/>
    </row>
    <row r="196" spans="8:65" x14ac:dyDescent="0.3">
      <c r="H196" s="610"/>
      <c r="I196" s="4"/>
      <c r="L196" s="4"/>
      <c r="M196" s="4"/>
      <c r="Q196" s="386"/>
      <c r="R196" s="386"/>
      <c r="S196" s="386"/>
      <c r="T196" s="386"/>
      <c r="V196" s="386"/>
      <c r="W196" s="386"/>
      <c r="X196" s="386"/>
      <c r="Y196" s="386"/>
      <c r="Z196" s="603"/>
      <c r="AA196" s="386"/>
      <c r="AB196" s="386"/>
      <c r="AC196" s="386"/>
      <c r="AE196" s="386"/>
      <c r="AF196" s="386"/>
      <c r="AG196" s="386"/>
      <c r="AH196" s="386"/>
      <c r="AI196" s="386"/>
      <c r="AJ196" s="386"/>
      <c r="AK196" s="386"/>
      <c r="AL196" s="386"/>
      <c r="AN196" s="386"/>
      <c r="AO196" s="386"/>
      <c r="AP196" s="386"/>
      <c r="AQ196" s="386"/>
      <c r="AR196" s="386"/>
      <c r="AS196" s="386"/>
      <c r="AT196" s="386"/>
      <c r="AU196" s="386"/>
      <c r="AV196" s="386"/>
      <c r="AW196" s="386"/>
      <c r="AX196" s="386"/>
      <c r="AY196" s="386"/>
      <c r="AZ196" s="386"/>
      <c r="BA196" s="386"/>
      <c r="BB196" s="386"/>
      <c r="BD196" s="604"/>
      <c r="BE196" s="614"/>
      <c r="BF196" s="614"/>
      <c r="BG196" s="9"/>
      <c r="BH196" s="48"/>
      <c r="BI196" s="386"/>
      <c r="BJ196" s="386"/>
      <c r="BK196" s="386"/>
      <c r="BL196" s="386"/>
      <c r="BM196" s="386"/>
    </row>
    <row r="197" spans="8:65" x14ac:dyDescent="0.3">
      <c r="H197" s="610"/>
      <c r="I197" s="4"/>
      <c r="L197" s="4"/>
      <c r="M197" s="4"/>
      <c r="Q197" s="386"/>
      <c r="R197" s="386"/>
      <c r="S197" s="386"/>
      <c r="T197" s="386"/>
      <c r="V197" s="386"/>
      <c r="W197" s="386"/>
      <c r="X197" s="386"/>
      <c r="Y197" s="386"/>
      <c r="Z197" s="603"/>
      <c r="AA197" s="386"/>
      <c r="AB197" s="386"/>
      <c r="AC197" s="386"/>
      <c r="AE197" s="386"/>
      <c r="AF197" s="386"/>
      <c r="AG197" s="386"/>
      <c r="AH197" s="386"/>
      <c r="AI197" s="386"/>
      <c r="AJ197" s="386"/>
      <c r="AK197" s="386"/>
      <c r="AL197" s="386"/>
      <c r="AN197" s="386"/>
      <c r="AO197" s="386"/>
      <c r="AP197" s="386"/>
      <c r="AQ197" s="386"/>
      <c r="AR197" s="386"/>
      <c r="AS197" s="386"/>
      <c r="AT197" s="386"/>
      <c r="AU197" s="386"/>
      <c r="AV197" s="386"/>
      <c r="AW197" s="386"/>
      <c r="AX197" s="386"/>
      <c r="AY197" s="386"/>
      <c r="AZ197" s="386"/>
      <c r="BA197" s="386"/>
      <c r="BB197" s="386"/>
      <c r="BD197" s="604"/>
      <c r="BE197" s="614"/>
      <c r="BF197" s="614"/>
      <c r="BG197" s="9"/>
      <c r="BH197" s="48"/>
      <c r="BI197" s="386"/>
      <c r="BJ197" s="386"/>
      <c r="BK197" s="386"/>
      <c r="BL197" s="386"/>
      <c r="BM197" s="386"/>
    </row>
    <row r="198" spans="8:65" x14ac:dyDescent="0.3">
      <c r="H198" s="610"/>
      <c r="I198" s="4"/>
      <c r="L198" s="4"/>
      <c r="M198" s="4"/>
      <c r="Q198" s="386"/>
      <c r="R198" s="386"/>
      <c r="S198" s="386"/>
      <c r="T198" s="386"/>
      <c r="V198" s="386"/>
      <c r="W198" s="386"/>
      <c r="X198" s="386"/>
      <c r="Y198" s="386"/>
      <c r="Z198" s="603"/>
      <c r="AA198" s="386"/>
      <c r="AB198" s="386"/>
      <c r="AC198" s="386"/>
      <c r="AE198" s="386"/>
      <c r="AF198" s="386"/>
      <c r="AG198" s="386"/>
      <c r="AH198" s="386"/>
      <c r="AI198" s="386"/>
      <c r="AJ198" s="386"/>
      <c r="AK198" s="386"/>
      <c r="AL198" s="386"/>
      <c r="AN198" s="386"/>
      <c r="AO198" s="386"/>
      <c r="AP198" s="386"/>
      <c r="AQ198" s="386"/>
      <c r="AR198" s="386"/>
      <c r="AS198" s="386"/>
      <c r="AT198" s="386"/>
      <c r="AU198" s="386"/>
      <c r="AV198" s="386"/>
      <c r="AW198" s="386"/>
      <c r="AX198" s="386"/>
      <c r="AY198" s="386"/>
      <c r="AZ198" s="386"/>
      <c r="BA198" s="386"/>
      <c r="BB198" s="386"/>
      <c r="BD198" s="604"/>
      <c r="BE198" s="614"/>
      <c r="BF198" s="614"/>
      <c r="BG198" s="9"/>
      <c r="BH198" s="48"/>
      <c r="BI198" s="386"/>
      <c r="BJ198" s="386"/>
      <c r="BK198" s="386"/>
      <c r="BL198" s="386"/>
      <c r="BM198" s="386"/>
    </row>
    <row r="199" spans="8:65" x14ac:dyDescent="0.3">
      <c r="H199" s="610"/>
      <c r="I199" s="4"/>
      <c r="L199" s="4"/>
      <c r="M199" s="4"/>
      <c r="Q199" s="386"/>
      <c r="R199" s="386"/>
      <c r="S199" s="386"/>
      <c r="T199" s="386"/>
      <c r="V199" s="386"/>
      <c r="W199" s="386"/>
      <c r="X199" s="386"/>
      <c r="Y199" s="386"/>
      <c r="Z199" s="603"/>
      <c r="AA199" s="386"/>
      <c r="AB199" s="386"/>
      <c r="AC199" s="386"/>
      <c r="AE199" s="386"/>
      <c r="AF199" s="386"/>
      <c r="AG199" s="386"/>
      <c r="AH199" s="386"/>
      <c r="AI199" s="386"/>
      <c r="AJ199" s="386"/>
      <c r="AK199" s="386"/>
      <c r="AL199" s="386"/>
      <c r="AN199" s="386"/>
      <c r="AO199" s="386"/>
      <c r="AP199" s="386"/>
      <c r="AQ199" s="386"/>
      <c r="AR199" s="386"/>
      <c r="AS199" s="386"/>
      <c r="AT199" s="386"/>
      <c r="AU199" s="386"/>
      <c r="AV199" s="386"/>
      <c r="AW199" s="386"/>
      <c r="AX199" s="386"/>
      <c r="AY199" s="386"/>
      <c r="AZ199" s="386"/>
      <c r="BA199" s="386"/>
      <c r="BB199" s="386"/>
      <c r="BD199" s="604"/>
      <c r="BE199" s="614"/>
      <c r="BF199" s="614"/>
      <c r="BG199" s="9"/>
      <c r="BH199" s="48"/>
      <c r="BI199" s="386"/>
      <c r="BJ199" s="386"/>
      <c r="BK199" s="386"/>
      <c r="BL199" s="386"/>
      <c r="BM199" s="386"/>
    </row>
    <row r="200" spans="8:65" x14ac:dyDescent="0.3">
      <c r="H200" s="610"/>
      <c r="I200" s="4"/>
      <c r="L200" s="4"/>
      <c r="M200" s="4"/>
      <c r="Q200" s="386"/>
      <c r="R200" s="386"/>
      <c r="S200" s="386"/>
      <c r="T200" s="386"/>
      <c r="V200" s="386"/>
      <c r="W200" s="386"/>
      <c r="X200" s="386"/>
      <c r="Y200" s="386"/>
      <c r="Z200" s="603"/>
      <c r="AA200" s="386"/>
      <c r="AB200" s="386"/>
      <c r="AC200" s="386"/>
      <c r="AE200" s="386"/>
      <c r="AF200" s="386"/>
      <c r="AG200" s="386"/>
      <c r="AH200" s="386"/>
      <c r="AI200" s="386"/>
      <c r="AJ200" s="386"/>
      <c r="AK200" s="386"/>
      <c r="AL200" s="386"/>
      <c r="AN200" s="386"/>
      <c r="AO200" s="386"/>
      <c r="AP200" s="386"/>
      <c r="AQ200" s="386"/>
      <c r="AR200" s="386"/>
      <c r="AS200" s="386"/>
      <c r="AT200" s="386"/>
      <c r="AU200" s="386"/>
      <c r="AV200" s="386"/>
      <c r="AW200" s="386"/>
      <c r="AX200" s="386"/>
      <c r="AY200" s="386"/>
      <c r="AZ200" s="386"/>
      <c r="BA200" s="386"/>
      <c r="BB200" s="386"/>
      <c r="BD200" s="604"/>
      <c r="BE200" s="614"/>
      <c r="BF200" s="614"/>
      <c r="BG200" s="9"/>
      <c r="BH200" s="48"/>
      <c r="BI200" s="386"/>
      <c r="BJ200" s="386"/>
      <c r="BK200" s="386"/>
      <c r="BL200" s="386"/>
      <c r="BM200" s="386"/>
    </row>
    <row r="201" spans="8:65" x14ac:dyDescent="0.3">
      <c r="H201" s="610"/>
      <c r="I201" s="4"/>
      <c r="L201" s="4"/>
      <c r="M201" s="4"/>
      <c r="Q201" s="386"/>
      <c r="R201" s="386"/>
      <c r="S201" s="386"/>
      <c r="T201" s="386"/>
      <c r="V201" s="386"/>
      <c r="W201" s="386"/>
      <c r="X201" s="386"/>
      <c r="Y201" s="386"/>
      <c r="Z201" s="603"/>
      <c r="AA201" s="386"/>
      <c r="AB201" s="386"/>
      <c r="AC201" s="386"/>
      <c r="AE201" s="386"/>
      <c r="AF201" s="386"/>
      <c r="AG201" s="386"/>
      <c r="AH201" s="386"/>
      <c r="AI201" s="386"/>
      <c r="AJ201" s="386"/>
      <c r="AK201" s="386"/>
      <c r="AL201" s="386"/>
      <c r="AN201" s="386"/>
      <c r="AO201" s="386"/>
      <c r="AP201" s="386"/>
      <c r="AQ201" s="386"/>
      <c r="AR201" s="386"/>
      <c r="AS201" s="386"/>
      <c r="AT201" s="386"/>
      <c r="AU201" s="386"/>
      <c r="AV201" s="386"/>
      <c r="AW201" s="386"/>
      <c r="AX201" s="386"/>
      <c r="AY201" s="386"/>
      <c r="AZ201" s="386"/>
      <c r="BA201" s="386"/>
      <c r="BB201" s="386"/>
      <c r="BD201" s="604"/>
      <c r="BE201" s="614"/>
      <c r="BF201" s="614"/>
      <c r="BG201" s="9"/>
      <c r="BH201" s="48"/>
      <c r="BI201" s="386"/>
      <c r="BJ201" s="386"/>
      <c r="BK201" s="386"/>
      <c r="BL201" s="386"/>
      <c r="BM201" s="386"/>
    </row>
    <row r="202" spans="8:65" x14ac:dyDescent="0.3">
      <c r="H202" s="610"/>
      <c r="I202" s="4"/>
      <c r="L202" s="4"/>
      <c r="M202" s="4"/>
      <c r="Q202" s="386"/>
      <c r="R202" s="386"/>
      <c r="S202" s="386"/>
      <c r="T202" s="386"/>
      <c r="V202" s="386"/>
      <c r="W202" s="386"/>
      <c r="X202" s="386"/>
      <c r="Y202" s="386"/>
      <c r="Z202" s="603"/>
      <c r="AA202" s="386"/>
      <c r="AB202" s="386"/>
      <c r="AC202" s="386"/>
      <c r="AE202" s="386"/>
      <c r="AF202" s="386"/>
      <c r="AG202" s="386"/>
      <c r="AH202" s="386"/>
      <c r="AI202" s="386"/>
      <c r="AJ202" s="386"/>
      <c r="AK202" s="386"/>
      <c r="AL202" s="386"/>
      <c r="AN202" s="386"/>
      <c r="AO202" s="386"/>
      <c r="AP202" s="386"/>
      <c r="AQ202" s="386"/>
      <c r="AR202" s="386"/>
      <c r="AS202" s="386"/>
      <c r="AT202" s="386"/>
      <c r="AU202" s="386"/>
      <c r="AV202" s="386"/>
      <c r="AW202" s="386"/>
      <c r="AX202" s="386"/>
      <c r="AY202" s="386"/>
      <c r="AZ202" s="386"/>
      <c r="BA202" s="386"/>
      <c r="BB202" s="386"/>
      <c r="BD202" s="604"/>
      <c r="BE202" s="614"/>
      <c r="BF202" s="614"/>
      <c r="BG202" s="9"/>
      <c r="BH202" s="48"/>
      <c r="BI202" s="386"/>
      <c r="BJ202" s="386"/>
      <c r="BK202" s="386"/>
      <c r="BL202" s="386"/>
      <c r="BM202" s="386"/>
    </row>
    <row r="203" spans="8:65" x14ac:dyDescent="0.3">
      <c r="H203" s="610"/>
      <c r="I203" s="4"/>
      <c r="L203" s="4"/>
      <c r="M203" s="4"/>
      <c r="Q203" s="386"/>
      <c r="R203" s="386"/>
      <c r="S203" s="386"/>
      <c r="T203" s="386"/>
      <c r="V203" s="386"/>
      <c r="W203" s="386"/>
      <c r="X203" s="386"/>
      <c r="Y203" s="386"/>
      <c r="Z203" s="603"/>
      <c r="AA203" s="386"/>
      <c r="AB203" s="386"/>
      <c r="AC203" s="386"/>
      <c r="AE203" s="386"/>
      <c r="AF203" s="386"/>
      <c r="AG203" s="386"/>
      <c r="AH203" s="386"/>
      <c r="AI203" s="386"/>
      <c r="AJ203" s="386"/>
      <c r="AK203" s="386"/>
      <c r="AL203" s="386"/>
      <c r="AN203" s="386"/>
      <c r="AO203" s="386"/>
      <c r="AP203" s="386"/>
      <c r="AQ203" s="386"/>
      <c r="AR203" s="386"/>
      <c r="AS203" s="386"/>
      <c r="AT203" s="386"/>
      <c r="AU203" s="386"/>
      <c r="AV203" s="386"/>
      <c r="AW203" s="386"/>
      <c r="AX203" s="386"/>
      <c r="AY203" s="386"/>
      <c r="AZ203" s="386"/>
      <c r="BA203" s="386"/>
      <c r="BB203" s="386"/>
      <c r="BD203" s="604"/>
      <c r="BE203" s="614"/>
      <c r="BF203" s="614"/>
      <c r="BG203" s="9"/>
      <c r="BH203" s="48"/>
      <c r="BI203" s="386"/>
      <c r="BJ203" s="386"/>
      <c r="BK203" s="386"/>
      <c r="BL203" s="386"/>
      <c r="BM203" s="386"/>
    </row>
    <row r="204" spans="8:65" x14ac:dyDescent="0.3">
      <c r="H204" s="610"/>
      <c r="I204" s="4"/>
      <c r="L204" s="4"/>
      <c r="M204" s="4"/>
      <c r="Q204" s="386"/>
      <c r="R204" s="386"/>
      <c r="S204" s="386"/>
      <c r="T204" s="386"/>
      <c r="V204" s="386"/>
      <c r="W204" s="386"/>
      <c r="X204" s="386"/>
      <c r="Y204" s="386"/>
      <c r="Z204" s="603"/>
      <c r="AA204" s="386"/>
      <c r="AB204" s="386"/>
      <c r="AC204" s="386"/>
      <c r="AE204" s="386"/>
      <c r="AF204" s="386"/>
      <c r="AG204" s="386"/>
      <c r="AH204" s="386"/>
      <c r="AI204" s="386"/>
      <c r="AJ204" s="386"/>
      <c r="AK204" s="386"/>
      <c r="AL204" s="386"/>
      <c r="AN204" s="386"/>
      <c r="AO204" s="386"/>
      <c r="AP204" s="386"/>
      <c r="AQ204" s="386"/>
      <c r="AR204" s="386"/>
      <c r="AS204" s="386"/>
      <c r="AT204" s="386"/>
      <c r="AU204" s="386"/>
      <c r="AV204" s="386"/>
      <c r="AW204" s="386"/>
      <c r="AX204" s="386"/>
      <c r="AY204" s="386"/>
      <c r="AZ204" s="386"/>
      <c r="BA204" s="386"/>
      <c r="BB204" s="386"/>
      <c r="BD204" s="604"/>
      <c r="BE204" s="614"/>
      <c r="BF204" s="614"/>
      <c r="BG204" s="9"/>
      <c r="BH204" s="48"/>
      <c r="BI204" s="386"/>
      <c r="BJ204" s="386"/>
      <c r="BK204" s="386"/>
      <c r="BL204" s="386"/>
      <c r="BM204" s="386"/>
    </row>
    <row r="205" spans="8:65" x14ac:dyDescent="0.3">
      <c r="H205" s="610"/>
      <c r="I205" s="4"/>
      <c r="L205" s="4"/>
      <c r="M205" s="4"/>
      <c r="Q205" s="386"/>
      <c r="R205" s="386"/>
      <c r="S205" s="386"/>
      <c r="T205" s="386"/>
      <c r="V205" s="386"/>
      <c r="W205" s="386"/>
      <c r="X205" s="386"/>
      <c r="Y205" s="386"/>
      <c r="Z205" s="603"/>
      <c r="AA205" s="386"/>
      <c r="AB205" s="386"/>
      <c r="AC205" s="386"/>
      <c r="AE205" s="386"/>
      <c r="AF205" s="386"/>
      <c r="AG205" s="386"/>
      <c r="AH205" s="386"/>
      <c r="AI205" s="386"/>
      <c r="AJ205" s="386"/>
      <c r="AK205" s="386"/>
      <c r="AL205" s="386"/>
      <c r="AN205" s="386"/>
      <c r="AO205" s="386"/>
      <c r="AP205" s="386"/>
      <c r="AQ205" s="386"/>
      <c r="AR205" s="386"/>
      <c r="AS205" s="386"/>
      <c r="AT205" s="386"/>
      <c r="AU205" s="386"/>
      <c r="AV205" s="386"/>
      <c r="AW205" s="386"/>
      <c r="AX205" s="386"/>
      <c r="AY205" s="386"/>
      <c r="AZ205" s="386"/>
      <c r="BA205" s="386"/>
      <c r="BB205" s="386"/>
      <c r="BD205" s="604"/>
      <c r="BE205" s="614"/>
      <c r="BF205" s="614"/>
      <c r="BG205" s="9"/>
      <c r="BH205" s="48"/>
      <c r="BI205" s="386"/>
      <c r="BJ205" s="386"/>
      <c r="BK205" s="386"/>
      <c r="BL205" s="386"/>
      <c r="BM205" s="386"/>
    </row>
    <row r="206" spans="8:65" x14ac:dyDescent="0.3">
      <c r="H206" s="610"/>
      <c r="I206" s="4"/>
      <c r="L206" s="4"/>
      <c r="M206" s="4"/>
      <c r="Q206" s="386"/>
      <c r="R206" s="386"/>
      <c r="S206" s="386"/>
      <c r="T206" s="386"/>
      <c r="V206" s="386"/>
      <c r="W206" s="386"/>
      <c r="X206" s="386"/>
      <c r="Y206" s="386"/>
      <c r="Z206" s="603"/>
      <c r="AA206" s="386"/>
      <c r="AB206" s="386"/>
      <c r="AC206" s="386"/>
      <c r="AE206" s="386"/>
      <c r="AF206" s="386"/>
      <c r="AG206" s="386"/>
      <c r="AH206" s="386"/>
      <c r="AI206" s="386"/>
      <c r="AJ206" s="386"/>
      <c r="AK206" s="386"/>
      <c r="AL206" s="386"/>
      <c r="AN206" s="386"/>
      <c r="AO206" s="386"/>
      <c r="AP206" s="386"/>
      <c r="AQ206" s="386"/>
      <c r="AR206" s="386"/>
      <c r="AS206" s="386"/>
      <c r="AT206" s="386"/>
      <c r="AU206" s="386"/>
      <c r="AV206" s="386"/>
      <c r="AW206" s="386"/>
      <c r="AX206" s="386"/>
      <c r="AY206" s="386"/>
      <c r="AZ206" s="386"/>
      <c r="BA206" s="386"/>
      <c r="BB206" s="386"/>
      <c r="BD206" s="604"/>
      <c r="BE206" s="614"/>
      <c r="BF206" s="614"/>
      <c r="BG206" s="9"/>
      <c r="BH206" s="48"/>
      <c r="BI206" s="386"/>
      <c r="BJ206" s="386"/>
      <c r="BK206" s="386"/>
      <c r="BL206" s="386"/>
      <c r="BM206" s="386"/>
    </row>
    <row r="207" spans="8:65" x14ac:dyDescent="0.3">
      <c r="H207" s="610"/>
      <c r="I207" s="4"/>
      <c r="L207" s="4"/>
      <c r="M207" s="4"/>
      <c r="Q207" s="386"/>
      <c r="R207" s="386"/>
      <c r="S207" s="386"/>
      <c r="T207" s="386"/>
      <c r="V207" s="386"/>
      <c r="W207" s="386"/>
      <c r="X207" s="386"/>
      <c r="Y207" s="386"/>
      <c r="Z207" s="603"/>
      <c r="AA207" s="386"/>
      <c r="AB207" s="386"/>
      <c r="AC207" s="386"/>
      <c r="AE207" s="386"/>
      <c r="AF207" s="386"/>
      <c r="AG207" s="386"/>
      <c r="AH207" s="386"/>
      <c r="AI207" s="386"/>
      <c r="AJ207" s="386"/>
      <c r="AK207" s="386"/>
      <c r="AL207" s="386"/>
      <c r="AN207" s="386"/>
      <c r="AO207" s="386"/>
      <c r="AP207" s="386"/>
      <c r="AQ207" s="386"/>
      <c r="AR207" s="386"/>
      <c r="AS207" s="386"/>
      <c r="AT207" s="386"/>
      <c r="AU207" s="386"/>
      <c r="AV207" s="386"/>
      <c r="AW207" s="386"/>
      <c r="AX207" s="386"/>
      <c r="AY207" s="386"/>
      <c r="AZ207" s="386"/>
      <c r="BA207" s="386"/>
      <c r="BB207" s="386"/>
      <c r="BD207" s="604"/>
      <c r="BE207" s="614"/>
      <c r="BF207" s="614"/>
      <c r="BG207" s="9"/>
      <c r="BH207" s="48"/>
      <c r="BI207" s="386"/>
      <c r="BJ207" s="386"/>
      <c r="BK207" s="386"/>
      <c r="BL207" s="386"/>
      <c r="BM207" s="386"/>
    </row>
    <row r="208" spans="8:65" x14ac:dyDescent="0.3">
      <c r="H208" s="610"/>
      <c r="I208" s="4"/>
      <c r="L208" s="4"/>
      <c r="M208" s="4"/>
      <c r="Q208" s="386"/>
      <c r="R208" s="386"/>
      <c r="S208" s="386"/>
      <c r="T208" s="386"/>
      <c r="V208" s="386"/>
      <c r="W208" s="386"/>
      <c r="X208" s="386"/>
      <c r="Y208" s="386"/>
      <c r="Z208" s="603"/>
      <c r="AA208" s="386"/>
      <c r="AB208" s="386"/>
      <c r="AC208" s="386"/>
      <c r="AE208" s="386"/>
      <c r="AF208" s="386"/>
      <c r="AG208" s="386"/>
      <c r="AH208" s="386"/>
      <c r="AI208" s="386"/>
      <c r="AJ208" s="386"/>
      <c r="AK208" s="386"/>
      <c r="AL208" s="386"/>
      <c r="AN208" s="386"/>
      <c r="AO208" s="386"/>
      <c r="AP208" s="386"/>
      <c r="AQ208" s="386"/>
      <c r="AR208" s="386"/>
      <c r="AS208" s="386"/>
      <c r="AT208" s="386"/>
      <c r="AU208" s="386"/>
      <c r="AV208" s="386"/>
      <c r="AW208" s="386"/>
      <c r="AX208" s="386"/>
      <c r="AY208" s="386"/>
      <c r="AZ208" s="386"/>
      <c r="BA208" s="386"/>
      <c r="BB208" s="386"/>
      <c r="BD208" s="604"/>
      <c r="BE208" s="614"/>
      <c r="BF208" s="614"/>
      <c r="BG208" s="9"/>
      <c r="BH208" s="48"/>
      <c r="BI208" s="386"/>
      <c r="BJ208" s="386"/>
      <c r="BK208" s="386"/>
      <c r="BL208" s="386"/>
      <c r="BM208" s="386"/>
    </row>
    <row r="209" spans="8:65" x14ac:dyDescent="0.3">
      <c r="H209" s="610"/>
      <c r="I209" s="4"/>
      <c r="L209" s="4"/>
      <c r="M209" s="4"/>
      <c r="Q209" s="386"/>
      <c r="R209" s="386"/>
      <c r="S209" s="386"/>
      <c r="T209" s="386"/>
      <c r="V209" s="386"/>
      <c r="W209" s="386"/>
      <c r="X209" s="386"/>
      <c r="Y209" s="386"/>
      <c r="Z209" s="603"/>
      <c r="AA209" s="386"/>
      <c r="AB209" s="386"/>
      <c r="AC209" s="386"/>
      <c r="AE209" s="386"/>
      <c r="AF209" s="386"/>
      <c r="AG209" s="386"/>
      <c r="AH209" s="386"/>
      <c r="AI209" s="386"/>
      <c r="AJ209" s="386"/>
      <c r="AK209" s="386"/>
      <c r="AL209" s="386"/>
      <c r="AN209" s="386"/>
      <c r="AO209" s="386"/>
      <c r="AP209" s="386"/>
      <c r="AQ209" s="386"/>
      <c r="AR209" s="386"/>
      <c r="AS209" s="386"/>
      <c r="AT209" s="386"/>
      <c r="AU209" s="386"/>
      <c r="AV209" s="386"/>
      <c r="AW209" s="386"/>
      <c r="AX209" s="386"/>
      <c r="AY209" s="386"/>
      <c r="AZ209" s="386"/>
      <c r="BA209" s="386"/>
      <c r="BB209" s="386"/>
      <c r="BD209" s="604"/>
      <c r="BE209" s="614"/>
      <c r="BF209" s="614"/>
      <c r="BG209" s="9"/>
      <c r="BH209" s="48"/>
      <c r="BI209" s="386"/>
      <c r="BJ209" s="386"/>
      <c r="BK209" s="386"/>
      <c r="BL209" s="386"/>
      <c r="BM209" s="386"/>
    </row>
  </sheetData>
  <sheetProtection selectLockedCells="1"/>
  <mergeCells count="13">
    <mergeCell ref="X7:Z7"/>
    <mergeCell ref="A1:D4"/>
    <mergeCell ref="A6:D7"/>
    <mergeCell ref="G7:P7"/>
    <mergeCell ref="Q7:T7"/>
    <mergeCell ref="U7:W7"/>
    <mergeCell ref="BH7:BM7"/>
    <mergeCell ref="AA7:AE7"/>
    <mergeCell ref="AF7:AI7"/>
    <mergeCell ref="AJ7:AN7"/>
    <mergeCell ref="AO7:AR7"/>
    <mergeCell ref="AX7:BA7"/>
    <mergeCell ref="BB7:BF7"/>
  </mergeCells>
  <phoneticPr fontId="98" type="noConversion"/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7"/>
  <sheetViews>
    <sheetView zoomScaleNormal="100" workbookViewId="0">
      <pane ySplit="11" topLeftCell="A13" activePane="bottomLeft" state="frozen"/>
      <selection activeCell="A93" sqref="A93"/>
      <selection pane="bottomLeft" activeCell="K5" sqref="K5"/>
    </sheetView>
  </sheetViews>
  <sheetFormatPr defaultColWidth="9.15234375" defaultRowHeight="12.45" x14ac:dyDescent="0.3"/>
  <cols>
    <col min="1" max="1" width="16.15234375" style="345" customWidth="1"/>
    <col min="2" max="2" width="15.69140625" style="345" customWidth="1"/>
    <col min="3" max="3" width="10" style="345" customWidth="1"/>
    <col min="4" max="4" width="10.84375" style="345" customWidth="1"/>
    <col min="5" max="5" width="10.15234375" style="345" customWidth="1"/>
    <col min="6" max="8" width="11.84375" style="345" customWidth="1"/>
    <col min="9" max="9" width="14.3046875" style="345" customWidth="1"/>
    <col min="10" max="10" width="11" style="345" customWidth="1"/>
    <col min="11" max="11" width="12" style="345" customWidth="1"/>
    <col min="12" max="12" width="11.3828125" style="345" customWidth="1"/>
    <col min="13" max="13" width="10.84375" style="345" customWidth="1"/>
    <col min="14" max="14" width="11.3828125" style="345" customWidth="1"/>
    <col min="15" max="15" width="12.3046875" style="345" customWidth="1"/>
    <col min="16" max="16" width="12.15234375" style="345" customWidth="1"/>
    <col min="17" max="17" width="9.3828125" style="345" customWidth="1"/>
    <col min="18" max="18" width="16.15234375" style="345" bestFit="1" customWidth="1"/>
    <col min="19" max="19" width="13.15234375" style="385" customWidth="1"/>
    <col min="20" max="20" width="9.15234375" style="345"/>
    <col min="21" max="21" width="13.3828125" style="345" bestFit="1" customWidth="1"/>
    <col min="22" max="22" width="9.3046875" style="345" bestFit="1" customWidth="1"/>
    <col min="23" max="23" width="9.15234375" style="345"/>
    <col min="24" max="24" width="13.53515625" style="345" customWidth="1"/>
    <col min="25" max="25" width="10.53515625" style="345" customWidth="1"/>
    <col min="26" max="26" width="9.15234375" style="345"/>
    <col min="27" max="27" width="9.3046875" style="345" bestFit="1" customWidth="1"/>
    <col min="28" max="28" width="11.3046875" style="345" bestFit="1" customWidth="1"/>
    <col min="29" max="29" width="9.15234375" style="345"/>
    <col min="30" max="30" width="12.3046875" customWidth="1"/>
    <col min="31" max="31" width="8.84375" customWidth="1"/>
    <col min="32" max="16384" width="9.15234375" style="345"/>
  </cols>
  <sheetData>
    <row r="1" spans="1:31" ht="12.9" thickBot="1" x14ac:dyDescent="0.35"/>
    <row r="2" spans="1:31" x14ac:dyDescent="0.3">
      <c r="A2" s="732" t="s">
        <v>586</v>
      </c>
      <c r="B2" s="733"/>
      <c r="C2" s="734"/>
      <c r="D2" s="735"/>
      <c r="E2" s="732" t="s">
        <v>473</v>
      </c>
      <c r="F2" s="733"/>
      <c r="G2" s="733"/>
      <c r="H2" s="436"/>
      <c r="I2" s="453"/>
      <c r="J2" s="732" t="s">
        <v>584</v>
      </c>
      <c r="K2" s="734"/>
      <c r="L2" s="735"/>
      <c r="M2" s="732" t="s">
        <v>585</v>
      </c>
      <c r="N2" s="734"/>
      <c r="O2" s="735"/>
      <c r="P2" s="732" t="s">
        <v>474</v>
      </c>
      <c r="Q2" s="733"/>
      <c r="R2" s="741"/>
      <c r="AD2" s="118"/>
      <c r="AE2" s="118"/>
    </row>
    <row r="3" spans="1:31" x14ac:dyDescent="0.3">
      <c r="B3" s="346" t="s">
        <v>475</v>
      </c>
      <c r="C3" s="439">
        <f>Afb</f>
        <v>1.6666666666666666E-2</v>
      </c>
      <c r="D3" s="348" t="s">
        <v>30</v>
      </c>
      <c r="E3" s="349" t="s">
        <v>476</v>
      </c>
      <c r="F3" s="347">
        <f>Acs</f>
        <v>66.666666666666671</v>
      </c>
      <c r="G3" s="348" t="s">
        <v>583</v>
      </c>
      <c r="H3" s="451" t="s">
        <v>492</v>
      </c>
      <c r="I3" s="464">
        <f>gm</f>
        <v>1.2700000000000001E-3</v>
      </c>
      <c r="J3" s="349" t="s">
        <v>611</v>
      </c>
      <c r="K3" s="350">
        <f>Fesr</f>
        <v>132629.11939479699</v>
      </c>
      <c r="L3" s="348" t="s">
        <v>10</v>
      </c>
      <c r="M3" s="349" t="s">
        <v>478</v>
      </c>
      <c r="N3" s="350">
        <f>Fsw/2</f>
        <v>300000</v>
      </c>
      <c r="O3" s="348" t="s">
        <v>10</v>
      </c>
      <c r="P3" s="351" t="s">
        <v>479</v>
      </c>
      <c r="Q3" s="350">
        <f>Am*Afb*AEA</f>
        <v>13412.932628930843</v>
      </c>
      <c r="R3" s="348" t="s">
        <v>30</v>
      </c>
    </row>
    <row r="4" spans="1:31" x14ac:dyDescent="0.3">
      <c r="B4" s="346" t="s">
        <v>618</v>
      </c>
      <c r="C4" s="350">
        <f>Fz1_u</f>
        <v>194.75641614507632</v>
      </c>
      <c r="D4" s="348" t="s">
        <v>10</v>
      </c>
      <c r="E4" s="349" t="s">
        <v>481</v>
      </c>
      <c r="F4" s="355">
        <f>Am</f>
        <v>31.684092824246086</v>
      </c>
      <c r="G4" s="348" t="s">
        <v>30</v>
      </c>
      <c r="H4" s="452"/>
      <c r="I4" s="452"/>
      <c r="J4" s="349" t="s">
        <v>610</v>
      </c>
      <c r="K4" s="350">
        <f>Fp_dominant</f>
        <v>134.7392080547589</v>
      </c>
      <c r="L4" s="348" t="s">
        <v>10</v>
      </c>
      <c r="M4" s="349" t="s">
        <v>483</v>
      </c>
      <c r="N4" s="437">
        <f>Q*pole3</f>
        <v>208917.47523729777</v>
      </c>
      <c r="O4" s="348"/>
      <c r="P4" s="351" t="s">
        <v>484</v>
      </c>
      <c r="Q4" s="391">
        <f>AE7</f>
        <v>6.83955</v>
      </c>
      <c r="R4" s="348" t="s">
        <v>3</v>
      </c>
    </row>
    <row r="5" spans="1:31" x14ac:dyDescent="0.3">
      <c r="B5" s="346" t="s">
        <v>617</v>
      </c>
      <c r="C5" s="355">
        <f>Fp1_u</f>
        <v>0.66089524865232363</v>
      </c>
      <c r="D5" s="348" t="s">
        <v>10</v>
      </c>
      <c r="E5" s="349" t="s">
        <v>29</v>
      </c>
      <c r="F5" s="439">
        <f>Q</f>
        <v>0.69639158412432589</v>
      </c>
      <c r="G5" s="348"/>
      <c r="H5" s="452"/>
      <c r="I5" s="452"/>
      <c r="J5" s="349" t="s">
        <v>612</v>
      </c>
      <c r="K5" s="350">
        <f>IF(VIN_nom&gt;Vout, 10000000,Frhp)</f>
        <v>13491.577082021624</v>
      </c>
      <c r="L5" s="348" t="s">
        <v>10</v>
      </c>
      <c r="M5" s="349" t="s">
        <v>486</v>
      </c>
      <c r="N5" s="347">
        <f>pole3^2</f>
        <v>90000000000</v>
      </c>
      <c r="O5" s="348"/>
      <c r="P5" s="351" t="s">
        <v>487</v>
      </c>
      <c r="Q5" s="355">
        <f>AE9</f>
        <v>57.472281668362939</v>
      </c>
      <c r="R5" s="418" t="s">
        <v>552</v>
      </c>
    </row>
    <row r="6" spans="1:31" x14ac:dyDescent="0.3">
      <c r="B6" s="346" t="s">
        <v>488</v>
      </c>
      <c r="C6" s="347">
        <f>AEA</f>
        <v>25400</v>
      </c>
      <c r="D6" s="348" t="s">
        <v>30</v>
      </c>
      <c r="E6" s="349" t="s">
        <v>517</v>
      </c>
      <c r="F6" s="439">
        <f>mc</f>
        <v>3.9645390070921986</v>
      </c>
      <c r="G6" s="451"/>
      <c r="H6" s="454"/>
      <c r="I6" s="354"/>
      <c r="J6" s="352"/>
      <c r="K6" s="353"/>
      <c r="L6" s="354"/>
      <c r="M6" s="352"/>
      <c r="N6" s="467"/>
      <c r="O6" s="354"/>
      <c r="P6" s="435" t="s">
        <v>489</v>
      </c>
      <c r="Q6" s="353">
        <f>180/Pi</f>
        <v>57.295779578552292</v>
      </c>
      <c r="R6" s="354"/>
      <c r="AD6" s="5" t="s">
        <v>50</v>
      </c>
      <c r="AE6" s="5"/>
    </row>
    <row r="7" spans="1:31" ht="12.9" thickBot="1" x14ac:dyDescent="0.35">
      <c r="B7" s="431" t="s">
        <v>616</v>
      </c>
      <c r="C7" s="438">
        <f>Fp2_u</f>
        <v>62713.6417533817</v>
      </c>
      <c r="D7" s="433" t="s">
        <v>10</v>
      </c>
      <c r="E7" s="432" t="s">
        <v>491</v>
      </c>
      <c r="F7" s="434">
        <f>k</f>
        <v>0.9570846256675688</v>
      </c>
      <c r="G7" s="434"/>
      <c r="H7" s="455"/>
      <c r="I7" s="433"/>
      <c r="J7" s="432"/>
      <c r="K7" s="432"/>
      <c r="L7" s="433"/>
      <c r="M7" s="432"/>
      <c r="N7" s="432"/>
      <c r="O7" s="433"/>
      <c r="P7" s="432"/>
      <c r="Q7" s="432"/>
      <c r="R7" s="433"/>
      <c r="AD7" t="s">
        <v>47</v>
      </c>
      <c r="AE7">
        <f>SUM(AD12:AD613)/1000</f>
        <v>6.83955</v>
      </c>
    </row>
    <row r="8" spans="1:31" x14ac:dyDescent="0.3">
      <c r="B8" s="440"/>
      <c r="C8" s="441"/>
      <c r="F8" s="442"/>
      <c r="G8" s="442"/>
      <c r="H8" s="442"/>
    </row>
    <row r="9" spans="1:31" ht="12.9" thickBot="1" x14ac:dyDescent="0.35">
      <c r="AD9" t="s">
        <v>48</v>
      </c>
      <c r="AE9" s="4">
        <f>SUM(AE13:AE613)</f>
        <v>57.472281668362939</v>
      </c>
    </row>
    <row r="10" spans="1:31" ht="14.15" x14ac:dyDescent="0.35">
      <c r="A10" s="736" t="s">
        <v>626</v>
      </c>
      <c r="B10" s="730"/>
      <c r="C10" s="742" t="s">
        <v>493</v>
      </c>
      <c r="D10" s="743"/>
      <c r="E10" s="743"/>
      <c r="F10" s="743"/>
      <c r="G10" s="743"/>
      <c r="H10" s="744"/>
      <c r="I10" s="742" t="s">
        <v>494</v>
      </c>
      <c r="J10" s="743"/>
      <c r="K10" s="743"/>
      <c r="L10" s="743"/>
      <c r="M10" s="743"/>
      <c r="N10" s="744"/>
      <c r="O10" s="739" t="s">
        <v>495</v>
      </c>
      <c r="P10" s="740"/>
      <c r="Q10" s="739" t="s">
        <v>496</v>
      </c>
      <c r="R10" s="745"/>
      <c r="S10" s="746"/>
      <c r="X10" s="723" t="s">
        <v>497</v>
      </c>
      <c r="Y10" s="724"/>
      <c r="AA10" s="723" t="s">
        <v>498</v>
      </c>
      <c r="AB10" s="724"/>
    </row>
    <row r="11" spans="1:31" x14ac:dyDescent="0.3">
      <c r="A11" s="737"/>
      <c r="B11" s="731"/>
      <c r="C11" s="725" t="s">
        <v>610</v>
      </c>
      <c r="D11" s="726"/>
      <c r="E11" s="726" t="s">
        <v>611</v>
      </c>
      <c r="F11" s="727"/>
      <c r="G11" s="728" t="s">
        <v>612</v>
      </c>
      <c r="H11" s="729"/>
      <c r="I11" s="725" t="s">
        <v>482</v>
      </c>
      <c r="J11" s="726"/>
      <c r="K11" s="726" t="s">
        <v>477</v>
      </c>
      <c r="L11" s="727"/>
      <c r="M11" s="728" t="s">
        <v>485</v>
      </c>
      <c r="N11" s="729"/>
      <c r="O11" s="725" t="s">
        <v>478</v>
      </c>
      <c r="P11" s="727"/>
      <c r="Q11" s="349"/>
      <c r="R11" s="347"/>
      <c r="S11" s="392"/>
      <c r="X11" s="349"/>
      <c r="Y11" s="348"/>
      <c r="AA11" s="349"/>
      <c r="AB11" s="348"/>
    </row>
    <row r="12" spans="1:31" ht="12.9" thickBot="1" x14ac:dyDescent="0.35">
      <c r="A12" s="738"/>
      <c r="B12" s="389"/>
      <c r="C12" s="356" t="s">
        <v>499</v>
      </c>
      <c r="D12" s="357" t="s">
        <v>500</v>
      </c>
      <c r="E12" s="357" t="s">
        <v>499</v>
      </c>
      <c r="F12" s="358" t="s">
        <v>500</v>
      </c>
      <c r="G12" s="357" t="s">
        <v>499</v>
      </c>
      <c r="H12" s="358" t="s">
        <v>500</v>
      </c>
      <c r="I12" s="356" t="s">
        <v>499</v>
      </c>
      <c r="J12" s="357" t="s">
        <v>500</v>
      </c>
      <c r="K12" s="357" t="s">
        <v>499</v>
      </c>
      <c r="L12" s="358" t="s">
        <v>500</v>
      </c>
      <c r="M12" s="356" t="s">
        <v>499</v>
      </c>
      <c r="N12" s="357" t="s">
        <v>500</v>
      </c>
      <c r="O12" s="356" t="s">
        <v>499</v>
      </c>
      <c r="P12" s="358" t="s">
        <v>500</v>
      </c>
      <c r="Q12" s="356" t="s">
        <v>501</v>
      </c>
      <c r="R12" s="357" t="s">
        <v>502</v>
      </c>
      <c r="S12" s="393" t="s">
        <v>503</v>
      </c>
      <c r="V12" s="359" t="s">
        <v>504</v>
      </c>
      <c r="X12" s="360" t="s">
        <v>505</v>
      </c>
      <c r="Y12" s="361" t="s">
        <v>506</v>
      </c>
      <c r="AA12" s="360" t="s">
        <v>505</v>
      </c>
      <c r="AB12" s="361" t="s">
        <v>506</v>
      </c>
    </row>
    <row r="13" spans="1:31" x14ac:dyDescent="0.3">
      <c r="A13" s="362">
        <v>1</v>
      </c>
      <c r="B13" s="390">
        <f>A13/1000</f>
        <v>1E-3</v>
      </c>
      <c r="C13" s="363">
        <f t="shared" ref="C13:C76" si="0">SQRT(1+(A13/pole1)^2)</f>
        <v>1.0000275407677695</v>
      </c>
      <c r="D13" s="364">
        <f t="shared" ref="D13:D76" si="1">ATAN(A13/pole1)</f>
        <v>7.4216084113817209E-3</v>
      </c>
      <c r="E13" s="364">
        <f t="shared" ref="E13:E76" si="2">SQRT(1+(A13/Zero1)^2)</f>
        <v>1.0000000000284244</v>
      </c>
      <c r="F13" s="365">
        <f t="shared" ref="F13:F76" si="3">ATAN(A13/Zero1)</f>
        <v>7.5398223598571233E-6</v>
      </c>
      <c r="G13" s="364">
        <f t="shared" ref="G13:G76" si="4">IF(VIN_nom&gt;Vout, 1, SQRT(1+(A13/z_RHP)^2))</f>
        <v>1.0000000027469107</v>
      </c>
      <c r="H13" s="365">
        <f t="shared" ref="H13:H76" si="5">IF(VIN_nom&gt;Vout, 0, -ATAN(A13/z_RHP))</f>
        <v>-7.412031907680304E-5</v>
      </c>
      <c r="I13" s="363">
        <f t="shared" ref="I13:I76" si="6">SQRT(1+(A13/Pole2)^2)</f>
        <v>1.8136892951294659</v>
      </c>
      <c r="J13" s="366">
        <f t="shared" ref="J13:J76" si="7">ATAN(A13/Pole2)</f>
        <v>0.98679997052432455</v>
      </c>
      <c r="K13" s="364">
        <f t="shared" ref="K13:K76" si="8">SQRT(1+(A13/Zero2)^2)</f>
        <v>1.0000131820693936</v>
      </c>
      <c r="L13" s="365">
        <f t="shared" ref="L13:L76" si="9">ATAN(A13/Zero2)</f>
        <v>5.1345739043068194E-3</v>
      </c>
      <c r="M13" s="363">
        <f t="shared" ref="M13:M76" si="10">SQRT(1+(A13/pole4)^2)</f>
        <v>1.0000000001271294</v>
      </c>
      <c r="N13" s="366">
        <f t="shared" ref="N13:N76" si="11">ATAN(A13/pole4)</f>
        <v>1.5945494025808574E-5</v>
      </c>
      <c r="O13" s="367">
        <f t="shared" ref="O13:O76" si="12">SQRT((1-(V13/pterm2))^2+(A13/pterm1)^2)</f>
        <v>1.0000000000003446</v>
      </c>
      <c r="P13" s="368">
        <f t="shared" ref="P13:P76" si="13">IF((ATAN((A13/pterm1)/(1-A13^2/pterm2))&gt;0),ATAN((A13/pterm1)/(1-A13^2/pterm2)),PI()+ATAN((A13/pterm1)/(1-A13^2/pterm2)))</f>
        <v>4.7865790014340811E-6</v>
      </c>
      <c r="Q13" s="369">
        <f t="shared" ref="Q13:Q76" si="14">20*LOG10(((E13*K13*G13)/(C13*I13*O13*M13))*Adc)</f>
        <v>77.379092377711956</v>
      </c>
      <c r="R13" s="370">
        <f t="shared" ref="R13:R76" si="15">((F13+L13+H13)-(D13+J13+P13+N13))*radconv</f>
        <v>-56.675513666040004</v>
      </c>
      <c r="S13" s="394">
        <f t="shared" ref="S13:S76" si="16">IF(R13&gt;0,R13,R13+180)</f>
        <v>123.32448633396</v>
      </c>
      <c r="U13" s="345">
        <f>IF(Q13&lt;0,A13,1000000000)</f>
        <v>1000000000</v>
      </c>
      <c r="V13" s="345">
        <f>A13^2</f>
        <v>1</v>
      </c>
      <c r="X13" s="371">
        <f t="shared" ref="X13:X76" si="17">20*LOG10((K13/(I13*M13))*AEA)</f>
        <v>82.925531034788648</v>
      </c>
      <c r="Y13" s="372">
        <f t="shared" ref="Y13:Y76" si="18">(L13-(J13+N13))*radconv</f>
        <v>-56.246197794143626</v>
      </c>
      <c r="AA13" s="371">
        <f t="shared" ref="AA13:AA76" si="19">20*LOG10((E13*G13/(C13*O13))*Acs*Am)</f>
        <v>66.494761169482558</v>
      </c>
      <c r="AB13" s="372">
        <f t="shared" ref="AB13:AB76" si="20">(F13+H13-(D13+P13))*radconv</f>
        <v>-0.42931587189638293</v>
      </c>
      <c r="AD13">
        <f>SUM((Q14&lt;0)*(Q13&gt;0))*A13</f>
        <v>0</v>
      </c>
      <c r="AE13">
        <f t="shared" ref="AE13:AE44" si="21">IF(AD13&gt;0,S11,0)</f>
        <v>0</v>
      </c>
    </row>
    <row r="14" spans="1:31" x14ac:dyDescent="0.3">
      <c r="A14" s="373">
        <v>1.0965</v>
      </c>
      <c r="B14" s="390">
        <f t="shared" ref="B14:B77" si="22">A14/1000</f>
        <v>1.0965E-3</v>
      </c>
      <c r="C14" s="363">
        <f t="shared" si="0"/>
        <v>1.0000331125102175</v>
      </c>
      <c r="D14" s="364">
        <f t="shared" si="1"/>
        <v>8.1377633960149891E-3</v>
      </c>
      <c r="E14" s="364">
        <f t="shared" si="2"/>
        <v>1.0000000000341751</v>
      </c>
      <c r="F14" s="365">
        <f t="shared" si="3"/>
        <v>8.2674152175516398E-6</v>
      </c>
      <c r="G14" s="364">
        <f t="shared" si="4"/>
        <v>1.0000000033026446</v>
      </c>
      <c r="H14" s="365">
        <f t="shared" si="5"/>
        <v>-8.1272929837603795E-5</v>
      </c>
      <c r="I14" s="363">
        <f t="shared" si="6"/>
        <v>1.9371774455352568</v>
      </c>
      <c r="J14" s="366">
        <f t="shared" si="7"/>
        <v>1.028370684456305</v>
      </c>
      <c r="K14" s="374">
        <f t="shared" si="8"/>
        <v>1.0000158489423787</v>
      </c>
      <c r="L14" s="375">
        <f t="shared" si="9"/>
        <v>5.6300502764174195E-3</v>
      </c>
      <c r="M14" s="363">
        <f t="shared" si="10"/>
        <v>1.0000000001528493</v>
      </c>
      <c r="N14" s="366">
        <f t="shared" si="11"/>
        <v>1.7484234198999306E-5</v>
      </c>
      <c r="O14" s="367">
        <f t="shared" si="12"/>
        <v>1.0000000000004143</v>
      </c>
      <c r="P14" s="368">
        <f t="shared" si="13"/>
        <v>5.2484838750761574E-6</v>
      </c>
      <c r="Q14" s="369">
        <f t="shared" si="14"/>
        <v>76.806936867192604</v>
      </c>
      <c r="R14" s="370">
        <f t="shared" si="15"/>
        <v>-59.070466836477777</v>
      </c>
      <c r="S14" s="392">
        <f t="shared" si="16"/>
        <v>120.92953316352222</v>
      </c>
      <c r="U14" s="345">
        <f t="shared" ref="U14:U77" si="23">IF(Q14&lt;0,A14,1000000000)</f>
        <v>1000000000</v>
      </c>
      <c r="V14" s="345">
        <f t="shared" ref="V14:V77" si="24">A14^2</f>
        <v>1.2023122500000001</v>
      </c>
      <c r="X14" s="371">
        <f t="shared" si="17"/>
        <v>82.353423913465278</v>
      </c>
      <c r="Y14" s="372">
        <f t="shared" si="18"/>
        <v>-58.599723714828379</v>
      </c>
      <c r="AA14" s="371">
        <f t="shared" si="19"/>
        <v>66.494712780286577</v>
      </c>
      <c r="AB14" s="372">
        <f t="shared" si="20"/>
        <v>-0.47074312164940324</v>
      </c>
      <c r="AD14">
        <f t="shared" ref="AD14:AD77" si="25">SUM((Q15&lt;0)*(Q14&gt;0))*A14</f>
        <v>0</v>
      </c>
      <c r="AE14">
        <f t="shared" si="21"/>
        <v>0</v>
      </c>
    </row>
    <row r="15" spans="1:31" x14ac:dyDescent="0.3">
      <c r="A15" s="373">
        <v>1.2022999999999999</v>
      </c>
      <c r="B15" s="390">
        <f t="shared" si="22"/>
        <v>1.2022999999999999E-3</v>
      </c>
      <c r="C15" s="363">
        <f t="shared" si="0"/>
        <v>1.0000398106320845</v>
      </c>
      <c r="D15" s="364">
        <f t="shared" si="1"/>
        <v>8.9229268057740476E-3</v>
      </c>
      <c r="E15" s="364">
        <f t="shared" si="2"/>
        <v>1.0000000000410882</v>
      </c>
      <c r="F15" s="365">
        <f t="shared" si="3"/>
        <v>9.0651284231796855E-6</v>
      </c>
      <c r="G15" s="364">
        <f t="shared" si="4"/>
        <v>1.0000000039707291</v>
      </c>
      <c r="H15" s="365">
        <f t="shared" si="5"/>
        <v>-8.9114859553333364E-5</v>
      </c>
      <c r="I15" s="363">
        <f t="shared" si="6"/>
        <v>2.0759299450458863</v>
      </c>
      <c r="J15" s="366">
        <f t="shared" si="7"/>
        <v>1.068189259141157</v>
      </c>
      <c r="K15" s="374">
        <f t="shared" si="8"/>
        <v>1.0000190549587296</v>
      </c>
      <c r="L15" s="375">
        <f t="shared" si="9"/>
        <v>6.1732740354162969E-3</v>
      </c>
      <c r="M15" s="363">
        <f t="shared" si="10"/>
        <v>1.0000000001837688</v>
      </c>
      <c r="N15" s="366">
        <f t="shared" si="11"/>
        <v>1.9171267466505747E-5</v>
      </c>
      <c r="O15" s="367">
        <f t="shared" si="12"/>
        <v>1.000000000000498</v>
      </c>
      <c r="P15" s="368">
        <f t="shared" si="13"/>
        <v>5.7549039334331018E-6</v>
      </c>
      <c r="Q15" s="369">
        <f t="shared" si="14"/>
        <v>76.206040749218673</v>
      </c>
      <c r="R15" s="370">
        <f t="shared" si="15"/>
        <v>-61.366294515149193</v>
      </c>
      <c r="S15" s="392">
        <f t="shared" si="16"/>
        <v>118.63370548485081</v>
      </c>
      <c r="U15" s="345">
        <f t="shared" si="23"/>
        <v>1000000000</v>
      </c>
      <c r="V15" s="345">
        <f t="shared" si="24"/>
        <v>1.4455252899999997</v>
      </c>
      <c r="X15" s="371">
        <f t="shared" si="17"/>
        <v>81.752585966655204</v>
      </c>
      <c r="Y15" s="372">
        <f t="shared" si="18"/>
        <v>-60.850132224232588</v>
      </c>
      <c r="AA15" s="371">
        <f t="shared" si="19"/>
        <v>66.494654609122705</v>
      </c>
      <c r="AB15" s="372">
        <f t="shared" si="20"/>
        <v>-0.51616229091660693</v>
      </c>
      <c r="AD15">
        <f t="shared" si="25"/>
        <v>0</v>
      </c>
      <c r="AE15">
        <f t="shared" si="21"/>
        <v>0</v>
      </c>
    </row>
    <row r="16" spans="1:31" x14ac:dyDescent="0.3">
      <c r="A16" s="373">
        <v>1.3183</v>
      </c>
      <c r="B16" s="390">
        <f t="shared" si="22"/>
        <v>1.3183000000000001E-3</v>
      </c>
      <c r="C16" s="363">
        <f t="shared" si="0"/>
        <v>1.0000478630240528</v>
      </c>
      <c r="D16" s="364">
        <f t="shared" si="1"/>
        <v>9.7837738192520316E-3</v>
      </c>
      <c r="E16" s="364">
        <f t="shared" si="2"/>
        <v>1.0000000000493992</v>
      </c>
      <c r="F16" s="365">
        <f t="shared" si="3"/>
        <v>9.9397478168606555E-6</v>
      </c>
      <c r="G16" s="364">
        <f t="shared" si="4"/>
        <v>1.0000000047738973</v>
      </c>
      <c r="H16" s="365">
        <f t="shared" si="5"/>
        <v>-9.7712816506907743E-5</v>
      </c>
      <c r="I16" s="363">
        <f t="shared" si="6"/>
        <v>2.2313453387388997</v>
      </c>
      <c r="J16" s="366">
        <f t="shared" si="7"/>
        <v>1.1060901882928302</v>
      </c>
      <c r="K16" s="374">
        <f t="shared" si="8"/>
        <v>1.0000229092032604</v>
      </c>
      <c r="L16" s="375">
        <f t="shared" si="9"/>
        <v>6.7688648840496584E-3</v>
      </c>
      <c r="M16" s="363">
        <f t="shared" si="10"/>
        <v>1.0000000002209402</v>
      </c>
      <c r="N16" s="366">
        <f t="shared" si="11"/>
        <v>2.1020944772908787E-5</v>
      </c>
      <c r="O16" s="367">
        <f t="shared" si="12"/>
        <v>1.0000000000005986</v>
      </c>
      <c r="P16" s="368">
        <f t="shared" si="13"/>
        <v>6.3101470976067246E-6</v>
      </c>
      <c r="Q16" s="369">
        <f t="shared" si="14"/>
        <v>75.578922366258524</v>
      </c>
      <c r="R16" s="370">
        <f t="shared" si="15"/>
        <v>-63.55363616283821</v>
      </c>
      <c r="S16" s="392">
        <f t="shared" si="16"/>
        <v>116.44636383716178</v>
      </c>
      <c r="U16" s="345">
        <f t="shared" si="23"/>
        <v>1000000000</v>
      </c>
      <c r="V16" s="345">
        <f t="shared" si="24"/>
        <v>1.7379148900000001</v>
      </c>
      <c r="X16" s="371">
        <f t="shared" si="17"/>
        <v>81.125537515769551</v>
      </c>
      <c r="Y16" s="372">
        <f t="shared" si="18"/>
        <v>-62.987676643450129</v>
      </c>
      <c r="AA16" s="371">
        <f t="shared" si="19"/>
        <v>66.494584677048209</v>
      </c>
      <c r="AB16" s="372">
        <f t="shared" si="20"/>
        <v>-0.56595951938808597</v>
      </c>
      <c r="AD16">
        <f t="shared" si="25"/>
        <v>0</v>
      </c>
      <c r="AE16">
        <f t="shared" si="21"/>
        <v>0</v>
      </c>
    </row>
    <row r="17" spans="1:31" x14ac:dyDescent="0.3">
      <c r="A17" s="373">
        <v>1.4454</v>
      </c>
      <c r="B17" s="390">
        <f t="shared" si="22"/>
        <v>1.4454000000000001E-3</v>
      </c>
      <c r="C17" s="363">
        <f t="shared" si="0"/>
        <v>1.00005753679023</v>
      </c>
      <c r="D17" s="364">
        <f t="shared" si="1"/>
        <v>1.0726978291236719E-2</v>
      </c>
      <c r="E17" s="364">
        <f t="shared" si="2"/>
        <v>1.0000000000593838</v>
      </c>
      <c r="F17" s="365">
        <f t="shared" si="3"/>
        <v>1.0898059238712554E-5</v>
      </c>
      <c r="G17" s="364">
        <f t="shared" si="4"/>
        <v>1.0000000057387943</v>
      </c>
      <c r="H17" s="365">
        <f t="shared" si="5"/>
        <v>-1.0713350897992381E-4</v>
      </c>
      <c r="I17" s="363">
        <f t="shared" si="6"/>
        <v>2.4048108464467148</v>
      </c>
      <c r="J17" s="366">
        <f t="shared" si="7"/>
        <v>1.1419376349490453</v>
      </c>
      <c r="K17" s="374">
        <f t="shared" si="8"/>
        <v>1.0000275395333291</v>
      </c>
      <c r="L17" s="375">
        <f t="shared" si="9"/>
        <v>7.4214420866143462E-3</v>
      </c>
      <c r="M17" s="363">
        <f t="shared" si="10"/>
        <v>1.0000000002655964</v>
      </c>
      <c r="N17" s="366">
        <f t="shared" si="11"/>
        <v>2.3047617062776155E-5</v>
      </c>
      <c r="O17" s="367">
        <f t="shared" si="12"/>
        <v>1.0000000000007199</v>
      </c>
      <c r="P17" s="368">
        <f t="shared" si="13"/>
        <v>6.9185212886989979E-6</v>
      </c>
      <c r="Q17" s="369">
        <f t="shared" si="14"/>
        <v>74.928595929247905</v>
      </c>
      <c r="R17" s="370">
        <f t="shared" si="15"/>
        <v>-65.624831116636599</v>
      </c>
      <c r="S17" s="392">
        <f t="shared" si="16"/>
        <v>114.3751688833634</v>
      </c>
      <c r="U17" s="345">
        <f t="shared" si="23"/>
        <v>1000000000</v>
      </c>
      <c r="V17" s="345">
        <f t="shared" si="24"/>
        <v>2.0891811599999999</v>
      </c>
      <c r="X17" s="371">
        <f t="shared" si="17"/>
        <v>80.475295091129794</v>
      </c>
      <c r="Y17" s="372">
        <f t="shared" si="18"/>
        <v>-65.004310245731205</v>
      </c>
      <c r="AA17" s="371">
        <f t="shared" si="19"/>
        <v>66.494500664677361</v>
      </c>
      <c r="AB17" s="372">
        <f t="shared" si="20"/>
        <v>-0.62052087090539665</v>
      </c>
      <c r="AD17">
        <f t="shared" si="25"/>
        <v>0</v>
      </c>
      <c r="AE17">
        <f t="shared" si="21"/>
        <v>0</v>
      </c>
    </row>
    <row r="18" spans="1:31" x14ac:dyDescent="0.3">
      <c r="A18" s="373">
        <v>1.5849</v>
      </c>
      <c r="B18" s="390">
        <f t="shared" si="22"/>
        <v>1.5849E-3</v>
      </c>
      <c r="C18" s="363">
        <f t="shared" si="0"/>
        <v>1.0000691784349669</v>
      </c>
      <c r="D18" s="364">
        <f t="shared" si="1"/>
        <v>1.1762180678402954E-2</v>
      </c>
      <c r="E18" s="364">
        <f t="shared" si="2"/>
        <v>1.0000000000713998</v>
      </c>
      <c r="F18" s="365">
        <f t="shared" si="3"/>
        <v>1.1949864457795188E-5</v>
      </c>
      <c r="G18" s="364">
        <f t="shared" si="4"/>
        <v>1.0000000068999872</v>
      </c>
      <c r="H18" s="365">
        <f t="shared" si="5"/>
        <v>-1.1747329337957476E-4</v>
      </c>
      <c r="I18" s="363">
        <f t="shared" si="6"/>
        <v>2.5982561779468338</v>
      </c>
      <c r="J18" s="366">
        <f t="shared" si="7"/>
        <v>1.1757255445761976</v>
      </c>
      <c r="K18" s="374">
        <f t="shared" si="8"/>
        <v>1.0000331118157451</v>
      </c>
      <c r="L18" s="375">
        <f t="shared" si="9"/>
        <v>8.1376780608131208E-3</v>
      </c>
      <c r="M18" s="363">
        <f t="shared" si="10"/>
        <v>1.0000000003193374</v>
      </c>
      <c r="N18" s="366">
        <f t="shared" si="11"/>
        <v>2.5272013478265688E-5</v>
      </c>
      <c r="O18" s="367">
        <f t="shared" si="12"/>
        <v>1.0000000000008655</v>
      </c>
      <c r="P18" s="368">
        <f t="shared" si="13"/>
        <v>7.5862490594127198E-6</v>
      </c>
      <c r="Q18" s="369">
        <f t="shared" si="14"/>
        <v>74.256522295238113</v>
      </c>
      <c r="R18" s="370">
        <f t="shared" si="15"/>
        <v>-67.579709036862056</v>
      </c>
      <c r="S18" s="392">
        <f t="shared" si="16"/>
        <v>112.42029096313794</v>
      </c>
      <c r="U18" s="345">
        <f t="shared" si="23"/>
        <v>1000000000</v>
      </c>
      <c r="V18" s="345">
        <f t="shared" si="24"/>
        <v>2.51190801</v>
      </c>
      <c r="X18" s="371">
        <f t="shared" si="17"/>
        <v>79.803322558566109</v>
      </c>
      <c r="Y18" s="372">
        <f t="shared" si="18"/>
        <v>-66.899305018171361</v>
      </c>
      <c r="AA18" s="371">
        <f t="shared" si="19"/>
        <v>66.494399563231255</v>
      </c>
      <c r="AB18" s="372">
        <f t="shared" si="20"/>
        <v>-0.68040401869069378</v>
      </c>
      <c r="AD18">
        <f t="shared" si="25"/>
        <v>0</v>
      </c>
      <c r="AE18">
        <f t="shared" si="21"/>
        <v>0</v>
      </c>
    </row>
    <row r="19" spans="1:31" x14ac:dyDescent="0.3">
      <c r="A19" s="373">
        <v>1.7378</v>
      </c>
      <c r="B19" s="390">
        <f t="shared" si="22"/>
        <v>1.7378000000000001E-3</v>
      </c>
      <c r="C19" s="363">
        <f t="shared" si="0"/>
        <v>1.0000831693964098</v>
      </c>
      <c r="D19" s="364">
        <f t="shared" si="1"/>
        <v>1.2896792820579827E-2</v>
      </c>
      <c r="E19" s="364">
        <f t="shared" si="2"/>
        <v>1.0000000000858404</v>
      </c>
      <c r="F19" s="365">
        <f t="shared" si="3"/>
        <v>1.3102703296458173E-5</v>
      </c>
      <c r="G19" s="364">
        <f t="shared" si="4"/>
        <v>1.0000000082955303</v>
      </c>
      <c r="H19" s="365">
        <f t="shared" si="5"/>
        <v>-1.2880629001520361E-4</v>
      </c>
      <c r="I19" s="363">
        <f t="shared" si="6"/>
        <v>2.8131972603712239</v>
      </c>
      <c r="J19" s="366">
        <f t="shared" si="7"/>
        <v>1.2073822154843041</v>
      </c>
      <c r="K19" s="374">
        <f t="shared" si="8"/>
        <v>1.0000398086451934</v>
      </c>
      <c r="L19" s="375">
        <f t="shared" si="9"/>
        <v>8.922704145203875E-3</v>
      </c>
      <c r="M19" s="363">
        <f t="shared" si="10"/>
        <v>1.0000000003839242</v>
      </c>
      <c r="N19" s="366">
        <f t="shared" si="11"/>
        <v>2.7710079513306272E-5</v>
      </c>
      <c r="O19" s="367">
        <f t="shared" si="12"/>
        <v>1.0000000000010405</v>
      </c>
      <c r="P19" s="368">
        <f t="shared" si="13"/>
        <v>8.3181169887505155E-6</v>
      </c>
      <c r="Q19" s="369">
        <f t="shared" si="14"/>
        <v>73.566094613819004</v>
      </c>
      <c r="R19" s="370">
        <f t="shared" si="15"/>
        <v>-69.414297385029272</v>
      </c>
      <c r="S19" s="392">
        <f t="shared" si="16"/>
        <v>110.58570261497073</v>
      </c>
      <c r="U19" s="345">
        <f t="shared" si="23"/>
        <v>1000000000</v>
      </c>
      <c r="V19" s="345">
        <f t="shared" si="24"/>
        <v>3.0199488400000001</v>
      </c>
      <c r="X19" s="371">
        <f t="shared" si="17"/>
        <v>79.113016379592324</v>
      </c>
      <c r="Y19" s="372">
        <f t="shared" si="18"/>
        <v>-68.66825966611249</v>
      </c>
      <c r="AA19" s="371">
        <f t="shared" si="19"/>
        <v>66.494278060785931</v>
      </c>
      <c r="AB19" s="372">
        <f t="shared" si="20"/>
        <v>-0.74603771891677861</v>
      </c>
      <c r="AD19">
        <f t="shared" si="25"/>
        <v>0</v>
      </c>
      <c r="AE19">
        <f t="shared" si="21"/>
        <v>0</v>
      </c>
    </row>
    <row r="20" spans="1:31" x14ac:dyDescent="0.3">
      <c r="A20" s="373">
        <v>1.9055</v>
      </c>
      <c r="B20" s="390">
        <f t="shared" si="22"/>
        <v>1.9055000000000001E-3</v>
      </c>
      <c r="C20" s="363">
        <f t="shared" si="0"/>
        <v>1.0000999949843228</v>
      </c>
      <c r="D20" s="364">
        <f t="shared" si="1"/>
        <v>1.4141191784017914E-2</v>
      </c>
      <c r="E20" s="364">
        <f t="shared" si="2"/>
        <v>1.0000000001032072</v>
      </c>
      <c r="F20" s="365">
        <f t="shared" si="3"/>
        <v>1.4367131505991472E-5</v>
      </c>
      <c r="G20" s="364">
        <f t="shared" si="4"/>
        <v>1.0000000099738418</v>
      </c>
      <c r="H20" s="365">
        <f t="shared" si="5"/>
        <v>-1.4123626732037836E-4</v>
      </c>
      <c r="I20" s="363">
        <f t="shared" si="6"/>
        <v>3.0517047264678698</v>
      </c>
      <c r="J20" s="366">
        <f t="shared" si="7"/>
        <v>1.2369433427265397</v>
      </c>
      <c r="K20" s="374">
        <f t="shared" si="8"/>
        <v>1.0000478623445845</v>
      </c>
      <c r="L20" s="375">
        <f t="shared" si="9"/>
        <v>9.7837043760646471E-3</v>
      </c>
      <c r="M20" s="363">
        <f t="shared" si="10"/>
        <v>1.0000000004615979</v>
      </c>
      <c r="N20" s="366">
        <f t="shared" si="11"/>
        <v>3.0384138859403213E-5</v>
      </c>
      <c r="O20" s="367">
        <f t="shared" si="12"/>
        <v>1.000000000001251</v>
      </c>
      <c r="P20" s="368">
        <f t="shared" si="13"/>
        <v>9.1208262873160019E-6</v>
      </c>
      <c r="Q20" s="369">
        <f t="shared" si="14"/>
        <v>72.859171956185705</v>
      </c>
      <c r="R20" s="370">
        <f t="shared" si="15"/>
        <v>-71.130831287876148</v>
      </c>
      <c r="S20" s="392">
        <f t="shared" si="16"/>
        <v>108.86916871212385</v>
      </c>
      <c r="U20" s="345">
        <f t="shared" si="23"/>
        <v>1000000000</v>
      </c>
      <c r="V20" s="345">
        <f t="shared" si="24"/>
        <v>3.63093025</v>
      </c>
      <c r="X20" s="371">
        <f t="shared" si="17"/>
        <v>78.406239839049022</v>
      </c>
      <c r="Y20" s="372">
        <f t="shared" si="18"/>
        <v>-70.312809029547537</v>
      </c>
      <c r="AA20" s="371">
        <f t="shared" si="19"/>
        <v>66.494131943695933</v>
      </c>
      <c r="AB20" s="372">
        <f t="shared" si="20"/>
        <v>-0.81802225832859987</v>
      </c>
      <c r="AD20">
        <f t="shared" si="25"/>
        <v>0</v>
      </c>
      <c r="AE20">
        <f t="shared" si="21"/>
        <v>0</v>
      </c>
    </row>
    <row r="21" spans="1:31" x14ac:dyDescent="0.3">
      <c r="A21" s="373">
        <v>2.0893000000000002</v>
      </c>
      <c r="B21" s="390">
        <f t="shared" si="22"/>
        <v>2.0893000000000001E-3</v>
      </c>
      <c r="C21" s="363">
        <f t="shared" si="0"/>
        <v>1.0001202146865953</v>
      </c>
      <c r="D21" s="364">
        <f t="shared" si="1"/>
        <v>1.550500853627026E-2</v>
      </c>
      <c r="E21" s="364">
        <f t="shared" si="2"/>
        <v>1.0000000001240776</v>
      </c>
      <c r="F21" s="365">
        <f t="shared" si="3"/>
        <v>1.575295085544494E-5</v>
      </c>
      <c r="G21" s="364">
        <f t="shared" si="4"/>
        <v>1.0000000119907451</v>
      </c>
      <c r="H21" s="365">
        <f t="shared" si="5"/>
        <v>-1.5485958169283371E-4</v>
      </c>
      <c r="I21" s="363">
        <f t="shared" si="6"/>
        <v>3.3157097370129769</v>
      </c>
      <c r="J21" s="366">
        <f t="shared" si="7"/>
        <v>1.2644316854299598</v>
      </c>
      <c r="K21" s="374">
        <f t="shared" si="8"/>
        <v>1.0000575407568344</v>
      </c>
      <c r="L21" s="375">
        <f t="shared" si="9"/>
        <v>1.0727348027751741E-2</v>
      </c>
      <c r="M21" s="363">
        <f t="shared" si="10"/>
        <v>1.0000000005549419</v>
      </c>
      <c r="N21" s="366">
        <f t="shared" si="11"/>
        <v>3.3314920658620161E-5</v>
      </c>
      <c r="O21" s="367">
        <f t="shared" si="12"/>
        <v>1.0000000000015041</v>
      </c>
      <c r="P21" s="368">
        <f t="shared" si="13"/>
        <v>1.0000599507813138E-5</v>
      </c>
      <c r="Q21" s="369">
        <f t="shared" si="14"/>
        <v>72.138400540944488</v>
      </c>
      <c r="R21" s="370">
        <f t="shared" si="15"/>
        <v>-72.730790943283736</v>
      </c>
      <c r="S21" s="392">
        <f t="shared" si="16"/>
        <v>107.26920905671626</v>
      </c>
      <c r="U21" s="345">
        <f t="shared" si="23"/>
        <v>1000000000</v>
      </c>
      <c r="V21" s="345">
        <f t="shared" si="24"/>
        <v>4.3651744900000002</v>
      </c>
      <c r="X21" s="371">
        <f t="shared" si="17"/>
        <v>77.685644012877418</v>
      </c>
      <c r="Y21" s="372">
        <f t="shared" si="18"/>
        <v>-71.833876176822599</v>
      </c>
      <c r="AA21" s="371">
        <f t="shared" si="19"/>
        <v>66.493956354626306</v>
      </c>
      <c r="AB21" s="372">
        <f t="shared" si="20"/>
        <v>-0.89691476646113966</v>
      </c>
      <c r="AD21">
        <f t="shared" si="25"/>
        <v>0</v>
      </c>
      <c r="AE21">
        <f t="shared" si="21"/>
        <v>0</v>
      </c>
    </row>
    <row r="22" spans="1:31" x14ac:dyDescent="0.3">
      <c r="A22" s="373">
        <v>2.2909000000000002</v>
      </c>
      <c r="B22" s="390">
        <f t="shared" si="22"/>
        <v>2.2909000000000002E-3</v>
      </c>
      <c r="C22" s="363">
        <f t="shared" si="0"/>
        <v>1.000144531631288</v>
      </c>
      <c r="D22" s="364">
        <f t="shared" si="1"/>
        <v>1.7000836779866683E-2</v>
      </c>
      <c r="E22" s="364">
        <f t="shared" si="2"/>
        <v>1.000000000149178</v>
      </c>
      <c r="F22" s="365">
        <f t="shared" si="3"/>
        <v>1.727297904280617E-5</v>
      </c>
      <c r="G22" s="364">
        <f t="shared" si="4"/>
        <v>1.0000000144164001</v>
      </c>
      <c r="H22" s="365">
        <f t="shared" si="5"/>
        <v>-1.6980223765204451E-4</v>
      </c>
      <c r="I22" s="363">
        <f t="shared" si="6"/>
        <v>3.6077198741020484</v>
      </c>
      <c r="J22" s="366">
        <f t="shared" si="7"/>
        <v>1.2899349434282754</v>
      </c>
      <c r="K22" s="374">
        <f t="shared" si="8"/>
        <v>1.0000691805002873</v>
      </c>
      <c r="L22" s="375">
        <f t="shared" si="9"/>
        <v>1.1762356246778616E-2</v>
      </c>
      <c r="M22" s="363">
        <f t="shared" si="10"/>
        <v>1.0000000006672034</v>
      </c>
      <c r="N22" s="366">
        <f t="shared" si="11"/>
        <v>3.6529532250572435E-5</v>
      </c>
      <c r="O22" s="367">
        <f t="shared" si="12"/>
        <v>1.0000000000018083</v>
      </c>
      <c r="P22" s="368">
        <f t="shared" si="13"/>
        <v>1.096557383454717E-5</v>
      </c>
      <c r="Q22" s="369">
        <f t="shared" si="14"/>
        <v>71.405164386145742</v>
      </c>
      <c r="R22" s="370">
        <f t="shared" si="15"/>
        <v>-74.219431567198995</v>
      </c>
      <c r="S22" s="392">
        <f t="shared" si="16"/>
        <v>105.780568432801</v>
      </c>
      <c r="U22" s="345">
        <f t="shared" si="23"/>
        <v>1000000000</v>
      </c>
      <c r="V22" s="345">
        <f t="shared" si="24"/>
        <v>5.2482228100000006</v>
      </c>
      <c r="X22" s="371">
        <f t="shared" si="17"/>
        <v>76.952619023136876</v>
      </c>
      <c r="Y22" s="372">
        <f t="shared" si="18"/>
        <v>-73.235987806526893</v>
      </c>
      <c r="AA22" s="371">
        <f t="shared" si="19"/>
        <v>66.493745189568102</v>
      </c>
      <c r="AB22" s="372">
        <f t="shared" si="20"/>
        <v>-0.98344376067211758</v>
      </c>
      <c r="AD22">
        <f t="shared" si="25"/>
        <v>0</v>
      </c>
      <c r="AE22">
        <f t="shared" si="21"/>
        <v>0</v>
      </c>
    </row>
    <row r="23" spans="1:31" x14ac:dyDescent="0.3">
      <c r="A23" s="373">
        <v>2.5118999999999998</v>
      </c>
      <c r="B23" s="390">
        <f t="shared" si="22"/>
        <v>2.5118999999999996E-3</v>
      </c>
      <c r="C23" s="363">
        <f t="shared" si="0"/>
        <v>1.0001737596709894</v>
      </c>
      <c r="D23" s="364">
        <f t="shared" si="1"/>
        <v>1.8640521149730013E-2</v>
      </c>
      <c r="E23" s="364">
        <f t="shared" si="2"/>
        <v>1.0000000001793481</v>
      </c>
      <c r="F23" s="365">
        <f t="shared" si="3"/>
        <v>1.8939279783819515E-5</v>
      </c>
      <c r="G23" s="364">
        <f t="shared" si="4"/>
        <v>1.0000000173320229</v>
      </c>
      <c r="H23" s="365">
        <f t="shared" si="5"/>
        <v>-1.8618282767868995E-4</v>
      </c>
      <c r="I23" s="363">
        <f t="shared" si="6"/>
        <v>3.9301053394574144</v>
      </c>
      <c r="J23" s="366">
        <f t="shared" si="7"/>
        <v>1.3135214115001432</v>
      </c>
      <c r="K23" s="374">
        <f t="shared" si="8"/>
        <v>1.0000831712230289</v>
      </c>
      <c r="L23" s="375">
        <f t="shared" si="9"/>
        <v>1.2896934433765491E-2</v>
      </c>
      <c r="M23" s="363">
        <f t="shared" si="10"/>
        <v>1.0000000008021408</v>
      </c>
      <c r="N23" s="366">
        <f t="shared" si="11"/>
        <v>4.0053486425404178E-5</v>
      </c>
      <c r="O23" s="367">
        <f t="shared" si="12"/>
        <v>1.000000000002174</v>
      </c>
      <c r="P23" s="368">
        <f t="shared" si="13"/>
        <v>1.2023407793924046E-5</v>
      </c>
      <c r="Q23" s="369">
        <f t="shared" si="14"/>
        <v>70.661604448522837</v>
      </c>
      <c r="R23" s="370">
        <f t="shared" si="15"/>
        <v>-75.600882679197724</v>
      </c>
      <c r="S23" s="392">
        <f t="shared" si="16"/>
        <v>104.39911732080228</v>
      </c>
      <c r="U23" s="345">
        <f t="shared" si="23"/>
        <v>1000000000</v>
      </c>
      <c r="V23" s="345">
        <f t="shared" si="24"/>
        <v>6.309641609999999</v>
      </c>
      <c r="X23" s="371">
        <f t="shared" si="17"/>
        <v>76.209312891061401</v>
      </c>
      <c r="Y23" s="372">
        <f t="shared" si="18"/>
        <v>-74.522588248194594</v>
      </c>
      <c r="AA23" s="371">
        <f t="shared" si="19"/>
        <v>66.493491384020686</v>
      </c>
      <c r="AB23" s="372">
        <f t="shared" si="20"/>
        <v>-1.0782944310031362</v>
      </c>
      <c r="AD23">
        <f t="shared" si="25"/>
        <v>0</v>
      </c>
      <c r="AE23">
        <f t="shared" si="21"/>
        <v>0</v>
      </c>
    </row>
    <row r="24" spans="1:31" x14ac:dyDescent="0.3">
      <c r="A24" s="373">
        <v>2.7542</v>
      </c>
      <c r="B24" s="390">
        <f t="shared" si="22"/>
        <v>2.7542000000000001E-3</v>
      </c>
      <c r="C24" s="363">
        <f t="shared" si="0"/>
        <v>1.0002088947921155</v>
      </c>
      <c r="D24" s="364">
        <f t="shared" si="1"/>
        <v>2.0438122927571686E-2</v>
      </c>
      <c r="E24" s="364">
        <f t="shared" si="2"/>
        <v>1.0000000002156171</v>
      </c>
      <c r="F24" s="365">
        <f t="shared" si="3"/>
        <v>2.0766178740926971E-5</v>
      </c>
      <c r="G24" s="364">
        <f t="shared" si="4"/>
        <v>1.0000000208370152</v>
      </c>
      <c r="H24" s="365">
        <f t="shared" si="5"/>
        <v>-2.0414218033936205E-4</v>
      </c>
      <c r="I24" s="363">
        <f t="shared" si="6"/>
        <v>4.2856779352965964</v>
      </c>
      <c r="J24" s="366">
        <f t="shared" si="7"/>
        <v>1.3352900547984294</v>
      </c>
      <c r="K24" s="374">
        <f t="shared" si="8"/>
        <v>1.0000999897982086</v>
      </c>
      <c r="L24" s="375">
        <f t="shared" si="9"/>
        <v>1.4140825102246617E-2</v>
      </c>
      <c r="M24" s="363">
        <f t="shared" si="10"/>
        <v>1.0000000009643548</v>
      </c>
      <c r="N24" s="366">
        <f t="shared" si="11"/>
        <v>4.3917079621369644E-5</v>
      </c>
      <c r="O24" s="367">
        <f t="shared" si="12"/>
        <v>1.0000000000026137</v>
      </c>
      <c r="P24" s="368">
        <f t="shared" si="13"/>
        <v>1.3183195886051355E-5</v>
      </c>
      <c r="Q24" s="369">
        <f t="shared" si="14"/>
        <v>69.909138625638533</v>
      </c>
      <c r="R24" s="370">
        <f t="shared" si="15"/>
        <v>-76.881071517071064</v>
      </c>
      <c r="S24" s="392">
        <f t="shared" si="16"/>
        <v>103.11892848292894</v>
      </c>
      <c r="U24" s="345">
        <f t="shared" si="23"/>
        <v>1000000000</v>
      </c>
      <c r="V24" s="345">
        <f t="shared" si="24"/>
        <v>7.5856176399999997</v>
      </c>
      <c r="X24" s="371">
        <f t="shared" si="17"/>
        <v>75.457152158828421</v>
      </c>
      <c r="Y24" s="372">
        <f t="shared" si="18"/>
        <v>-75.698791318360364</v>
      </c>
      <c r="AA24" s="371">
        <f t="shared" si="19"/>
        <v>66.493186293369348</v>
      </c>
      <c r="AB24" s="372">
        <f t="shared" si="20"/>
        <v>-1.1822801987107114</v>
      </c>
      <c r="AD24">
        <f t="shared" si="25"/>
        <v>0</v>
      </c>
      <c r="AE24">
        <f t="shared" si="21"/>
        <v>0</v>
      </c>
    </row>
    <row r="25" spans="1:31" x14ac:dyDescent="0.3">
      <c r="A25" s="373">
        <v>3.02</v>
      </c>
      <c r="B25" s="390">
        <f t="shared" si="22"/>
        <v>3.0200000000000001E-3</v>
      </c>
      <c r="C25" s="363">
        <f t="shared" si="0"/>
        <v>1.0002511547378961</v>
      </c>
      <c r="D25" s="364">
        <f t="shared" si="1"/>
        <v>2.2409916714441012E-2</v>
      </c>
      <c r="E25" s="364">
        <f t="shared" si="2"/>
        <v>1.0000000002592424</v>
      </c>
      <c r="F25" s="365">
        <f t="shared" si="3"/>
        <v>2.2770263523264656E-5</v>
      </c>
      <c r="G25" s="364">
        <f t="shared" si="4"/>
        <v>1.0000000250529255</v>
      </c>
      <c r="H25" s="365">
        <f t="shared" si="5"/>
        <v>-2.2384336028324301E-4</v>
      </c>
      <c r="I25" s="363">
        <f t="shared" si="6"/>
        <v>4.6776994114693542</v>
      </c>
      <c r="J25" s="366">
        <f t="shared" si="7"/>
        <v>1.3553532288976229</v>
      </c>
      <c r="K25" s="374">
        <f t="shared" si="8"/>
        <v>1.0001202193117675</v>
      </c>
      <c r="L25" s="375">
        <f t="shared" si="9"/>
        <v>1.5505306775463069E-2</v>
      </c>
      <c r="M25" s="363">
        <f t="shared" si="10"/>
        <v>1.0000000011594707</v>
      </c>
      <c r="N25" s="366">
        <f t="shared" si="11"/>
        <v>4.8155391924800023E-5</v>
      </c>
      <c r="O25" s="367">
        <f t="shared" si="12"/>
        <v>1.0000000000031424</v>
      </c>
      <c r="P25" s="368">
        <f t="shared" si="13"/>
        <v>1.4455468584738716E-5</v>
      </c>
      <c r="Q25" s="369">
        <f t="shared" si="14"/>
        <v>69.148691781300485</v>
      </c>
      <c r="R25" s="370">
        <f t="shared" si="15"/>
        <v>-78.066732841030998</v>
      </c>
      <c r="S25" s="392">
        <f t="shared" si="16"/>
        <v>101.933267158969</v>
      </c>
      <c r="U25" s="345">
        <f t="shared" si="23"/>
        <v>1000000000</v>
      </c>
      <c r="V25" s="345">
        <f t="shared" si="24"/>
        <v>9.1204000000000001</v>
      </c>
      <c r="X25" s="371">
        <f t="shared" si="17"/>
        <v>74.697072258307657</v>
      </c>
      <c r="Y25" s="372">
        <f t="shared" si="18"/>
        <v>-76.770390315413806</v>
      </c>
      <c r="AA25" s="371">
        <f t="shared" si="19"/>
        <v>66.492819349552065</v>
      </c>
      <c r="AB25" s="372">
        <f t="shared" si="20"/>
        <v>-1.2963425256171994</v>
      </c>
      <c r="AD25">
        <f t="shared" si="25"/>
        <v>0</v>
      </c>
      <c r="AE25">
        <f t="shared" si="21"/>
        <v>0</v>
      </c>
    </row>
    <row r="26" spans="1:31" x14ac:dyDescent="0.3">
      <c r="A26" s="373">
        <v>3.3113000000000001</v>
      </c>
      <c r="B26" s="390">
        <f t="shared" si="22"/>
        <v>3.3113000000000001E-3</v>
      </c>
      <c r="C26" s="363">
        <f t="shared" si="0"/>
        <v>1.0003019350440954</v>
      </c>
      <c r="D26" s="364">
        <f t="shared" si="1"/>
        <v>2.4570677362326793E-2</v>
      </c>
      <c r="E26" s="364">
        <f t="shared" si="2"/>
        <v>1.0000000003116658</v>
      </c>
      <c r="F26" s="365">
        <f t="shared" si="3"/>
        <v>2.4966613775480508E-5</v>
      </c>
      <c r="G26" s="364">
        <f t="shared" si="4"/>
        <v>1.0000000301190741</v>
      </c>
      <c r="H26" s="365">
        <f t="shared" si="5"/>
        <v>-2.4543460808030052E-4</v>
      </c>
      <c r="I26" s="363">
        <f t="shared" si="6"/>
        <v>5.1091444300609474</v>
      </c>
      <c r="J26" s="366">
        <f t="shared" si="7"/>
        <v>1.373797096138982</v>
      </c>
      <c r="K26" s="374">
        <f t="shared" si="8"/>
        <v>1.0001445280461236</v>
      </c>
      <c r="L26" s="375">
        <f t="shared" si="9"/>
        <v>1.7000625947691427E-2</v>
      </c>
      <c r="M26" s="363">
        <f t="shared" si="10"/>
        <v>1.0000000013939365</v>
      </c>
      <c r="N26" s="366">
        <f t="shared" si="11"/>
        <v>5.2800314323068051E-5</v>
      </c>
      <c r="O26" s="367">
        <f t="shared" si="12"/>
        <v>1.0000000000037779</v>
      </c>
      <c r="P26" s="368">
        <f t="shared" si="13"/>
        <v>1.5849799047997348E-5</v>
      </c>
      <c r="Q26" s="369">
        <f t="shared" si="14"/>
        <v>68.382144603547758</v>
      </c>
      <c r="R26" s="370">
        <f t="shared" si="15"/>
        <v>-79.163072850655141</v>
      </c>
      <c r="S26" s="392">
        <f t="shared" si="16"/>
        <v>100.83692714934486</v>
      </c>
      <c r="U26" s="345">
        <f t="shared" si="23"/>
        <v>1000000000</v>
      </c>
      <c r="V26" s="345">
        <f t="shared" si="24"/>
        <v>10.964707690000001</v>
      </c>
      <c r="X26" s="371">
        <f t="shared" si="17"/>
        <v>73.930965986294112</v>
      </c>
      <c r="Y26" s="372">
        <f t="shared" si="18"/>
        <v>-77.741736724209119</v>
      </c>
      <c r="AA26" s="371">
        <f t="shared" si="19"/>
        <v>66.492378443812896</v>
      </c>
      <c r="AB26" s="372">
        <f t="shared" si="20"/>
        <v>-1.4213361264460334</v>
      </c>
      <c r="AD26">
        <f t="shared" si="25"/>
        <v>0</v>
      </c>
      <c r="AE26">
        <f t="shared" si="21"/>
        <v>0</v>
      </c>
    </row>
    <row r="27" spans="1:31" x14ac:dyDescent="0.3">
      <c r="A27" s="373">
        <v>3.6307999999999998</v>
      </c>
      <c r="B27" s="390">
        <f t="shared" si="22"/>
        <v>3.6308E-3</v>
      </c>
      <c r="C27" s="363">
        <f t="shared" si="0"/>
        <v>1.0003630010318523</v>
      </c>
      <c r="D27" s="364">
        <f t="shared" si="1"/>
        <v>2.6940351064218548E-2</v>
      </c>
      <c r="E27" s="364">
        <f t="shared" si="2"/>
        <v>1.0000000003747114</v>
      </c>
      <c r="F27" s="365">
        <f t="shared" si="3"/>
        <v>2.737558701784937E-5</v>
      </c>
      <c r="G27" s="364">
        <f t="shared" si="4"/>
        <v>1.000000036211725</v>
      </c>
      <c r="H27" s="365">
        <f t="shared" si="5"/>
        <v>-2.6911604850011085E-4</v>
      </c>
      <c r="I27" s="363">
        <f t="shared" si="6"/>
        <v>5.5840308838752772</v>
      </c>
      <c r="J27" s="366">
        <f t="shared" si="7"/>
        <v>1.3907429332305092</v>
      </c>
      <c r="K27" s="374">
        <f t="shared" si="8"/>
        <v>1.0001737614289301</v>
      </c>
      <c r="L27" s="375">
        <f t="shared" si="9"/>
        <v>1.8640615429669116E-2</v>
      </c>
      <c r="M27" s="363">
        <f t="shared" si="10"/>
        <v>1.0000000016759096</v>
      </c>
      <c r="N27" s="366">
        <f t="shared" si="11"/>
        <v>5.7894899649128115E-5</v>
      </c>
      <c r="O27" s="367">
        <f t="shared" si="12"/>
        <v>1.0000000000045421</v>
      </c>
      <c r="P27" s="368">
        <f t="shared" si="13"/>
        <v>1.7379111039142386E-5</v>
      </c>
      <c r="Q27" s="369">
        <f t="shared" si="14"/>
        <v>67.609875661982798</v>
      </c>
      <c r="R27" s="370">
        <f t="shared" si="15"/>
        <v>-80.177403967602615</v>
      </c>
      <c r="S27" s="392">
        <f t="shared" si="16"/>
        <v>99.822596032397385</v>
      </c>
      <c r="U27" s="345">
        <f t="shared" si="23"/>
        <v>1000000000</v>
      </c>
      <c r="V27" s="345">
        <f t="shared" si="24"/>
        <v>13.182708639999998</v>
      </c>
      <c r="X27" s="371">
        <f t="shared" si="17"/>
        <v>73.159227227411975</v>
      </c>
      <c r="Y27" s="372">
        <f t="shared" si="18"/>
        <v>-78.618989093346656</v>
      </c>
      <c r="AA27" s="371">
        <f t="shared" si="19"/>
        <v>66.491848261130059</v>
      </c>
      <c r="AB27" s="372">
        <f t="shared" si="20"/>
        <v>-1.5584148742559576</v>
      </c>
      <c r="AD27">
        <f t="shared" si="25"/>
        <v>0</v>
      </c>
      <c r="AE27">
        <f t="shared" si="21"/>
        <v>0</v>
      </c>
    </row>
    <row r="28" spans="1:31" x14ac:dyDescent="0.3">
      <c r="A28" s="373">
        <v>3.9811000000000001</v>
      </c>
      <c r="B28" s="390">
        <f t="shared" si="22"/>
        <v>3.9811000000000004E-3</v>
      </c>
      <c r="C28" s="363">
        <f t="shared" si="0"/>
        <v>1.0004364087425095</v>
      </c>
      <c r="D28" s="364">
        <f t="shared" si="1"/>
        <v>2.9538114059600898E-2</v>
      </c>
      <c r="E28" s="364">
        <f t="shared" si="2"/>
        <v>1.0000000004505036</v>
      </c>
      <c r="F28" s="365">
        <f t="shared" si="3"/>
        <v>3.0016786788380885E-5</v>
      </c>
      <c r="G28" s="364">
        <f t="shared" si="4"/>
        <v>1.0000000435362211</v>
      </c>
      <c r="H28" s="365">
        <f t="shared" si="5"/>
        <v>-2.9508039425257679E-4</v>
      </c>
      <c r="I28" s="363">
        <f t="shared" si="6"/>
        <v>6.1062387668617673</v>
      </c>
      <c r="J28" s="366">
        <f t="shared" si="7"/>
        <v>1.4062883870919718</v>
      </c>
      <c r="K28" s="374">
        <f t="shared" si="8"/>
        <v>1.0002089042467095</v>
      </c>
      <c r="L28" s="375">
        <f t="shared" si="9"/>
        <v>2.0438585357326271E-2</v>
      </c>
      <c r="M28" s="363">
        <f t="shared" si="10"/>
        <v>1.0000000020148936</v>
      </c>
      <c r="N28" s="366">
        <f t="shared" si="11"/>
        <v>6.3480606186255565E-5</v>
      </c>
      <c r="O28" s="367">
        <f t="shared" si="12"/>
        <v>1.000000000005461</v>
      </c>
      <c r="P28" s="368">
        <f t="shared" si="13"/>
        <v>1.905584966359223E-5</v>
      </c>
      <c r="Q28" s="369">
        <f t="shared" si="14"/>
        <v>66.833024144382421</v>
      </c>
      <c r="R28" s="370">
        <f t="shared" si="15"/>
        <v>-81.115670058102822</v>
      </c>
      <c r="S28" s="392">
        <f t="shared" si="16"/>
        <v>98.884329941897178</v>
      </c>
      <c r="U28" s="345">
        <f t="shared" si="23"/>
        <v>1000000000</v>
      </c>
      <c r="V28" s="345">
        <f t="shared" si="24"/>
        <v>15.849157210000001</v>
      </c>
      <c r="X28" s="371">
        <f t="shared" si="17"/>
        <v>72.383013002060622</v>
      </c>
      <c r="Y28" s="372">
        <f t="shared" si="18"/>
        <v>-79.406981939988199</v>
      </c>
      <c r="AA28" s="371">
        <f t="shared" si="19"/>
        <v>66.491210968881049</v>
      </c>
      <c r="AB28" s="372">
        <f t="shared" si="20"/>
        <v>-1.7086881181146012</v>
      </c>
      <c r="AD28">
        <f t="shared" si="25"/>
        <v>0</v>
      </c>
      <c r="AE28">
        <f t="shared" si="21"/>
        <v>0</v>
      </c>
    </row>
    <row r="29" spans="1:31" x14ac:dyDescent="0.3">
      <c r="A29" s="373">
        <v>4.3651999999999997</v>
      </c>
      <c r="B29" s="390">
        <f t="shared" si="22"/>
        <v>4.3651999999999996E-3</v>
      </c>
      <c r="C29" s="363">
        <f t="shared" si="0"/>
        <v>1.0005246581257292</v>
      </c>
      <c r="D29" s="364">
        <f t="shared" si="1"/>
        <v>3.238607231276782E-2</v>
      </c>
      <c r="E29" s="364">
        <f t="shared" si="2"/>
        <v>1.0000000005416272</v>
      </c>
      <c r="F29" s="365">
        <f t="shared" si="3"/>
        <v>3.2912832553987671E-5</v>
      </c>
      <c r="G29" s="364">
        <f t="shared" si="4"/>
        <v>1.0000000523423056</v>
      </c>
      <c r="H29" s="365">
        <f t="shared" si="5"/>
        <v>-3.2355000613633382E-4</v>
      </c>
      <c r="I29" s="363">
        <f t="shared" si="6"/>
        <v>6.6802517026171016</v>
      </c>
      <c r="J29" s="366">
        <f t="shared" si="7"/>
        <v>1.4205365792479403</v>
      </c>
      <c r="K29" s="374">
        <f t="shared" si="8"/>
        <v>1.000251154066921</v>
      </c>
      <c r="L29" s="375">
        <f t="shared" si="9"/>
        <v>2.2409886785962001E-2</v>
      </c>
      <c r="M29" s="363">
        <f t="shared" si="10"/>
        <v>1.0000000024224467</v>
      </c>
      <c r="N29" s="366">
        <f t="shared" si="11"/>
        <v>6.9605270414948797E-5</v>
      </c>
      <c r="O29" s="367">
        <f t="shared" si="12"/>
        <v>1.0000000000065656</v>
      </c>
      <c r="P29" s="368">
        <f t="shared" si="13"/>
        <v>2.0894374658370605E-5</v>
      </c>
      <c r="Q29" s="369">
        <f t="shared" si="14"/>
        <v>66.052244069368498</v>
      </c>
      <c r="R29" s="370">
        <f t="shared" si="15"/>
        <v>-81.984181585990257</v>
      </c>
      <c r="S29" s="392">
        <f t="shared" si="16"/>
        <v>98.015818414009743</v>
      </c>
      <c r="U29" s="345">
        <f t="shared" si="23"/>
        <v>1000000000</v>
      </c>
      <c r="V29" s="345">
        <f t="shared" si="24"/>
        <v>19.054971039999998</v>
      </c>
      <c r="X29" s="371">
        <f t="shared" si="17"/>
        <v>71.602999006016205</v>
      </c>
      <c r="Y29" s="372">
        <f t="shared" si="18"/>
        <v>-80.110746882423086</v>
      </c>
      <c r="AA29" s="371">
        <f t="shared" si="19"/>
        <v>66.490444889911529</v>
      </c>
      <c r="AB29" s="372">
        <f t="shared" si="20"/>
        <v>-1.8734347035671652</v>
      </c>
      <c r="AD29">
        <f t="shared" si="25"/>
        <v>0</v>
      </c>
      <c r="AE29">
        <f t="shared" si="21"/>
        <v>0</v>
      </c>
    </row>
    <row r="30" spans="1:31" x14ac:dyDescent="0.3">
      <c r="A30" s="373">
        <v>4.7862999999999998</v>
      </c>
      <c r="B30" s="390">
        <f t="shared" si="22"/>
        <v>4.7862999999999994E-3</v>
      </c>
      <c r="C30" s="363">
        <f t="shared" si="0"/>
        <v>1.0006307320733232</v>
      </c>
      <c r="D30" s="364">
        <f t="shared" si="1"/>
        <v>3.5507766264112929E-2</v>
      </c>
      <c r="E30" s="364">
        <f t="shared" si="2"/>
        <v>1.0000000006511665</v>
      </c>
      <c r="F30" s="365">
        <f t="shared" si="3"/>
        <v>3.6087851746001869E-5</v>
      </c>
      <c r="G30" s="364">
        <f t="shared" si="4"/>
        <v>1.0000000629280661</v>
      </c>
      <c r="H30" s="365">
        <f t="shared" si="5"/>
        <v>-3.54762068963975E-4</v>
      </c>
      <c r="I30" s="363">
        <f t="shared" si="6"/>
        <v>7.3108605022634707</v>
      </c>
      <c r="J30" s="366">
        <f t="shared" si="7"/>
        <v>1.433583367354536</v>
      </c>
      <c r="K30" s="374">
        <f t="shared" si="8"/>
        <v>1.0003019400536903</v>
      </c>
      <c r="L30" s="375">
        <f t="shared" si="9"/>
        <v>2.4570881144015969E-2</v>
      </c>
      <c r="M30" s="363">
        <f t="shared" si="10"/>
        <v>1.0000000029123648</v>
      </c>
      <c r="N30" s="366">
        <f t="shared" si="11"/>
        <v>7.6319917914014938E-5</v>
      </c>
      <c r="O30" s="367">
        <f t="shared" si="12"/>
        <v>1.0000000000078932</v>
      </c>
      <c r="P30" s="368">
        <f t="shared" si="13"/>
        <v>2.291000307630763E-5</v>
      </c>
      <c r="Q30" s="369">
        <f t="shared" si="14"/>
        <v>65.268250925664319</v>
      </c>
      <c r="R30" s="370">
        <f t="shared" si="15"/>
        <v>-82.788858125929039</v>
      </c>
      <c r="S30" s="392">
        <f t="shared" si="16"/>
        <v>97.211141874070961</v>
      </c>
      <c r="U30" s="345">
        <f t="shared" si="23"/>
        <v>1000000000</v>
      </c>
      <c r="V30" s="345">
        <f t="shared" si="24"/>
        <v>22.908667689999998</v>
      </c>
      <c r="X30" s="371">
        <f t="shared" si="17"/>
        <v>70.819926584078402</v>
      </c>
      <c r="Y30" s="372">
        <f t="shared" si="18"/>
        <v>-80.734841642540161</v>
      </c>
      <c r="AA30" s="371">
        <f t="shared" si="19"/>
        <v>66.489524168145167</v>
      </c>
      <c r="AB30" s="372">
        <f t="shared" si="20"/>
        <v>-2.0540164833888626</v>
      </c>
      <c r="AD30">
        <f t="shared" si="25"/>
        <v>0</v>
      </c>
      <c r="AE30">
        <f t="shared" si="21"/>
        <v>0</v>
      </c>
    </row>
    <row r="31" spans="1:31" x14ac:dyDescent="0.3">
      <c r="A31" s="373">
        <v>5.2481</v>
      </c>
      <c r="B31" s="390">
        <f t="shared" si="22"/>
        <v>5.2481000000000003E-3</v>
      </c>
      <c r="C31" s="363">
        <f t="shared" si="0"/>
        <v>1.0007582660344871</v>
      </c>
      <c r="D31" s="364">
        <f t="shared" si="1"/>
        <v>3.8930379007379015E-2</v>
      </c>
      <c r="E31" s="364">
        <f t="shared" si="2"/>
        <v>1.0000000007828822</v>
      </c>
      <c r="F31" s="365">
        <f t="shared" si="3"/>
        <v>3.9569741706863706E-5</v>
      </c>
      <c r="G31" s="364">
        <f t="shared" si="4"/>
        <v>1.0000000756569367</v>
      </c>
      <c r="H31" s="365">
        <f t="shared" si="5"/>
        <v>-3.8899082763941591E-4</v>
      </c>
      <c r="I31" s="363">
        <f t="shared" si="6"/>
        <v>8.0036128588777284</v>
      </c>
      <c r="J31" s="366">
        <f t="shared" si="7"/>
        <v>1.445525366918772</v>
      </c>
      <c r="K31" s="374">
        <f t="shared" si="8"/>
        <v>1.000363004359873</v>
      </c>
      <c r="L31" s="375">
        <f t="shared" si="9"/>
        <v>2.6940474522166517E-2</v>
      </c>
      <c r="M31" s="363">
        <f t="shared" si="10"/>
        <v>1.000000003501468</v>
      </c>
      <c r="N31" s="366">
        <f t="shared" si="11"/>
        <v>8.3683547008594892E-5</v>
      </c>
      <c r="O31" s="367">
        <f t="shared" si="12"/>
        <v>1.00000000000949</v>
      </c>
      <c r="P31" s="368">
        <f t="shared" si="13"/>
        <v>2.5120445259742525E-5</v>
      </c>
      <c r="Q31" s="369">
        <f t="shared" si="14"/>
        <v>64.481322755760033</v>
      </c>
      <c r="R31" s="370">
        <f t="shared" si="15"/>
        <v>-83.535728085814469</v>
      </c>
      <c r="S31" s="392">
        <f t="shared" si="16"/>
        <v>96.464271914185531</v>
      </c>
      <c r="U31" s="345">
        <f t="shared" si="23"/>
        <v>1000000000</v>
      </c>
      <c r="V31" s="345">
        <f t="shared" si="24"/>
        <v>27.542553609999999</v>
      </c>
      <c r="X31" s="371">
        <f t="shared" si="17"/>
        <v>70.034105279601079</v>
      </c>
      <c r="Y31" s="372">
        <f t="shared" si="18"/>
        <v>-81.283722022283996</v>
      </c>
      <c r="AA31" s="371">
        <f t="shared" si="19"/>
        <v>66.488417302718219</v>
      </c>
      <c r="AB31" s="372">
        <f t="shared" si="20"/>
        <v>-2.2520060635304948</v>
      </c>
      <c r="AD31">
        <f t="shared" si="25"/>
        <v>0</v>
      </c>
      <c r="AE31">
        <f t="shared" si="21"/>
        <v>0</v>
      </c>
    </row>
    <row r="32" spans="1:31" x14ac:dyDescent="0.3">
      <c r="A32" s="373">
        <v>5.7544000000000004</v>
      </c>
      <c r="B32" s="390">
        <f t="shared" si="22"/>
        <v>5.7544000000000007E-3</v>
      </c>
      <c r="C32" s="363">
        <f t="shared" si="0"/>
        <v>1.0009115578196319</v>
      </c>
      <c r="D32" s="364">
        <f t="shared" si="1"/>
        <v>4.2681750427686641E-2</v>
      </c>
      <c r="E32" s="364">
        <f t="shared" si="2"/>
        <v>1.0000000009412224</v>
      </c>
      <c r="F32" s="365">
        <f t="shared" si="3"/>
        <v>4.338715376115936E-5</v>
      </c>
      <c r="G32" s="364">
        <f t="shared" si="4"/>
        <v>1.000000090958783</v>
      </c>
      <c r="H32" s="365">
        <f t="shared" si="5"/>
        <v>-4.2651793901292499E-4</v>
      </c>
      <c r="I32" s="363">
        <f t="shared" si="6"/>
        <v>8.7642144889270295</v>
      </c>
      <c r="J32" s="366">
        <f t="shared" si="7"/>
        <v>1.4564469315630837</v>
      </c>
      <c r="K32" s="374">
        <f t="shared" si="8"/>
        <v>1.0004364070886502</v>
      </c>
      <c r="L32" s="375">
        <f t="shared" si="9"/>
        <v>2.9538058109564353E-2</v>
      </c>
      <c r="M32" s="363">
        <f t="shared" si="10"/>
        <v>1.0000000042096506</v>
      </c>
      <c r="N32" s="366">
        <f t="shared" si="11"/>
        <v>9.1756750572380283E-5</v>
      </c>
      <c r="O32" s="367">
        <f t="shared" si="12"/>
        <v>1.0000000000114093</v>
      </c>
      <c r="P32" s="368">
        <f t="shared" si="13"/>
        <v>2.7543890208925096E-5</v>
      </c>
      <c r="Q32" s="369">
        <f t="shared" si="14"/>
        <v>63.692091345962709</v>
      </c>
      <c r="R32" s="370">
        <f t="shared" si="15"/>
        <v>-84.230127656844047</v>
      </c>
      <c r="S32" s="392">
        <f t="shared" si="16"/>
        <v>95.769872343155953</v>
      </c>
      <c r="U32" s="345">
        <f t="shared" si="23"/>
        <v>1000000000</v>
      </c>
      <c r="V32" s="345">
        <f t="shared" si="24"/>
        <v>33.113119360000006</v>
      </c>
      <c r="X32" s="371">
        <f t="shared" si="17"/>
        <v>69.246204100328313</v>
      </c>
      <c r="Y32" s="372">
        <f t="shared" si="18"/>
        <v>-81.76111356662885</v>
      </c>
      <c r="AA32" s="371">
        <f t="shared" si="19"/>
        <v>66.487087072193646</v>
      </c>
      <c r="AB32" s="372">
        <f t="shared" si="20"/>
        <v>-2.4690140902152033</v>
      </c>
      <c r="AD32">
        <f t="shared" si="25"/>
        <v>0</v>
      </c>
      <c r="AE32">
        <f t="shared" si="21"/>
        <v>0</v>
      </c>
    </row>
    <row r="33" spans="1:31" x14ac:dyDescent="0.3">
      <c r="A33" s="373">
        <v>6.3095999999999997</v>
      </c>
      <c r="B33" s="390">
        <f t="shared" si="22"/>
        <v>6.3095999999999994E-3</v>
      </c>
      <c r="C33" s="363">
        <f t="shared" si="0"/>
        <v>1.0010958416059985</v>
      </c>
      <c r="D33" s="364">
        <f t="shared" si="1"/>
        <v>4.6794055538726051E-2</v>
      </c>
      <c r="E33" s="364">
        <f t="shared" si="2"/>
        <v>1.0000000011316077</v>
      </c>
      <c r="F33" s="365">
        <f t="shared" si="3"/>
        <v>4.757326312676649E-5</v>
      </c>
      <c r="G33" s="364">
        <f t="shared" si="4"/>
        <v>1.0000001093574056</v>
      </c>
      <c r="H33" s="365">
        <f t="shared" si="5"/>
        <v>-4.6766953200800984E-4</v>
      </c>
      <c r="I33" s="363">
        <f t="shared" si="6"/>
        <v>9.5992793570654538</v>
      </c>
      <c r="J33" s="366">
        <f t="shared" si="7"/>
        <v>1.4664324913649114</v>
      </c>
      <c r="K33" s="374">
        <f t="shared" si="8"/>
        <v>1.0005246578781819</v>
      </c>
      <c r="L33" s="375">
        <f t="shared" si="9"/>
        <v>3.2386064675812128E-2</v>
      </c>
      <c r="M33" s="363">
        <f t="shared" si="10"/>
        <v>1.0000000050611546</v>
      </c>
      <c r="N33" s="366">
        <f t="shared" si="11"/>
        <v>1.0060968877430128E-4</v>
      </c>
      <c r="O33" s="367">
        <f t="shared" si="12"/>
        <v>1.0000000000137172</v>
      </c>
      <c r="P33" s="368">
        <f t="shared" si="13"/>
        <v>3.0201398871520517E-5</v>
      </c>
      <c r="Q33" s="369">
        <f t="shared" si="14"/>
        <v>62.900745944360175</v>
      </c>
      <c r="R33" s="370">
        <f t="shared" si="15"/>
        <v>-84.877474527190344</v>
      </c>
      <c r="S33" s="392">
        <f t="shared" si="16"/>
        <v>95.122525472809656</v>
      </c>
      <c r="U33" s="345">
        <f t="shared" si="23"/>
        <v>1000000000</v>
      </c>
      <c r="V33" s="345">
        <f t="shared" si="24"/>
        <v>39.811052159999996</v>
      </c>
      <c r="X33" s="371">
        <f t="shared" si="17"/>
        <v>68.456457600939018</v>
      </c>
      <c r="Y33" s="372">
        <f t="shared" si="18"/>
        <v>-82.170572479540667</v>
      </c>
      <c r="AA33" s="371">
        <f t="shared" si="19"/>
        <v>66.4854881699804</v>
      </c>
      <c r="AB33" s="372">
        <f t="shared" si="20"/>
        <v>-2.7069020476496806</v>
      </c>
      <c r="AD33">
        <f t="shared" si="25"/>
        <v>0</v>
      </c>
      <c r="AE33">
        <f t="shared" si="21"/>
        <v>0</v>
      </c>
    </row>
    <row r="34" spans="1:31" x14ac:dyDescent="0.3">
      <c r="A34" s="373">
        <v>6.9183000000000003</v>
      </c>
      <c r="B34" s="390">
        <f t="shared" si="22"/>
        <v>6.9183000000000005E-3</v>
      </c>
      <c r="C34" s="363">
        <f t="shared" si="0"/>
        <v>1.0013173307937571</v>
      </c>
      <c r="D34" s="364">
        <f t="shared" si="1"/>
        <v>5.1300804746955343E-2</v>
      </c>
      <c r="E34" s="364">
        <f t="shared" si="2"/>
        <v>1.0000000013604764</v>
      </c>
      <c r="F34" s="365">
        <f t="shared" si="3"/>
        <v>5.2162752985877209E-5</v>
      </c>
      <c r="G34" s="364">
        <f t="shared" si="4"/>
        <v>1.0000001314750422</v>
      </c>
      <c r="H34" s="365">
        <f t="shared" si="5"/>
        <v>-5.1278655946234298E-4</v>
      </c>
      <c r="I34" s="363">
        <f t="shared" si="6"/>
        <v>10.515729246022737</v>
      </c>
      <c r="J34" s="366">
        <f t="shared" si="7"/>
        <v>1.4755567727891263</v>
      </c>
      <c r="K34" s="374">
        <f t="shared" si="8"/>
        <v>1.0006307369820979</v>
      </c>
      <c r="L34" s="375">
        <f t="shared" si="9"/>
        <v>3.5507904363737117E-2</v>
      </c>
      <c r="M34" s="363">
        <f t="shared" si="10"/>
        <v>1.000000006084778</v>
      </c>
      <c r="N34" s="366">
        <f t="shared" si="11"/>
        <v>1.1031571088060329E-4</v>
      </c>
      <c r="O34" s="367">
        <f t="shared" si="12"/>
        <v>1.0000000000164917</v>
      </c>
      <c r="P34" s="368">
        <f t="shared" si="13"/>
        <v>3.3114989511012565E-5</v>
      </c>
      <c r="Q34" s="369">
        <f t="shared" si="14"/>
        <v>62.107730178232913</v>
      </c>
      <c r="R34" s="370">
        <f t="shared" si="15"/>
        <v>-85.4826519225076</v>
      </c>
      <c r="S34" s="392">
        <f t="shared" si="16"/>
        <v>94.5173480774924</v>
      </c>
      <c r="U34" s="345">
        <f t="shared" si="23"/>
        <v>1000000000</v>
      </c>
      <c r="V34" s="345">
        <f t="shared" si="24"/>
        <v>47.862874890000008</v>
      </c>
      <c r="X34" s="371">
        <f t="shared" si="17"/>
        <v>67.665363152915262</v>
      </c>
      <c r="Y34" s="372">
        <f t="shared" si="18"/>
        <v>-82.515043172299414</v>
      </c>
      <c r="AA34" s="371">
        <f t="shared" si="19"/>
        <v>66.483566851876901</v>
      </c>
      <c r="AB34" s="372">
        <f t="shared" si="20"/>
        <v>-2.9676087502081812</v>
      </c>
      <c r="AD34">
        <f t="shared" si="25"/>
        <v>0</v>
      </c>
      <c r="AE34">
        <f t="shared" si="21"/>
        <v>0</v>
      </c>
    </row>
    <row r="35" spans="1:31" x14ac:dyDescent="0.3">
      <c r="A35" s="373">
        <v>7.5857999999999999</v>
      </c>
      <c r="B35" s="390">
        <f t="shared" si="22"/>
        <v>7.5858000000000002E-3</v>
      </c>
      <c r="C35" s="363">
        <f t="shared" si="0"/>
        <v>1.0015835838549723</v>
      </c>
      <c r="D35" s="364">
        <f t="shared" si="1"/>
        <v>5.6240499527243921E-2</v>
      </c>
      <c r="E35" s="364">
        <f t="shared" si="2"/>
        <v>1.0000000016356674</v>
      </c>
      <c r="F35" s="365">
        <f t="shared" si="3"/>
        <v>5.7195584396119364E-5</v>
      </c>
      <c r="G35" s="364">
        <f t="shared" si="4"/>
        <v>1.0000001580692195</v>
      </c>
      <c r="H35" s="365">
        <f t="shared" si="5"/>
        <v>-5.6226185823160643E-4</v>
      </c>
      <c r="I35" s="363">
        <f t="shared" si="6"/>
        <v>11.521546076859266</v>
      </c>
      <c r="J35" s="366">
        <f t="shared" si="7"/>
        <v>1.4838930762196803</v>
      </c>
      <c r="K35" s="374">
        <f t="shared" si="8"/>
        <v>1.0007582712803336</v>
      </c>
      <c r="L35" s="375">
        <f t="shared" si="9"/>
        <v>3.8930513586446412E-2</v>
      </c>
      <c r="M35" s="363">
        <f t="shared" si="10"/>
        <v>1.0000000073155795</v>
      </c>
      <c r="N35" s="366">
        <f t="shared" si="11"/>
        <v>1.2095932800130528E-4</v>
      </c>
      <c r="O35" s="367">
        <f t="shared" si="12"/>
        <v>1.0000000000198273</v>
      </c>
      <c r="P35" s="368">
        <f t="shared" si="13"/>
        <v>3.6310030996211216E-5</v>
      </c>
      <c r="Q35" s="369">
        <f t="shared" si="14"/>
        <v>61.313100777246198</v>
      </c>
      <c r="R35" s="370">
        <f t="shared" si="15"/>
        <v>-86.05054878862029</v>
      </c>
      <c r="S35" s="392">
        <f t="shared" si="16"/>
        <v>93.94945121137971</v>
      </c>
      <c r="U35" s="345">
        <f t="shared" si="23"/>
        <v>1000000000</v>
      </c>
      <c r="V35" s="345">
        <f t="shared" si="24"/>
        <v>57.544361639999998</v>
      </c>
      <c r="X35" s="371">
        <f t="shared" si="17"/>
        <v>66.873042813758204</v>
      </c>
      <c r="Y35" s="372">
        <f t="shared" si="18"/>
        <v>-82.797186946888971</v>
      </c>
      <c r="AA35" s="371">
        <f t="shared" si="19"/>
        <v>66.481257790047238</v>
      </c>
      <c r="AB35" s="372">
        <f t="shared" si="20"/>
        <v>-3.2533618417313304</v>
      </c>
      <c r="AD35">
        <f t="shared" si="25"/>
        <v>0</v>
      </c>
      <c r="AE35">
        <f t="shared" si="21"/>
        <v>0</v>
      </c>
    </row>
    <row r="36" spans="1:31" x14ac:dyDescent="0.3">
      <c r="A36" s="373">
        <v>8.3176000000000005</v>
      </c>
      <c r="B36" s="390">
        <f t="shared" si="22"/>
        <v>8.3176000000000014E-3</v>
      </c>
      <c r="C36" s="363">
        <f t="shared" si="0"/>
        <v>1.0019035528139515</v>
      </c>
      <c r="D36" s="364">
        <f t="shared" si="1"/>
        <v>6.1652868811294802E-2</v>
      </c>
      <c r="E36" s="364">
        <f t="shared" si="2"/>
        <v>1.0000000019664743</v>
      </c>
      <c r="F36" s="365">
        <f t="shared" si="3"/>
        <v>6.2713226379320028E-5</v>
      </c>
      <c r="G36" s="364">
        <f t="shared" si="4"/>
        <v>1.0000001900380595</v>
      </c>
      <c r="H36" s="365">
        <f t="shared" si="5"/>
        <v>-6.1650308897616998E-4</v>
      </c>
      <c r="I36" s="363">
        <f t="shared" si="6"/>
        <v>12.625019212766217</v>
      </c>
      <c r="J36" s="366">
        <f t="shared" si="7"/>
        <v>1.4915054685196043</v>
      </c>
      <c r="K36" s="374">
        <f t="shared" si="8"/>
        <v>1.0009115586584139</v>
      </c>
      <c r="L36" s="375">
        <f t="shared" si="9"/>
        <v>4.268177004986113E-2</v>
      </c>
      <c r="M36" s="363">
        <f t="shared" si="10"/>
        <v>1.0000000087951251</v>
      </c>
      <c r="N36" s="366">
        <f t="shared" si="11"/>
        <v>1.3262824034265141E-4</v>
      </c>
      <c r="O36" s="367">
        <f t="shared" si="12"/>
        <v>1.0000000000238374</v>
      </c>
      <c r="P36" s="368">
        <f t="shared" si="13"/>
        <v>3.9812849511758415E-5</v>
      </c>
      <c r="Q36" s="369">
        <f t="shared" si="14"/>
        <v>60.517231259592833</v>
      </c>
      <c r="R36" s="370">
        <f t="shared" si="15"/>
        <v>-86.585542426077438</v>
      </c>
      <c r="S36" s="392">
        <f t="shared" si="16"/>
        <v>93.414457573922562</v>
      </c>
      <c r="U36" s="345">
        <f t="shared" si="23"/>
        <v>1000000000</v>
      </c>
      <c r="V36" s="345">
        <f t="shared" si="24"/>
        <v>69.182469760000004</v>
      </c>
      <c r="X36" s="371">
        <f t="shared" si="17"/>
        <v>66.079947393360243</v>
      </c>
      <c r="Y36" s="372">
        <f t="shared" si="18"/>
        <v>-83.019082314129875</v>
      </c>
      <c r="AA36" s="371">
        <f t="shared" si="19"/>
        <v>66.478483692791826</v>
      </c>
      <c r="AB36" s="372">
        <f t="shared" si="20"/>
        <v>-3.5664601119475536</v>
      </c>
      <c r="AD36">
        <f t="shared" si="25"/>
        <v>0</v>
      </c>
      <c r="AE36">
        <f t="shared" si="21"/>
        <v>0</v>
      </c>
    </row>
    <row r="37" spans="1:31" x14ac:dyDescent="0.3">
      <c r="A37" s="373">
        <v>9.1201000000000008</v>
      </c>
      <c r="B37" s="390">
        <f t="shared" si="22"/>
        <v>9.1201000000000008E-3</v>
      </c>
      <c r="C37" s="363">
        <f t="shared" si="0"/>
        <v>1.0022881507966841</v>
      </c>
      <c r="D37" s="364">
        <f t="shared" si="1"/>
        <v>6.7583966595830949E-2</v>
      </c>
      <c r="E37" s="364">
        <f t="shared" si="2"/>
        <v>1.0000000023642392</v>
      </c>
      <c r="F37" s="365">
        <f t="shared" si="3"/>
        <v>6.8763933797053075E-5</v>
      </c>
      <c r="G37" s="364">
        <f t="shared" si="4"/>
        <v>1.0000002284776468</v>
      </c>
      <c r="H37" s="365">
        <f t="shared" si="5"/>
        <v>-6.7598462028534861E-4</v>
      </c>
      <c r="I37" s="363">
        <f t="shared" si="6"/>
        <v>13.835800472048206</v>
      </c>
      <c r="J37" s="366">
        <f t="shared" si="7"/>
        <v>1.4984569852313998</v>
      </c>
      <c r="K37" s="374">
        <f t="shared" si="8"/>
        <v>1.0010958415490834</v>
      </c>
      <c r="L37" s="375">
        <f t="shared" si="9"/>
        <v>4.6794054324652321E-2</v>
      </c>
      <c r="M37" s="363">
        <f t="shared" si="10"/>
        <v>1.0000000105741425</v>
      </c>
      <c r="N37" s="366">
        <f t="shared" si="11"/>
        <v>1.4542449905194236E-4</v>
      </c>
      <c r="O37" s="367">
        <f t="shared" si="12"/>
        <v>1.0000000000286591</v>
      </c>
      <c r="P37" s="368">
        <f t="shared" si="13"/>
        <v>4.3654079163441338E-5</v>
      </c>
      <c r="Q37" s="369">
        <f t="shared" si="14"/>
        <v>59.720052195012286</v>
      </c>
      <c r="R37" s="370">
        <f t="shared" si="15"/>
        <v>-87.092059951856186</v>
      </c>
      <c r="S37" s="392">
        <f t="shared" si="16"/>
        <v>92.907940048143814</v>
      </c>
      <c r="U37" s="345">
        <f t="shared" si="23"/>
        <v>1000000000</v>
      </c>
      <c r="V37" s="345">
        <f t="shared" si="24"/>
        <v>83.176224010000013</v>
      </c>
      <c r="X37" s="371">
        <f t="shared" si="17"/>
        <v>65.286101580450293</v>
      </c>
      <c r="Y37" s="372">
        <f t="shared" si="18"/>
        <v>-83.182491521631192</v>
      </c>
      <c r="AA37" s="371">
        <f t="shared" si="19"/>
        <v>66.475150441121244</v>
      </c>
      <c r="AB37" s="372">
        <f t="shared" si="20"/>
        <v>-3.9095684302249953</v>
      </c>
      <c r="AD37">
        <f t="shared" si="25"/>
        <v>0</v>
      </c>
      <c r="AE37">
        <f t="shared" si="21"/>
        <v>0</v>
      </c>
    </row>
    <row r="38" spans="1:31" x14ac:dyDescent="0.3">
      <c r="A38" s="373">
        <v>10</v>
      </c>
      <c r="B38" s="390">
        <f t="shared" si="22"/>
        <v>0.01</v>
      </c>
      <c r="C38" s="363">
        <f t="shared" si="0"/>
        <v>1.0027503325370954</v>
      </c>
      <c r="D38" s="364">
        <f t="shared" si="1"/>
        <v>7.4081626446248425E-2</v>
      </c>
      <c r="E38" s="364">
        <f t="shared" si="2"/>
        <v>1.0000000028424461</v>
      </c>
      <c r="F38" s="365">
        <f t="shared" si="3"/>
        <v>7.5398223457123084E-5</v>
      </c>
      <c r="G38" s="364">
        <f t="shared" si="4"/>
        <v>1.0000002746910484</v>
      </c>
      <c r="H38" s="365">
        <f t="shared" si="5"/>
        <v>-7.4120305639081461E-4</v>
      </c>
      <c r="I38" s="363">
        <f t="shared" si="6"/>
        <v>15.163999667855505</v>
      </c>
      <c r="J38" s="366">
        <f t="shared" si="7"/>
        <v>1.5048027730434215</v>
      </c>
      <c r="K38" s="374">
        <f t="shared" si="8"/>
        <v>1.001317347924926</v>
      </c>
      <c r="L38" s="375">
        <f t="shared" si="9"/>
        <v>5.1301137949606383E-2</v>
      </c>
      <c r="M38" s="363">
        <f t="shared" si="10"/>
        <v>1.0000000127129389</v>
      </c>
      <c r="N38" s="366">
        <f t="shared" si="11"/>
        <v>1.5945493892017274E-4</v>
      </c>
      <c r="O38" s="367">
        <f t="shared" si="12"/>
        <v>1.000000000034456</v>
      </c>
      <c r="P38" s="368">
        <f t="shared" si="13"/>
        <v>4.7865790030803083E-5</v>
      </c>
      <c r="Q38" s="369">
        <f t="shared" si="14"/>
        <v>58.921780354060331</v>
      </c>
      <c r="R38" s="370">
        <f t="shared" si="15"/>
        <v>-87.574100250823633</v>
      </c>
      <c r="S38" s="392">
        <f t="shared" si="16"/>
        <v>92.425899749176367</v>
      </c>
      <c r="U38" s="345">
        <f t="shared" si="23"/>
        <v>1000000000</v>
      </c>
      <c r="V38" s="345">
        <f t="shared" si="24"/>
        <v>100</v>
      </c>
      <c r="X38" s="371">
        <f t="shared" si="17"/>
        <v>64.491833705671695</v>
      </c>
      <c r="Y38" s="372">
        <f t="shared" si="18"/>
        <v>-83.288645396433651</v>
      </c>
      <c r="AA38" s="371">
        <f t="shared" si="19"/>
        <v>66.471146474947886</v>
      </c>
      <c r="AB38" s="372">
        <f t="shared" si="20"/>
        <v>-4.2854548543899611</v>
      </c>
      <c r="AD38">
        <f t="shared" si="25"/>
        <v>0</v>
      </c>
      <c r="AE38">
        <f t="shared" si="21"/>
        <v>0</v>
      </c>
    </row>
    <row r="39" spans="1:31" x14ac:dyDescent="0.3">
      <c r="A39" s="373">
        <v>10.965</v>
      </c>
      <c r="B39" s="390">
        <f t="shared" si="22"/>
        <v>1.0964999999999999E-2</v>
      </c>
      <c r="C39" s="363">
        <f t="shared" si="0"/>
        <v>1.0033058415494969</v>
      </c>
      <c r="D39" s="364">
        <f t="shared" si="1"/>
        <v>8.1200492732124097E-2</v>
      </c>
      <c r="E39" s="364">
        <f t="shared" si="2"/>
        <v>1.0000000034175076</v>
      </c>
      <c r="F39" s="365">
        <f t="shared" si="3"/>
        <v>8.2674151989040292E-5</v>
      </c>
      <c r="G39" s="364">
        <f t="shared" si="4"/>
        <v>1.0000003302644032</v>
      </c>
      <c r="H39" s="365">
        <f t="shared" si="5"/>
        <v>-8.1272912122181177E-4</v>
      </c>
      <c r="I39" s="363">
        <f t="shared" si="6"/>
        <v>16.621240794509003</v>
      </c>
      <c r="J39" s="366">
        <f t="shared" si="7"/>
        <v>1.5105959914982874</v>
      </c>
      <c r="K39" s="374">
        <f t="shared" si="8"/>
        <v>1.0015836528192037</v>
      </c>
      <c r="L39" s="375">
        <f t="shared" si="9"/>
        <v>5.6241722521896922E-2</v>
      </c>
      <c r="M39" s="363">
        <f t="shared" si="10"/>
        <v>1.0000000152849222</v>
      </c>
      <c r="N39" s="366">
        <f t="shared" si="11"/>
        <v>1.7484234022617504E-4</v>
      </c>
      <c r="O39" s="367">
        <f t="shared" si="12"/>
        <v>1.0000000000414266</v>
      </c>
      <c r="P39" s="368">
        <f t="shared" si="13"/>
        <v>5.2484838772464395E-5</v>
      </c>
      <c r="Q39" s="369">
        <f t="shared" si="14"/>
        <v>58.122286540735779</v>
      </c>
      <c r="R39" s="370">
        <f t="shared" si="15"/>
        <v>-88.035661114184947</v>
      </c>
      <c r="S39" s="392">
        <f t="shared" si="16"/>
        <v>91.964338885815053</v>
      </c>
      <c r="U39" s="345">
        <f t="shared" si="23"/>
        <v>1000000000</v>
      </c>
      <c r="V39" s="345">
        <f t="shared" si="24"/>
        <v>120.23122499999999</v>
      </c>
      <c r="X39" s="371">
        <f t="shared" si="17"/>
        <v>63.697149928123267</v>
      </c>
      <c r="Y39" s="372">
        <f t="shared" si="18"/>
        <v>-83.338379352584411</v>
      </c>
      <c r="AA39" s="371">
        <f t="shared" si="19"/>
        <v>66.466336439171755</v>
      </c>
      <c r="AB39" s="372">
        <f t="shared" si="20"/>
        <v>-4.6972817616005296</v>
      </c>
      <c r="AD39">
        <f t="shared" si="25"/>
        <v>0</v>
      </c>
      <c r="AE39">
        <f t="shared" si="21"/>
        <v>0</v>
      </c>
    </row>
    <row r="40" spans="1:31" x14ac:dyDescent="0.3">
      <c r="A40" s="373">
        <v>12.023</v>
      </c>
      <c r="B40" s="390">
        <f t="shared" si="22"/>
        <v>1.2022999999999999E-2</v>
      </c>
      <c r="C40" s="363">
        <f t="shared" si="0"/>
        <v>1.003973249098564</v>
      </c>
      <c r="D40" s="364">
        <f t="shared" si="1"/>
        <v>8.8995932026126642E-2</v>
      </c>
      <c r="E40" s="364">
        <f t="shared" si="2"/>
        <v>1.0000000041088275</v>
      </c>
      <c r="F40" s="365">
        <f t="shared" si="3"/>
        <v>9.0651283985966331E-5</v>
      </c>
      <c r="G40" s="364">
        <f t="shared" si="4"/>
        <v>1.0000003970728328</v>
      </c>
      <c r="H40" s="365">
        <f t="shared" si="5"/>
        <v>-8.9114836199180689E-4</v>
      </c>
      <c r="I40" s="363">
        <f t="shared" si="6"/>
        <v>18.219454263885666</v>
      </c>
      <c r="J40" s="366">
        <f t="shared" si="7"/>
        <v>1.5158823456585289</v>
      </c>
      <c r="K40" s="374">
        <f t="shared" si="8"/>
        <v>1.0019037019868915</v>
      </c>
      <c r="L40" s="375">
        <f t="shared" si="9"/>
        <v>6.1655280668229666E-2</v>
      </c>
      <c r="M40" s="363">
        <f t="shared" si="10"/>
        <v>1.0000000183768747</v>
      </c>
      <c r="N40" s="366">
        <f t="shared" si="11"/>
        <v>1.9171267233982487E-4</v>
      </c>
      <c r="O40" s="367">
        <f t="shared" si="12"/>
        <v>1.0000000000498068</v>
      </c>
      <c r="P40" s="368">
        <f t="shared" si="13"/>
        <v>5.7549039362941733E-5</v>
      </c>
      <c r="Q40" s="369">
        <f t="shared" si="14"/>
        <v>57.321847707258726</v>
      </c>
      <c r="R40" s="370">
        <f t="shared" si="15"/>
        <v>-88.480311425831786</v>
      </c>
      <c r="S40" s="392">
        <f t="shared" si="16"/>
        <v>91.519688574168214</v>
      </c>
      <c r="U40" s="345">
        <f t="shared" si="23"/>
        <v>1000000000</v>
      </c>
      <c r="V40" s="345">
        <f t="shared" si="24"/>
        <v>144.55252899999999</v>
      </c>
      <c r="X40" s="371">
        <f t="shared" si="17"/>
        <v>62.902486514914848</v>
      </c>
      <c r="Y40" s="372">
        <f t="shared" si="18"/>
        <v>-83.332057699866027</v>
      </c>
      <c r="AA40" s="371">
        <f t="shared" si="19"/>
        <v>66.460561018903121</v>
      </c>
      <c r="AB40" s="372">
        <f t="shared" si="20"/>
        <v>-5.1482537259657688</v>
      </c>
      <c r="AD40">
        <f t="shared" si="25"/>
        <v>0</v>
      </c>
      <c r="AE40">
        <f t="shared" si="21"/>
        <v>0</v>
      </c>
    </row>
    <row r="41" spans="1:31" x14ac:dyDescent="0.3">
      <c r="A41" s="373">
        <v>13.183</v>
      </c>
      <c r="B41" s="390">
        <f t="shared" si="22"/>
        <v>1.3183E-2</v>
      </c>
      <c r="C41" s="363">
        <f t="shared" si="0"/>
        <v>1.0047750165571661</v>
      </c>
      <c r="D41" s="364">
        <f t="shared" si="1"/>
        <v>9.7530436333341228E-2</v>
      </c>
      <c r="E41" s="364">
        <f t="shared" si="2"/>
        <v>1.0000000049399294</v>
      </c>
      <c r="F41" s="365">
        <f t="shared" si="3"/>
        <v>9.9397477844535666E-5</v>
      </c>
      <c r="G41" s="364">
        <f t="shared" si="4"/>
        <v>1.0000004773896145</v>
      </c>
      <c r="H41" s="365">
        <f t="shared" si="5"/>
        <v>-9.7712785719842807E-4</v>
      </c>
      <c r="I41" s="363">
        <f t="shared" si="6"/>
        <v>19.9722357804824</v>
      </c>
      <c r="J41" s="366">
        <f t="shared" si="7"/>
        <v>1.5207058757815599</v>
      </c>
      <c r="K41" s="374">
        <f t="shared" si="8"/>
        <v>1.0022883283443114</v>
      </c>
      <c r="L41" s="375">
        <f t="shared" si="9"/>
        <v>6.7586583622775226E-2</v>
      </c>
      <c r="M41" s="363">
        <f t="shared" si="10"/>
        <v>1.0000000220940057</v>
      </c>
      <c r="N41" s="366">
        <f t="shared" si="11"/>
        <v>2.1020944466380452E-4</v>
      </c>
      <c r="O41" s="367">
        <f t="shared" si="12"/>
        <v>1.0000000000598812</v>
      </c>
      <c r="P41" s="368">
        <f t="shared" si="13"/>
        <v>6.3101471013783875E-5</v>
      </c>
      <c r="Q41" s="369">
        <f t="shared" si="14"/>
        <v>56.520422074350051</v>
      </c>
      <c r="R41" s="370">
        <f t="shared" si="15"/>
        <v>-88.911634855552734</v>
      </c>
      <c r="S41" s="392">
        <f t="shared" si="16"/>
        <v>91.088365144447266</v>
      </c>
      <c r="U41" s="345">
        <f t="shared" si="23"/>
        <v>1000000000</v>
      </c>
      <c r="V41" s="345">
        <f t="shared" si="24"/>
        <v>173.79148899999998</v>
      </c>
      <c r="X41" s="371">
        <f t="shared" si="17"/>
        <v>62.107993912205373</v>
      </c>
      <c r="Y41" s="372">
        <f t="shared" si="18"/>
        <v>-83.269646778878453</v>
      </c>
      <c r="AA41" s="371">
        <f t="shared" si="19"/>
        <v>66.453627988703929</v>
      </c>
      <c r="AB41" s="372">
        <f t="shared" si="20"/>
        <v>-5.641988076674294</v>
      </c>
      <c r="AD41">
        <f t="shared" si="25"/>
        <v>0</v>
      </c>
      <c r="AE41">
        <f t="shared" si="21"/>
        <v>0</v>
      </c>
    </row>
    <row r="42" spans="1:31" x14ac:dyDescent="0.3">
      <c r="A42" s="373">
        <v>14.454000000000001</v>
      </c>
      <c r="B42" s="390">
        <f t="shared" si="22"/>
        <v>1.4454E-2</v>
      </c>
      <c r="C42" s="363">
        <f t="shared" si="0"/>
        <v>1.0057373857495004</v>
      </c>
      <c r="D42" s="364">
        <f t="shared" si="1"/>
        <v>0.10686522403343252</v>
      </c>
      <c r="E42" s="364">
        <f t="shared" si="2"/>
        <v>1.0000000059383847</v>
      </c>
      <c r="F42" s="365">
        <f t="shared" si="3"/>
        <v>1.0898059195999422E-4</v>
      </c>
      <c r="G42" s="364">
        <f t="shared" si="4"/>
        <v>1.000000573879277</v>
      </c>
      <c r="H42" s="365">
        <f t="shared" si="5"/>
        <v>-1.0713346840201777E-3</v>
      </c>
      <c r="I42" s="363">
        <f t="shared" si="6"/>
        <v>21.893184343963686</v>
      </c>
      <c r="J42" s="366">
        <f t="shared" si="7"/>
        <v>1.5251041135418739</v>
      </c>
      <c r="K42" s="374">
        <f t="shared" si="8"/>
        <v>1.0027502094282663</v>
      </c>
      <c r="L42" s="375">
        <f t="shared" si="9"/>
        <v>7.4079972218622267E-2</v>
      </c>
      <c r="M42" s="363">
        <f t="shared" si="10"/>
        <v>1.0000000265596323</v>
      </c>
      <c r="N42" s="366">
        <f t="shared" si="11"/>
        <v>2.3047616658766255E-4</v>
      </c>
      <c r="O42" s="367">
        <f t="shared" si="12"/>
        <v>1.0000000000719846</v>
      </c>
      <c r="P42" s="368">
        <f t="shared" si="13"/>
        <v>6.9185212936701186E-5</v>
      </c>
      <c r="Q42" s="369">
        <f t="shared" si="14"/>
        <v>55.718464333386649</v>
      </c>
      <c r="R42" s="370">
        <f t="shared" si="15"/>
        <v>-89.332793845531924</v>
      </c>
      <c r="S42" s="392">
        <f t="shared" si="16"/>
        <v>90.667206154468076</v>
      </c>
      <c r="U42" s="345">
        <f t="shared" si="23"/>
        <v>1000000000</v>
      </c>
      <c r="V42" s="345">
        <f t="shared" si="24"/>
        <v>208.91811600000003</v>
      </c>
      <c r="X42" s="371">
        <f t="shared" si="17"/>
        <v>61.314350650783425</v>
      </c>
      <c r="Y42" s="372">
        <f t="shared" si="18"/>
        <v>-83.150764676054052</v>
      </c>
      <c r="AA42" s="371">
        <f t="shared" si="19"/>
        <v>66.445313509162474</v>
      </c>
      <c r="AB42" s="372">
        <f t="shared" si="20"/>
        <v>-6.1820291694778717</v>
      </c>
      <c r="AD42">
        <f t="shared" si="25"/>
        <v>0</v>
      </c>
      <c r="AE42">
        <f t="shared" si="21"/>
        <v>0</v>
      </c>
    </row>
    <row r="43" spans="1:31" x14ac:dyDescent="0.3">
      <c r="A43" s="373">
        <v>15.849</v>
      </c>
      <c r="B43" s="390">
        <f t="shared" si="22"/>
        <v>1.5848999999999999E-2</v>
      </c>
      <c r="C43" s="363">
        <f t="shared" si="0"/>
        <v>1.0068943169761935</v>
      </c>
      <c r="D43" s="364">
        <f t="shared" si="1"/>
        <v>0.11708918774687682</v>
      </c>
      <c r="E43" s="364">
        <f t="shared" si="2"/>
        <v>1.0000000071399631</v>
      </c>
      <c r="F43" s="365">
        <f t="shared" si="3"/>
        <v>1.1949864401482941E-4</v>
      </c>
      <c r="G43" s="364">
        <f t="shared" si="4"/>
        <v>1.0000006899985012</v>
      </c>
      <c r="H43" s="365">
        <f t="shared" si="5"/>
        <v>-1.1747323988237919E-3</v>
      </c>
      <c r="I43" s="363">
        <f t="shared" si="6"/>
        <v>24.001948183926423</v>
      </c>
      <c r="J43" s="366">
        <f t="shared" si="7"/>
        <v>1.5291209793008931</v>
      </c>
      <c r="K43" s="374">
        <f t="shared" si="8"/>
        <v>1.003305772328791</v>
      </c>
      <c r="L43" s="375">
        <f t="shared" si="9"/>
        <v>8.1199644938143273E-2</v>
      </c>
      <c r="M43" s="363">
        <f t="shared" si="10"/>
        <v>1.0000000319337328</v>
      </c>
      <c r="N43" s="366">
        <f t="shared" si="11"/>
        <v>2.5272012945626082E-4</v>
      </c>
      <c r="O43" s="367">
        <f t="shared" si="12"/>
        <v>1.0000000000865499</v>
      </c>
      <c r="P43" s="368">
        <f t="shared" si="13"/>
        <v>7.5862490659665566E-5</v>
      </c>
      <c r="Q43" s="369">
        <f t="shared" si="14"/>
        <v>54.914539188784381</v>
      </c>
      <c r="R43" s="370">
        <f t="shared" si="15"/>
        <v>-89.747784750903079</v>
      </c>
      <c r="S43" s="392">
        <f t="shared" si="16"/>
        <v>90.252215249096921</v>
      </c>
      <c r="U43" s="345">
        <f t="shared" si="23"/>
        <v>1000000000</v>
      </c>
      <c r="V43" s="345">
        <f t="shared" si="24"/>
        <v>251.19080099999999</v>
      </c>
      <c r="X43" s="371">
        <f t="shared" si="17"/>
        <v>60.520410395819383</v>
      </c>
      <c r="Y43" s="372">
        <f t="shared" si="18"/>
        <v>-82.97426141756381</v>
      </c>
      <c r="AA43" s="371">
        <f t="shared" si="19"/>
        <v>66.435328619524242</v>
      </c>
      <c r="AB43" s="372">
        <f t="shared" si="20"/>
        <v>-6.7735233333392788</v>
      </c>
      <c r="AD43">
        <f t="shared" si="25"/>
        <v>0</v>
      </c>
      <c r="AE43">
        <f t="shared" si="21"/>
        <v>0</v>
      </c>
    </row>
    <row r="44" spans="1:31" x14ac:dyDescent="0.3">
      <c r="A44" s="373">
        <v>17.378</v>
      </c>
      <c r="B44" s="390">
        <f t="shared" si="22"/>
        <v>1.7378000000000001E-2</v>
      </c>
      <c r="C44" s="363">
        <f t="shared" si="0"/>
        <v>1.0082829816062628</v>
      </c>
      <c r="D44" s="364">
        <f t="shared" si="1"/>
        <v>0.12826698459166147</v>
      </c>
      <c r="E44" s="364">
        <f t="shared" si="2"/>
        <v>1.0000000085840417</v>
      </c>
      <c r="F44" s="365">
        <f t="shared" si="3"/>
        <v>1.3102703222225235E-4</v>
      </c>
      <c r="G44" s="364">
        <f t="shared" si="4"/>
        <v>1.0000008295526825</v>
      </c>
      <c r="H44" s="365">
        <f t="shared" si="5"/>
        <v>-1.2880621949318664E-3</v>
      </c>
      <c r="I44" s="363">
        <f t="shared" si="6"/>
        <v>26.313644418362429</v>
      </c>
      <c r="J44" s="366">
        <f t="shared" si="7"/>
        <v>1.532784075562271</v>
      </c>
      <c r="K44" s="374">
        <f t="shared" si="8"/>
        <v>1.0039730511878828</v>
      </c>
      <c r="L44" s="375">
        <f t="shared" si="9"/>
        <v>8.8993722832927349E-2</v>
      </c>
      <c r="M44" s="363">
        <f t="shared" si="10"/>
        <v>1.0000000383924246</v>
      </c>
      <c r="N44" s="366">
        <f t="shared" si="11"/>
        <v>2.7710078811160577E-4</v>
      </c>
      <c r="O44" s="367">
        <f t="shared" si="12"/>
        <v>1.000000000104055</v>
      </c>
      <c r="P44" s="368">
        <f t="shared" si="13"/>
        <v>8.3181169973900327E-5</v>
      </c>
      <c r="Q44" s="369">
        <f t="shared" si="14"/>
        <v>54.109654147644576</v>
      </c>
      <c r="R44" s="370">
        <f t="shared" si="15"/>
        <v>-90.159186551293985</v>
      </c>
      <c r="S44" s="392">
        <f t="shared" si="16"/>
        <v>89.840813448706015</v>
      </c>
      <c r="U44" s="345">
        <f t="shared" si="23"/>
        <v>1000000000</v>
      </c>
      <c r="V44" s="345">
        <f t="shared" si="24"/>
        <v>301.99488400000001</v>
      </c>
      <c r="X44" s="371">
        <f t="shared" si="17"/>
        <v>59.727495076454247</v>
      </c>
      <c r="Y44" s="372">
        <f t="shared" si="18"/>
        <v>-82.738970513297417</v>
      </c>
      <c r="AA44" s="371">
        <f t="shared" si="19"/>
        <v>66.42335889774958</v>
      </c>
      <c r="AB44" s="372">
        <f t="shared" si="20"/>
        <v>-7.4202160379965552</v>
      </c>
      <c r="AD44">
        <f t="shared" si="25"/>
        <v>0</v>
      </c>
      <c r="AE44">
        <f t="shared" si="21"/>
        <v>0</v>
      </c>
    </row>
    <row r="45" spans="1:31" x14ac:dyDescent="0.3">
      <c r="A45" s="373">
        <v>19.055</v>
      </c>
      <c r="B45" s="390">
        <f t="shared" si="22"/>
        <v>1.9054999999999999E-2</v>
      </c>
      <c r="C45" s="363">
        <f t="shared" si="0"/>
        <v>1.0099504922342579</v>
      </c>
      <c r="D45" s="364">
        <f t="shared" si="1"/>
        <v>0.1404896905376268</v>
      </c>
      <c r="E45" s="364">
        <f t="shared" si="2"/>
        <v>1.0000000103207234</v>
      </c>
      <c r="F45" s="365">
        <f t="shared" si="3"/>
        <v>1.4367131408127209E-4</v>
      </c>
      <c r="G45" s="364">
        <f t="shared" si="4"/>
        <v>1.0000009973836761</v>
      </c>
      <c r="H45" s="365">
        <f t="shared" si="5"/>
        <v>-1.412361743483904E-3</v>
      </c>
      <c r="I45" s="363">
        <f t="shared" si="6"/>
        <v>28.84943974767333</v>
      </c>
      <c r="J45" s="366">
        <f t="shared" si="7"/>
        <v>1.5361266636136162</v>
      </c>
      <c r="K45" s="374">
        <f t="shared" si="8"/>
        <v>1.00477494893001</v>
      </c>
      <c r="L45" s="375">
        <f t="shared" si="9"/>
        <v>9.7529748420222329E-2</v>
      </c>
      <c r="M45" s="363">
        <f t="shared" si="10"/>
        <v>1.0000000461597938</v>
      </c>
      <c r="N45" s="366">
        <f t="shared" si="11"/>
        <v>3.0384137933736361E-4</v>
      </c>
      <c r="O45" s="367">
        <f t="shared" si="12"/>
        <v>1.0000000001251066</v>
      </c>
      <c r="P45" s="368">
        <f t="shared" si="13"/>
        <v>9.1208262987058235E-5</v>
      </c>
      <c r="Q45" s="369">
        <f t="shared" si="14"/>
        <v>53.303109812073785</v>
      </c>
      <c r="R45" s="370">
        <f t="shared" si="15"/>
        <v>-90.570323381834541</v>
      </c>
      <c r="S45" s="392">
        <f t="shared" si="16"/>
        <v>89.429676618165459</v>
      </c>
      <c r="U45" s="345">
        <f t="shared" si="23"/>
        <v>1000000000</v>
      </c>
      <c r="V45" s="345">
        <f t="shared" si="24"/>
        <v>363.09302500000001</v>
      </c>
      <c r="X45" s="371">
        <f t="shared" si="17"/>
        <v>58.935302232602069</v>
      </c>
      <c r="Y45" s="372">
        <f t="shared" si="18"/>
        <v>-82.442940584003324</v>
      </c>
      <c r="AA45" s="371">
        <f t="shared" si="19"/>
        <v>66.409007406030966</v>
      </c>
      <c r="AB45" s="372">
        <f t="shared" si="20"/>
        <v>-8.1273827978312099</v>
      </c>
      <c r="AD45">
        <f t="shared" si="25"/>
        <v>0</v>
      </c>
      <c r="AE45">
        <f t="shared" ref="AE45:AE76" si="26">IF(AD45&gt;0,S43,0)</f>
        <v>0</v>
      </c>
    </row>
    <row r="46" spans="1:31" x14ac:dyDescent="0.3">
      <c r="A46" s="373">
        <v>20.893000000000001</v>
      </c>
      <c r="B46" s="390">
        <f t="shared" si="22"/>
        <v>2.0893000000000002E-2</v>
      </c>
      <c r="C46" s="363">
        <f t="shared" si="0"/>
        <v>1.0119507806589008</v>
      </c>
      <c r="D46" s="364">
        <f t="shared" si="1"/>
        <v>0.15383734444912786</v>
      </c>
      <c r="E46" s="364">
        <f t="shared" si="2"/>
        <v>1.000000012407773</v>
      </c>
      <c r="F46" s="365">
        <f t="shared" si="3"/>
        <v>1.5752950726441976E-4</v>
      </c>
      <c r="G46" s="364">
        <f t="shared" si="4"/>
        <v>1.0000011990738022</v>
      </c>
      <c r="H46" s="365">
        <f t="shared" si="5"/>
        <v>-1.5485945913881285E-3</v>
      </c>
      <c r="I46" s="363">
        <f t="shared" si="6"/>
        <v>31.628991542764471</v>
      </c>
      <c r="J46" s="366">
        <f t="shared" si="7"/>
        <v>1.539174494185781</v>
      </c>
      <c r="K46" s="374">
        <f t="shared" si="8"/>
        <v>1.0057377801697334</v>
      </c>
      <c r="L46" s="375">
        <f t="shared" si="9"/>
        <v>0.10686887975373587</v>
      </c>
      <c r="M46" s="363">
        <f t="shared" si="10"/>
        <v>1.0000000554941955</v>
      </c>
      <c r="N46" s="366">
        <f t="shared" si="11"/>
        <v>3.33149194384223E-4</v>
      </c>
      <c r="O46" s="367">
        <f t="shared" si="12"/>
        <v>1.0000000001504055</v>
      </c>
      <c r="P46" s="368">
        <f t="shared" si="13"/>
        <v>1.0000599522827001E-4</v>
      </c>
      <c r="Q46" s="369">
        <f t="shared" si="14"/>
        <v>52.495285496789286</v>
      </c>
      <c r="R46" s="370">
        <f t="shared" si="15"/>
        <v>-90.983817474835149</v>
      </c>
      <c r="S46" s="392">
        <f t="shared" si="16"/>
        <v>89.016182525164851</v>
      </c>
      <c r="U46" s="345">
        <f t="shared" si="23"/>
        <v>1000000000</v>
      </c>
      <c r="V46" s="345">
        <f t="shared" si="24"/>
        <v>436.51744900000006</v>
      </c>
      <c r="X46" s="371">
        <f t="shared" si="17"/>
        <v>58.144662239081939</v>
      </c>
      <c r="Y46" s="372">
        <f t="shared" si="18"/>
        <v>-82.084154816429589</v>
      </c>
      <c r="AA46" s="371">
        <f t="shared" si="19"/>
        <v>66.391823084266605</v>
      </c>
      <c r="AB46" s="372">
        <f t="shared" si="20"/>
        <v>-8.8996626584055605</v>
      </c>
      <c r="AD46">
        <f t="shared" si="25"/>
        <v>0</v>
      </c>
      <c r="AE46">
        <f t="shared" si="26"/>
        <v>0</v>
      </c>
    </row>
    <row r="47" spans="1:31" x14ac:dyDescent="0.3">
      <c r="A47" s="373">
        <v>22.909000000000002</v>
      </c>
      <c r="B47" s="390">
        <f t="shared" si="22"/>
        <v>2.2909000000000002E-2</v>
      </c>
      <c r="C47" s="363">
        <f t="shared" si="0"/>
        <v>1.0143512287156151</v>
      </c>
      <c r="D47" s="364">
        <f t="shared" si="1"/>
        <v>0.1684142106769026</v>
      </c>
      <c r="E47" s="364">
        <f t="shared" si="2"/>
        <v>1.0000000149177901</v>
      </c>
      <c r="F47" s="365">
        <f t="shared" si="3"/>
        <v>1.7272978872740887E-4</v>
      </c>
      <c r="G47" s="364">
        <f t="shared" si="4"/>
        <v>1.0000014416389842</v>
      </c>
      <c r="H47" s="365">
        <f t="shared" si="5"/>
        <v>-1.6980207608848206E-3</v>
      </c>
      <c r="I47" s="363">
        <f t="shared" si="6"/>
        <v>34.678008434728348</v>
      </c>
      <c r="J47" s="366">
        <f t="shared" si="7"/>
        <v>1.5419556092980724</v>
      </c>
      <c r="K47" s="374">
        <f t="shared" si="8"/>
        <v>1.0068945221082621</v>
      </c>
      <c r="L47" s="375">
        <f t="shared" si="9"/>
        <v>0.11709091970947737</v>
      </c>
      <c r="M47" s="363">
        <f t="shared" si="10"/>
        <v>1.0000000667203341</v>
      </c>
      <c r="N47" s="366">
        <f t="shared" si="11"/>
        <v>3.6529530641979196E-4</v>
      </c>
      <c r="O47" s="367">
        <f t="shared" si="12"/>
        <v>1.0000000001808318</v>
      </c>
      <c r="P47" s="368">
        <f t="shared" si="13"/>
        <v>1.0965573854340023E-4</v>
      </c>
      <c r="Q47" s="369">
        <f t="shared" si="14"/>
        <v>51.685316346847934</v>
      </c>
      <c r="R47" s="370">
        <f t="shared" si="15"/>
        <v>-91.402762102486861</v>
      </c>
      <c r="S47" s="392">
        <f t="shared" si="16"/>
        <v>88.597237897513139</v>
      </c>
      <c r="U47" s="345">
        <f t="shared" si="23"/>
        <v>1000000000</v>
      </c>
      <c r="V47" s="345">
        <f t="shared" si="24"/>
        <v>524.82228100000009</v>
      </c>
      <c r="X47" s="371">
        <f t="shared" si="17"/>
        <v>57.355270357622345</v>
      </c>
      <c r="Y47" s="372">
        <f t="shared" si="18"/>
        <v>-81.659663063288178</v>
      </c>
      <c r="AA47" s="371">
        <f t="shared" si="19"/>
        <v>66.371245815784846</v>
      </c>
      <c r="AB47" s="372">
        <f t="shared" si="20"/>
        <v>-9.7430990391986736</v>
      </c>
      <c r="AD47">
        <f t="shared" si="25"/>
        <v>0</v>
      </c>
      <c r="AE47">
        <f t="shared" si="26"/>
        <v>0</v>
      </c>
    </row>
    <row r="48" spans="1:31" x14ac:dyDescent="0.3">
      <c r="A48" s="373">
        <v>25.119</v>
      </c>
      <c r="B48" s="390">
        <f t="shared" si="22"/>
        <v>2.5118999999999999E-2</v>
      </c>
      <c r="C48" s="363">
        <f t="shared" si="0"/>
        <v>1.0172290565257198</v>
      </c>
      <c r="D48" s="364">
        <f t="shared" si="1"/>
        <v>0.18431100145447266</v>
      </c>
      <c r="E48" s="364">
        <f t="shared" si="2"/>
        <v>1.0000000179348159</v>
      </c>
      <c r="F48" s="365">
        <f t="shared" si="3"/>
        <v>1.8939279559635676E-4</v>
      </c>
      <c r="G48" s="364">
        <f t="shared" si="4"/>
        <v>1.0000017332008042</v>
      </c>
      <c r="H48" s="365">
        <f t="shared" si="5"/>
        <v>-1.8618261470208074E-3</v>
      </c>
      <c r="I48" s="363">
        <f t="shared" si="6"/>
        <v>38.020689077437403</v>
      </c>
      <c r="J48" s="366">
        <f t="shared" si="7"/>
        <v>1.544491823780249</v>
      </c>
      <c r="K48" s="374">
        <f t="shared" si="8"/>
        <v>1.0082831627826694</v>
      </c>
      <c r="L48" s="375">
        <f t="shared" si="9"/>
        <v>0.12826837778368205</v>
      </c>
      <c r="M48" s="363">
        <f t="shared" si="10"/>
        <v>1.0000000802140856</v>
      </c>
      <c r="N48" s="366">
        <f t="shared" si="11"/>
        <v>4.0053484304920805E-4</v>
      </c>
      <c r="O48" s="367">
        <f t="shared" si="12"/>
        <v>1.0000000002174039</v>
      </c>
      <c r="P48" s="368">
        <f t="shared" si="13"/>
        <v>1.2023407820015428E-4</v>
      </c>
      <c r="Q48" s="369">
        <f t="shared" si="14"/>
        <v>50.873364862102292</v>
      </c>
      <c r="R48" s="370">
        <f t="shared" si="15"/>
        <v>-91.829530143021046</v>
      </c>
      <c r="S48" s="392">
        <f t="shared" si="16"/>
        <v>88.170469856978954</v>
      </c>
      <c r="U48" s="345">
        <f t="shared" si="23"/>
        <v>1000000000</v>
      </c>
      <c r="V48" s="345">
        <f t="shared" si="24"/>
        <v>630.96416099999999</v>
      </c>
      <c r="X48" s="371">
        <f t="shared" si="17"/>
        <v>56.567924262978558</v>
      </c>
      <c r="Y48" s="372">
        <f t="shared" si="18"/>
        <v>-81.166575351877938</v>
      </c>
      <c r="AA48" s="371">
        <f t="shared" si="19"/>
        <v>66.346640425682978</v>
      </c>
      <c r="AB48" s="372">
        <f t="shared" si="20"/>
        <v>-10.662954791143118</v>
      </c>
      <c r="AD48">
        <f t="shared" si="25"/>
        <v>0</v>
      </c>
      <c r="AE48">
        <f t="shared" si="26"/>
        <v>0</v>
      </c>
    </row>
    <row r="49" spans="1:31" x14ac:dyDescent="0.3">
      <c r="A49" s="373">
        <v>27.542000000000002</v>
      </c>
      <c r="B49" s="390">
        <f t="shared" si="22"/>
        <v>2.7542000000000001E-2</v>
      </c>
      <c r="C49" s="363">
        <f t="shared" si="0"/>
        <v>1.0206778738301823</v>
      </c>
      <c r="D49" s="364">
        <f t="shared" si="1"/>
        <v>0.20163203020895851</v>
      </c>
      <c r="E49" s="364">
        <f t="shared" si="2"/>
        <v>1.0000000215617086</v>
      </c>
      <c r="F49" s="365">
        <f t="shared" si="3"/>
        <v>2.0766178445409138E-4</v>
      </c>
      <c r="G49" s="364">
        <f t="shared" si="4"/>
        <v>1.0000020836993766</v>
      </c>
      <c r="H49" s="365">
        <f t="shared" si="5"/>
        <v>-2.0414189959495829E-3</v>
      </c>
      <c r="I49" s="363">
        <f t="shared" si="6"/>
        <v>41.685771391552898</v>
      </c>
      <c r="J49" s="366">
        <f t="shared" si="7"/>
        <v>1.5468050246434215</v>
      </c>
      <c r="K49" s="374">
        <f t="shared" si="8"/>
        <v>1.0099499786809569</v>
      </c>
      <c r="L49" s="375">
        <f t="shared" si="9"/>
        <v>0.1404860948974955</v>
      </c>
      <c r="M49" s="363">
        <f t="shared" si="10"/>
        <v>1.0000000964354896</v>
      </c>
      <c r="N49" s="366">
        <f t="shared" si="11"/>
        <v>4.3917076826160886E-4</v>
      </c>
      <c r="O49" s="367">
        <f t="shared" si="12"/>
        <v>1.0000000002613687</v>
      </c>
      <c r="P49" s="368">
        <f t="shared" si="13"/>
        <v>1.3183195920444862E-4</v>
      </c>
      <c r="Q49" s="369">
        <f t="shared" si="14"/>
        <v>50.058958742019882</v>
      </c>
      <c r="R49" s="370">
        <f t="shared" si="15"/>
        <v>-92.266586370098707</v>
      </c>
      <c r="S49" s="392">
        <f t="shared" si="16"/>
        <v>87.733413629901293</v>
      </c>
      <c r="U49" s="345">
        <f t="shared" si="23"/>
        <v>1000000000</v>
      </c>
      <c r="V49" s="345">
        <f t="shared" si="24"/>
        <v>758.56176400000004</v>
      </c>
      <c r="X49" s="371">
        <f t="shared" si="17"/>
        <v>55.782913932116649</v>
      </c>
      <c r="Y49" s="372">
        <f t="shared" si="18"/>
        <v>-80.601302047403806</v>
      </c>
      <c r="AA49" s="371">
        <f t="shared" si="19"/>
        <v>66.31724463646249</v>
      </c>
      <c r="AB49" s="372">
        <f t="shared" si="20"/>
        <v>-11.665284322694895</v>
      </c>
      <c r="AD49">
        <f t="shared" si="25"/>
        <v>0</v>
      </c>
      <c r="AE49">
        <f t="shared" si="26"/>
        <v>0</v>
      </c>
    </row>
    <row r="50" spans="1:31" x14ac:dyDescent="0.3">
      <c r="A50" s="373">
        <v>30.2</v>
      </c>
      <c r="B50" s="390">
        <f t="shared" si="22"/>
        <v>3.0199999999999998E-2</v>
      </c>
      <c r="C50" s="363">
        <f t="shared" si="0"/>
        <v>1.0248108388622026</v>
      </c>
      <c r="D50" s="364">
        <f t="shared" si="1"/>
        <v>0.22049257894297028</v>
      </c>
      <c r="E50" s="364">
        <f t="shared" si="2"/>
        <v>1.0000000259242448</v>
      </c>
      <c r="F50" s="365">
        <f t="shared" si="3"/>
        <v>2.2770263133665419E-4</v>
      </c>
      <c r="G50" s="364">
        <f t="shared" si="4"/>
        <v>1.0000025052894426</v>
      </c>
      <c r="H50" s="365">
        <f t="shared" si="5"/>
        <v>-2.2384299016090822E-3</v>
      </c>
      <c r="I50" s="363">
        <f t="shared" si="6"/>
        <v>45.706533213601688</v>
      </c>
      <c r="J50" s="366">
        <f t="shared" si="7"/>
        <v>1.5489158706207862</v>
      </c>
      <c r="K50" s="374">
        <f t="shared" si="8"/>
        <v>1.0119512377688054</v>
      </c>
      <c r="L50" s="375">
        <f t="shared" si="9"/>
        <v>0.15384025751397462</v>
      </c>
      <c r="M50" s="363">
        <f t="shared" si="10"/>
        <v>1.0000001159470819</v>
      </c>
      <c r="N50" s="366">
        <f t="shared" si="11"/>
        <v>4.8155388239705382E-4</v>
      </c>
      <c r="O50" s="367">
        <f t="shared" si="12"/>
        <v>1.0000000003142508</v>
      </c>
      <c r="P50" s="368">
        <f t="shared" si="13"/>
        <v>1.4455468630081777E-4</v>
      </c>
      <c r="Q50" s="369">
        <f t="shared" si="14"/>
        <v>49.241247721422852</v>
      </c>
      <c r="R50" s="370">
        <f t="shared" si="15"/>
        <v>-92.716318590819</v>
      </c>
      <c r="S50" s="392">
        <f t="shared" si="16"/>
        <v>87.283681409181</v>
      </c>
      <c r="U50" s="345">
        <f t="shared" si="23"/>
        <v>1000000000</v>
      </c>
      <c r="V50" s="345">
        <f t="shared" si="24"/>
        <v>912.04</v>
      </c>
      <c r="X50" s="371">
        <f t="shared" si="17"/>
        <v>55.000299407851003</v>
      </c>
      <c r="Y50" s="372">
        <f t="shared" si="18"/>
        <v>-79.959535829082583</v>
      </c>
      <c r="AA50" s="371">
        <f t="shared" si="19"/>
        <v>66.282148140131099</v>
      </c>
      <c r="AB50" s="372">
        <f t="shared" si="20"/>
        <v>-12.756782761736417</v>
      </c>
      <c r="AD50">
        <f t="shared" si="25"/>
        <v>0</v>
      </c>
      <c r="AE50">
        <f t="shared" si="26"/>
        <v>0</v>
      </c>
    </row>
    <row r="51" spans="1:31" x14ac:dyDescent="0.3">
      <c r="A51" s="373">
        <v>33.113</v>
      </c>
      <c r="B51" s="390">
        <f t="shared" si="22"/>
        <v>3.3112999999999997E-2</v>
      </c>
      <c r="C51" s="363">
        <f t="shared" si="0"/>
        <v>1.0297553715791723</v>
      </c>
      <c r="D51" s="364">
        <f t="shared" si="1"/>
        <v>0.24098055705827495</v>
      </c>
      <c r="E51" s="364">
        <f t="shared" si="2"/>
        <v>1.0000000311665898</v>
      </c>
      <c r="F51" s="365">
        <f t="shared" si="3"/>
        <v>2.4966613261918539E-4</v>
      </c>
      <c r="G51" s="364">
        <f t="shared" si="4"/>
        <v>1.0000030119029273</v>
      </c>
      <c r="H51" s="365">
        <f t="shared" si="5"/>
        <v>-2.4543412019269531E-3</v>
      </c>
      <c r="I51" s="363">
        <f t="shared" si="6"/>
        <v>50.113228600064076</v>
      </c>
      <c r="J51" s="366">
        <f t="shared" si="7"/>
        <v>1.5508401913476635</v>
      </c>
      <c r="K51" s="374">
        <f t="shared" si="8"/>
        <v>1.0143508752203654</v>
      </c>
      <c r="L51" s="375">
        <f t="shared" si="9"/>
        <v>0.16841216099791148</v>
      </c>
      <c r="M51" s="363">
        <f t="shared" si="10"/>
        <v>1.0000001393936502</v>
      </c>
      <c r="N51" s="366">
        <f t="shared" si="11"/>
        <v>5.2800309465449689E-4</v>
      </c>
      <c r="O51" s="367">
        <f t="shared" si="12"/>
        <v>1.000000000377798</v>
      </c>
      <c r="P51" s="368">
        <f t="shared" si="13"/>
        <v>1.5849799107767672E-4</v>
      </c>
      <c r="Q51" s="369">
        <f t="shared" si="14"/>
        <v>48.420535254627069</v>
      </c>
      <c r="R51" s="370">
        <f t="shared" si="15"/>
        <v>-93.180112781761181</v>
      </c>
      <c r="S51" s="392">
        <f t="shared" si="16"/>
        <v>86.819887218238819</v>
      </c>
      <c r="U51" s="345">
        <f t="shared" si="23"/>
        <v>1000000000</v>
      </c>
      <c r="V51" s="345">
        <f t="shared" si="24"/>
        <v>1096.470769</v>
      </c>
      <c r="X51" s="371">
        <f t="shared" si="17"/>
        <v>54.221389616038621</v>
      </c>
      <c r="Y51" s="372">
        <f t="shared" si="18"/>
        <v>-79.237544059059701</v>
      </c>
      <c r="AA51" s="371">
        <f t="shared" si="19"/>
        <v>66.240345465147698</v>
      </c>
      <c r="AB51" s="372">
        <f t="shared" si="20"/>
        <v>-13.942568722701482</v>
      </c>
      <c r="AD51">
        <f t="shared" si="25"/>
        <v>0</v>
      </c>
      <c r="AE51">
        <f t="shared" si="26"/>
        <v>0</v>
      </c>
    </row>
    <row r="52" spans="1:31" x14ac:dyDescent="0.3">
      <c r="A52" s="373">
        <v>36.308</v>
      </c>
      <c r="B52" s="390">
        <f t="shared" si="22"/>
        <v>3.6308E-2</v>
      </c>
      <c r="C52" s="363">
        <f t="shared" si="0"/>
        <v>1.0356704994086672</v>
      </c>
      <c r="D52" s="364">
        <f t="shared" si="1"/>
        <v>0.26321657366160717</v>
      </c>
      <c r="E52" s="364">
        <f t="shared" si="2"/>
        <v>1.0000000374711375</v>
      </c>
      <c r="F52" s="365">
        <f t="shared" si="3"/>
        <v>2.7375586340825097E-4</v>
      </c>
      <c r="G52" s="364">
        <f t="shared" si="4"/>
        <v>1.0000036211659964</v>
      </c>
      <c r="H52" s="365">
        <f t="shared" si="5"/>
        <v>-2.6911540532259018E-3</v>
      </c>
      <c r="I52" s="363">
        <f t="shared" si="6"/>
        <v>54.946702277819107</v>
      </c>
      <c r="J52" s="366">
        <f t="shared" si="7"/>
        <v>1.5525958676203013</v>
      </c>
      <c r="K52" s="374">
        <f t="shared" si="8"/>
        <v>1.01722922937233</v>
      </c>
      <c r="L52" s="375">
        <f t="shared" si="9"/>
        <v>0.1843119129039891</v>
      </c>
      <c r="M52" s="363">
        <f t="shared" si="10"/>
        <v>1.0000001675909567</v>
      </c>
      <c r="N52" s="366">
        <f t="shared" si="11"/>
        <v>5.7894893245372212E-4</v>
      </c>
      <c r="O52" s="367">
        <f t="shared" si="12"/>
        <v>1.0000000004542211</v>
      </c>
      <c r="P52" s="368">
        <f t="shared" si="13"/>
        <v>1.7379111117937088E-4</v>
      </c>
      <c r="Q52" s="369">
        <f t="shared" si="14"/>
        <v>47.595617032516564</v>
      </c>
      <c r="R52" s="370">
        <f t="shared" si="15"/>
        <v>-93.659730197690209</v>
      </c>
      <c r="S52" s="392">
        <f t="shared" si="16"/>
        <v>86.340269802309791</v>
      </c>
      <c r="U52" s="345">
        <f t="shared" si="23"/>
        <v>1000000000</v>
      </c>
      <c r="V52" s="345">
        <f t="shared" si="24"/>
        <v>1318.2708640000001</v>
      </c>
      <c r="X52" s="371">
        <f t="shared" si="17"/>
        <v>53.446216841346022</v>
      </c>
      <c r="Y52" s="372">
        <f t="shared" si="18"/>
        <v>-78.430067200716749</v>
      </c>
      <c r="AA52" s="371">
        <f t="shared" si="19"/>
        <v>66.190600017729793</v>
      </c>
      <c r="AB52" s="372">
        <f t="shared" si="20"/>
        <v>-15.229662996973447</v>
      </c>
      <c r="AD52">
        <f t="shared" si="25"/>
        <v>0</v>
      </c>
      <c r="AE52">
        <f t="shared" si="26"/>
        <v>0</v>
      </c>
    </row>
    <row r="53" spans="1:31" x14ac:dyDescent="0.3">
      <c r="A53" s="373">
        <v>39.811</v>
      </c>
      <c r="B53" s="390">
        <f t="shared" si="22"/>
        <v>3.9810999999999999E-2</v>
      </c>
      <c r="C53" s="363">
        <f t="shared" si="0"/>
        <v>1.0427371642753223</v>
      </c>
      <c r="D53" s="364">
        <f t="shared" si="1"/>
        <v>0.2872929790723755</v>
      </c>
      <c r="E53" s="364">
        <f t="shared" si="2"/>
        <v>1.0000000450503734</v>
      </c>
      <c r="F53" s="365">
        <f t="shared" si="3"/>
        <v>3.0016785895884394E-4</v>
      </c>
      <c r="G53" s="364">
        <f t="shared" si="4"/>
        <v>1.0000043536127294</v>
      </c>
      <c r="H53" s="365">
        <f t="shared" si="5"/>
        <v>-2.9507954637577839E-3</v>
      </c>
      <c r="I53" s="363">
        <f t="shared" si="6"/>
        <v>60.246287751134936</v>
      </c>
      <c r="J53" s="366">
        <f t="shared" si="7"/>
        <v>1.554197031442875</v>
      </c>
      <c r="K53" s="374">
        <f t="shared" si="8"/>
        <v>1.0206788003286384</v>
      </c>
      <c r="L53" s="375">
        <f t="shared" si="9"/>
        <v>0.20163647088820252</v>
      </c>
      <c r="M53" s="363">
        <f t="shared" si="10"/>
        <v>1.0000002014893483</v>
      </c>
      <c r="N53" s="366">
        <f t="shared" si="11"/>
        <v>6.3480597744417226E-4</v>
      </c>
      <c r="O53" s="367">
        <f t="shared" si="12"/>
        <v>1.0000000005460958</v>
      </c>
      <c r="P53" s="368">
        <f t="shared" si="13"/>
        <v>1.9055849767464421E-4</v>
      </c>
      <c r="Q53" s="369">
        <f t="shared" si="14"/>
        <v>46.766190319184517</v>
      </c>
      <c r="R53" s="370">
        <f t="shared" si="15"/>
        <v>-94.155846623607871</v>
      </c>
      <c r="S53" s="392">
        <f t="shared" si="16"/>
        <v>85.844153376392129</v>
      </c>
      <c r="U53" s="345">
        <f t="shared" si="23"/>
        <v>1000000000</v>
      </c>
      <c r="V53" s="345">
        <f t="shared" si="24"/>
        <v>1584.9157210000001</v>
      </c>
      <c r="X53" s="371">
        <f t="shared" si="17"/>
        <v>52.675848636907013</v>
      </c>
      <c r="Y53" s="372">
        <f t="shared" si="18"/>
        <v>-77.532383447542429</v>
      </c>
      <c r="AA53" s="371">
        <f t="shared" si="19"/>
        <v>66.131541508836747</v>
      </c>
      <c r="AB53" s="372">
        <f t="shared" si="20"/>
        <v>-16.623463176065435</v>
      </c>
      <c r="AD53">
        <f t="shared" si="25"/>
        <v>0</v>
      </c>
      <c r="AE53">
        <f t="shared" si="26"/>
        <v>0</v>
      </c>
    </row>
    <row r="54" spans="1:31" x14ac:dyDescent="0.3">
      <c r="A54" s="373">
        <v>43.652000000000001</v>
      </c>
      <c r="B54" s="390">
        <f t="shared" si="22"/>
        <v>4.3652000000000003E-2</v>
      </c>
      <c r="C54" s="363">
        <f t="shared" si="0"/>
        <v>1.0511703723758148</v>
      </c>
      <c r="D54" s="364">
        <f t="shared" si="1"/>
        <v>0.31330363620353291</v>
      </c>
      <c r="E54" s="364">
        <f t="shared" si="2"/>
        <v>1.0000000541627259</v>
      </c>
      <c r="F54" s="365">
        <f t="shared" si="3"/>
        <v>3.2912831377439561E-4</v>
      </c>
      <c r="G54" s="364">
        <f t="shared" si="4"/>
        <v>1.0000052342169903</v>
      </c>
      <c r="H54" s="365">
        <f t="shared" si="5"/>
        <v>-3.2354888841004039E-3</v>
      </c>
      <c r="I54" s="363">
        <f t="shared" si="6"/>
        <v>66.057371133219263</v>
      </c>
      <c r="J54" s="366">
        <f t="shared" si="7"/>
        <v>1.5556573925358721</v>
      </c>
      <c r="K54" s="374">
        <f t="shared" si="8"/>
        <v>1.0248107733726934</v>
      </c>
      <c r="L54" s="375">
        <f t="shared" si="9"/>
        <v>0.22049229383104921</v>
      </c>
      <c r="M54" s="363">
        <f t="shared" si="10"/>
        <v>1.000000242244655</v>
      </c>
      <c r="N54" s="366">
        <f t="shared" si="11"/>
        <v>6.960525928635759E-4</v>
      </c>
      <c r="O54" s="367">
        <f t="shared" si="12"/>
        <v>1.0000000006565548</v>
      </c>
      <c r="P54" s="368">
        <f t="shared" si="13"/>
        <v>2.0894374795301819E-4</v>
      </c>
      <c r="Q54" s="369">
        <f t="shared" si="14"/>
        <v>45.931504377568501</v>
      </c>
      <c r="R54" s="370">
        <f t="shared" si="15"/>
        <v>-94.668675942920117</v>
      </c>
      <c r="S54" s="392">
        <f t="shared" si="16"/>
        <v>85.331324057079883</v>
      </c>
      <c r="U54" s="345">
        <f t="shared" si="23"/>
        <v>1000000000</v>
      </c>
      <c r="V54" s="345">
        <f t="shared" si="24"/>
        <v>1905.497104</v>
      </c>
      <c r="X54" s="371">
        <f t="shared" si="17"/>
        <v>51.911120150277192</v>
      </c>
      <c r="Y54" s="372">
        <f t="shared" si="18"/>
        <v>-76.539206072303344</v>
      </c>
      <c r="AA54" s="371">
        <f t="shared" si="19"/>
        <v>66.061584053850567</v>
      </c>
      <c r="AB54" s="372">
        <f t="shared" si="20"/>
        <v>-18.129469870616784</v>
      </c>
      <c r="AD54">
        <f t="shared" si="25"/>
        <v>0</v>
      </c>
      <c r="AE54">
        <f t="shared" si="26"/>
        <v>0</v>
      </c>
    </row>
    <row r="55" spans="1:31" x14ac:dyDescent="0.3">
      <c r="A55" s="373">
        <v>47.863</v>
      </c>
      <c r="B55" s="390">
        <f t="shared" si="22"/>
        <v>4.7863000000000003E-2</v>
      </c>
      <c r="C55" s="363">
        <f t="shared" si="0"/>
        <v>1.0612192030676162</v>
      </c>
      <c r="D55" s="364">
        <f t="shared" si="1"/>
        <v>0.34132374841491347</v>
      </c>
      <c r="E55" s="364">
        <f t="shared" si="2"/>
        <v>1.0000000651166501</v>
      </c>
      <c r="F55" s="365">
        <f t="shared" si="3"/>
        <v>3.6087850195054729E-4</v>
      </c>
      <c r="G55" s="364">
        <f t="shared" si="4"/>
        <v>1.0000062927870073</v>
      </c>
      <c r="H55" s="365">
        <f t="shared" si="5"/>
        <v>-3.5476059555870354E-3</v>
      </c>
      <c r="I55" s="363">
        <f t="shared" si="6"/>
        <v>72.428365495540561</v>
      </c>
      <c r="J55" s="366">
        <f t="shared" si="7"/>
        <v>1.5569891427321341</v>
      </c>
      <c r="K55" s="374">
        <f t="shared" si="8"/>
        <v>1.0297558582099238</v>
      </c>
      <c r="L55" s="375">
        <f t="shared" si="9"/>
        <v>0.24098247996864042</v>
      </c>
      <c r="M55" s="363">
        <f t="shared" si="10"/>
        <v>1.0000002912364523</v>
      </c>
      <c r="N55" s="366">
        <f t="shared" si="11"/>
        <v>7.6319903244104149E-4</v>
      </c>
      <c r="O55" s="367">
        <f t="shared" si="12"/>
        <v>1.000000000789337</v>
      </c>
      <c r="P55" s="368">
        <f t="shared" si="13"/>
        <v>2.2910003256812854E-4</v>
      </c>
      <c r="Q55" s="369">
        <f t="shared" si="14"/>
        <v>45.090937286065937</v>
      </c>
      <c r="R55" s="370">
        <f t="shared" si="15"/>
        <v>-95.197478509974701</v>
      </c>
      <c r="S55" s="392">
        <f t="shared" si="16"/>
        <v>84.802521490025299</v>
      </c>
      <c r="U55" s="345">
        <f t="shared" si="23"/>
        <v>1000000000</v>
      </c>
      <c r="V55" s="345">
        <f t="shared" si="24"/>
        <v>2290.8667689999997</v>
      </c>
      <c r="X55" s="371">
        <f t="shared" si="17"/>
        <v>51.153183538755698</v>
      </c>
      <c r="Y55" s="372">
        <f t="shared" si="18"/>
        <v>-75.445355757140632</v>
      </c>
      <c r="AA55" s="371">
        <f t="shared" si="19"/>
        <v>65.978953573869489</v>
      </c>
      <c r="AB55" s="372">
        <f t="shared" si="20"/>
        <v>-19.752122752834058</v>
      </c>
      <c r="AD55">
        <f t="shared" si="25"/>
        <v>0</v>
      </c>
      <c r="AE55">
        <f t="shared" si="26"/>
        <v>0</v>
      </c>
    </row>
    <row r="56" spans="1:31" x14ac:dyDescent="0.3">
      <c r="A56" s="373">
        <v>52.481000000000002</v>
      </c>
      <c r="B56" s="390">
        <f t="shared" si="22"/>
        <v>5.2481E-2</v>
      </c>
      <c r="C56" s="363">
        <f t="shared" si="0"/>
        <v>1.0731778527510443</v>
      </c>
      <c r="D56" s="364">
        <f t="shared" si="1"/>
        <v>0.37142251592468195</v>
      </c>
      <c r="E56" s="364">
        <f t="shared" si="2"/>
        <v>1.0000000782882199</v>
      </c>
      <c r="F56" s="365">
        <f t="shared" si="3"/>
        <v>3.9569739662286354E-4</v>
      </c>
      <c r="G56" s="364">
        <f t="shared" si="4"/>
        <v>1.0000075656653429</v>
      </c>
      <c r="H56" s="365">
        <f t="shared" si="5"/>
        <v>-3.8898888528666152E-3</v>
      </c>
      <c r="I56" s="363">
        <f t="shared" si="6"/>
        <v>79.415249665787073</v>
      </c>
      <c r="J56" s="366">
        <f t="shared" si="7"/>
        <v>1.5582039540116739</v>
      </c>
      <c r="K56" s="374">
        <f t="shared" si="8"/>
        <v>1.0356708208649776</v>
      </c>
      <c r="L56" s="375">
        <f t="shared" si="9"/>
        <v>0.2632177254984101</v>
      </c>
      <c r="M56" s="363">
        <f t="shared" si="10"/>
        <v>1.0000003501467423</v>
      </c>
      <c r="N56" s="366">
        <f t="shared" si="11"/>
        <v>8.3683527669595572E-4</v>
      </c>
      <c r="O56" s="367">
        <f t="shared" si="12"/>
        <v>1.0000000009490015</v>
      </c>
      <c r="P56" s="368">
        <f t="shared" si="13"/>
        <v>2.5120445497698332E-4</v>
      </c>
      <c r="Q56" s="369">
        <f t="shared" si="14"/>
        <v>44.243460877636608</v>
      </c>
      <c r="R56" s="370">
        <f t="shared" si="15"/>
        <v>-95.740730617209451</v>
      </c>
      <c r="S56" s="392">
        <f t="shared" si="16"/>
        <v>84.259269382790549</v>
      </c>
      <c r="U56" s="345">
        <f t="shared" si="23"/>
        <v>1000000000</v>
      </c>
      <c r="V56" s="345">
        <f t="shared" si="24"/>
        <v>2754.255361</v>
      </c>
      <c r="X56" s="371">
        <f t="shared" si="17"/>
        <v>50.403027990510708</v>
      </c>
      <c r="Y56" s="372">
        <f t="shared" si="18"/>
        <v>-74.245192635713835</v>
      </c>
      <c r="AA56" s="371">
        <f t="shared" si="19"/>
        <v>65.881632713685136</v>
      </c>
      <c r="AB56" s="372">
        <f t="shared" si="20"/>
        <v>-21.49553798149562</v>
      </c>
      <c r="AD56">
        <f t="shared" si="25"/>
        <v>0</v>
      </c>
      <c r="AE56">
        <f t="shared" si="26"/>
        <v>0</v>
      </c>
    </row>
    <row r="57" spans="1:31" x14ac:dyDescent="0.3">
      <c r="A57" s="373">
        <v>57.544000000000004</v>
      </c>
      <c r="B57" s="390">
        <f t="shared" si="22"/>
        <v>5.7544000000000005E-2</v>
      </c>
      <c r="C57" s="363">
        <f t="shared" si="0"/>
        <v>1.0873797210230931</v>
      </c>
      <c r="D57" s="364">
        <f t="shared" si="1"/>
        <v>0.40362846377399741</v>
      </c>
      <c r="E57" s="364">
        <f t="shared" si="2"/>
        <v>1.0000000941222513</v>
      </c>
      <c r="F57" s="365">
        <f t="shared" si="3"/>
        <v>4.3387151065919788E-4</v>
      </c>
      <c r="G57" s="364">
        <f t="shared" si="4"/>
        <v>1.0000090958373511</v>
      </c>
      <c r="H57" s="365">
        <f t="shared" si="5"/>
        <v>-4.2651537853440353E-3</v>
      </c>
      <c r="I57" s="363">
        <f t="shared" si="6"/>
        <v>87.075516425639677</v>
      </c>
      <c r="J57" s="366">
        <f t="shared" si="7"/>
        <v>1.5593117898800497</v>
      </c>
      <c r="K57" s="374">
        <f t="shared" si="8"/>
        <v>1.0427370055986016</v>
      </c>
      <c r="L57" s="375">
        <f t="shared" si="9"/>
        <v>0.28729246404571385</v>
      </c>
      <c r="M57" s="363">
        <f t="shared" si="10"/>
        <v>1.0000004209649775</v>
      </c>
      <c r="N57" s="366">
        <f t="shared" si="11"/>
        <v>9.1756725078978064E-4</v>
      </c>
      <c r="O57" s="367">
        <f t="shared" si="12"/>
        <v>1.0000000011409402</v>
      </c>
      <c r="P57" s="368">
        <f t="shared" si="13"/>
        <v>2.7543890522607501E-4</v>
      </c>
      <c r="Q57" s="369">
        <f t="shared" si="14"/>
        <v>43.388500984215881</v>
      </c>
      <c r="R57" s="370">
        <f t="shared" si="15"/>
        <v>-96.295416927151919</v>
      </c>
      <c r="S57" s="392">
        <f t="shared" si="16"/>
        <v>83.704583072848081</v>
      </c>
      <c r="U57" s="345">
        <f t="shared" si="23"/>
        <v>1000000000</v>
      </c>
      <c r="V57" s="345">
        <f t="shared" si="24"/>
        <v>3311.3119360000005</v>
      </c>
      <c r="X57" s="371">
        <f t="shared" si="17"/>
        <v>49.662245228128768</v>
      </c>
      <c r="Y57" s="372">
        <f t="shared" si="18"/>
        <v>-72.933911643612532</v>
      </c>
      <c r="AA57" s="371">
        <f t="shared" si="19"/>
        <v>65.767455582646363</v>
      </c>
      <c r="AB57" s="372">
        <f t="shared" si="20"/>
        <v>-23.361505283539383</v>
      </c>
      <c r="AD57">
        <f t="shared" si="25"/>
        <v>0</v>
      </c>
      <c r="AE57">
        <f t="shared" si="26"/>
        <v>0</v>
      </c>
    </row>
    <row r="58" spans="1:31" x14ac:dyDescent="0.3">
      <c r="A58" s="373">
        <v>63.095999999999997</v>
      </c>
      <c r="B58" s="390">
        <f t="shared" si="22"/>
        <v>6.3095999999999999E-2</v>
      </c>
      <c r="C58" s="363">
        <f t="shared" si="0"/>
        <v>1.104213932207998</v>
      </c>
      <c r="D58" s="364">
        <f t="shared" si="1"/>
        <v>0.43795312805350983</v>
      </c>
      <c r="E58" s="364">
        <f t="shared" si="2"/>
        <v>1.0000001131607621</v>
      </c>
      <c r="F58" s="365">
        <f t="shared" si="3"/>
        <v>4.7573259573705141E-4</v>
      </c>
      <c r="G58" s="364">
        <f t="shared" si="4"/>
        <v>1.0000109356813585</v>
      </c>
      <c r="H58" s="365">
        <f t="shared" si="5"/>
        <v>-4.676661566059565E-3</v>
      </c>
      <c r="I58" s="363">
        <f t="shared" si="6"/>
        <v>95.475737323669279</v>
      </c>
      <c r="J58" s="366">
        <f t="shared" si="7"/>
        <v>1.5603222701122605</v>
      </c>
      <c r="K58" s="374">
        <f t="shared" si="8"/>
        <v>1.0511703488137765</v>
      </c>
      <c r="L58" s="375">
        <f t="shared" si="9"/>
        <v>0.31330356701571249</v>
      </c>
      <c r="M58" s="363">
        <f t="shared" si="10"/>
        <v>1.0000005061153492</v>
      </c>
      <c r="N58" s="366">
        <f t="shared" si="11"/>
        <v>1.0060965516704215E-3</v>
      </c>
      <c r="O58" s="367">
        <f t="shared" si="12"/>
        <v>1.0000000013717232</v>
      </c>
      <c r="P58" s="368">
        <f t="shared" si="13"/>
        <v>3.0201399285039539E-4</v>
      </c>
      <c r="Q58" s="369">
        <f t="shared" si="14"/>
        <v>42.525103594201717</v>
      </c>
      <c r="R58" s="370">
        <f t="shared" si="15"/>
        <v>-96.857419347375355</v>
      </c>
      <c r="S58" s="392">
        <f t="shared" si="16"/>
        <v>83.142580652624645</v>
      </c>
      <c r="U58" s="345">
        <f t="shared" si="23"/>
        <v>1000000000</v>
      </c>
      <c r="V58" s="345">
        <f t="shared" si="24"/>
        <v>3981.1052159999995</v>
      </c>
      <c r="X58" s="371">
        <f t="shared" si="17"/>
        <v>48.932271555341316</v>
      </c>
      <c r="Y58" s="372">
        <f t="shared" si="18"/>
        <v>-71.506553829211214</v>
      </c>
      <c r="AA58" s="371">
        <f t="shared" si="19"/>
        <v>65.634031865419644</v>
      </c>
      <c r="AB58" s="372">
        <f t="shared" si="20"/>
        <v>-25.350865518164134</v>
      </c>
      <c r="AD58">
        <f t="shared" si="25"/>
        <v>0</v>
      </c>
      <c r="AE58">
        <f t="shared" si="26"/>
        <v>0</v>
      </c>
    </row>
    <row r="59" spans="1:31" x14ac:dyDescent="0.3">
      <c r="A59" s="373">
        <v>69.183000000000007</v>
      </c>
      <c r="B59" s="390">
        <f t="shared" si="22"/>
        <v>6.9183000000000008E-2</v>
      </c>
      <c r="C59" s="363">
        <f t="shared" si="0"/>
        <v>1.1241172958341294</v>
      </c>
      <c r="D59" s="364">
        <f t="shared" si="1"/>
        <v>0.47435639699302878</v>
      </c>
      <c r="E59" s="364">
        <f t="shared" si="2"/>
        <v>1.0000001360476309</v>
      </c>
      <c r="F59" s="365">
        <f t="shared" si="3"/>
        <v>5.2162748302109142E-4</v>
      </c>
      <c r="G59" s="364">
        <f t="shared" si="4"/>
        <v>1.0000131474186558</v>
      </c>
      <c r="H59" s="365">
        <f t="shared" si="5"/>
        <v>-5.1278210990268356E-3</v>
      </c>
      <c r="I59" s="363">
        <f t="shared" si="6"/>
        <v>104.68551073365308</v>
      </c>
      <c r="J59" s="366">
        <f t="shared" si="7"/>
        <v>1.5612437611939975</v>
      </c>
      <c r="K59" s="374">
        <f t="shared" si="8"/>
        <v>1.061219665919195</v>
      </c>
      <c r="L59" s="375">
        <f t="shared" si="9"/>
        <v>0.34132497622100449</v>
      </c>
      <c r="M59" s="363">
        <f t="shared" si="10"/>
        <v>1.0000006084776232</v>
      </c>
      <c r="N59" s="366">
        <f t="shared" si="11"/>
        <v>1.103156665783589E-3</v>
      </c>
      <c r="O59" s="367">
        <f t="shared" si="12"/>
        <v>1.0000000016491557</v>
      </c>
      <c r="P59" s="368">
        <f t="shared" si="13"/>
        <v>3.3114990056127631E-4</v>
      </c>
      <c r="Q59" s="369">
        <f t="shared" si="14"/>
        <v>41.652726608508708</v>
      </c>
      <c r="R59" s="370">
        <f t="shared" si="15"/>
        <v>-97.420912538328921</v>
      </c>
      <c r="S59" s="392">
        <f t="shared" si="16"/>
        <v>82.579087461671079</v>
      </c>
      <c r="U59" s="345">
        <f t="shared" si="23"/>
        <v>1000000000</v>
      </c>
      <c r="V59" s="345">
        <f t="shared" si="24"/>
        <v>4786.2874890000012</v>
      </c>
      <c r="X59" s="371">
        <f t="shared" si="17"/>
        <v>48.215043312939734</v>
      </c>
      <c r="Y59" s="372">
        <f t="shared" si="18"/>
        <v>-69.95940402871129</v>
      </c>
      <c r="AA59" s="371">
        <f t="shared" si="19"/>
        <v>65.478883122128224</v>
      </c>
      <c r="AB59" s="372">
        <f t="shared" si="20"/>
        <v>-27.461508509617641</v>
      </c>
      <c r="AD59">
        <f t="shared" si="25"/>
        <v>0</v>
      </c>
      <c r="AE59">
        <f t="shared" si="26"/>
        <v>0</v>
      </c>
    </row>
    <row r="60" spans="1:31" x14ac:dyDescent="0.3">
      <c r="A60" s="373">
        <v>75.858000000000004</v>
      </c>
      <c r="B60" s="390">
        <f t="shared" si="22"/>
        <v>7.5858000000000009E-2</v>
      </c>
      <c r="C60" s="363">
        <f t="shared" si="0"/>
        <v>1.1475920637478345</v>
      </c>
      <c r="D60" s="364">
        <f t="shared" si="1"/>
        <v>0.51276821978650966</v>
      </c>
      <c r="E60" s="364">
        <f t="shared" si="2"/>
        <v>1.0000001635667306</v>
      </c>
      <c r="F60" s="365">
        <f t="shared" si="3"/>
        <v>5.7195578221625549E-4</v>
      </c>
      <c r="G60" s="364">
        <f t="shared" si="4"/>
        <v>1.0000158067982652</v>
      </c>
      <c r="H60" s="365">
        <f t="shared" si="5"/>
        <v>-5.6225599250755865E-3</v>
      </c>
      <c r="I60" s="363">
        <f t="shared" si="6"/>
        <v>114.78502689862957</v>
      </c>
      <c r="J60" s="366">
        <f t="shared" si="7"/>
        <v>1.5620842789164029</v>
      </c>
      <c r="K60" s="374">
        <f t="shared" si="8"/>
        <v>1.0731783419358405</v>
      </c>
      <c r="L60" s="375">
        <f t="shared" si="9"/>
        <v>0.37142368621143101</v>
      </c>
      <c r="M60" s="363">
        <f t="shared" si="10"/>
        <v>1.0000007315576911</v>
      </c>
      <c r="N60" s="366">
        <f t="shared" si="11"/>
        <v>1.2095926959877581E-3</v>
      </c>
      <c r="O60" s="367">
        <f t="shared" si="12"/>
        <v>1.00000000198274</v>
      </c>
      <c r="P60" s="368">
        <f t="shared" si="13"/>
        <v>3.6310031714822727E-4</v>
      </c>
      <c r="Q60" s="369">
        <f t="shared" si="14"/>
        <v>40.770589667620186</v>
      </c>
      <c r="R60" s="370">
        <f t="shared" si="15"/>
        <v>-97.978768742200145</v>
      </c>
      <c r="S60" s="392">
        <f t="shared" si="16"/>
        <v>82.021231257799855</v>
      </c>
      <c r="U60" s="345">
        <f t="shared" si="23"/>
        <v>1000000000</v>
      </c>
      <c r="V60" s="345">
        <f t="shared" si="24"/>
        <v>5754.4361640000006</v>
      </c>
      <c r="X60" s="371">
        <f t="shared" si="17"/>
        <v>47.512401161321336</v>
      </c>
      <c r="Y60" s="372">
        <f t="shared" si="18"/>
        <v>-68.289131428981634</v>
      </c>
      <c r="AA60" s="371">
        <f t="shared" si="19"/>
        <v>65.299388332858101</v>
      </c>
      <c r="AB60" s="372">
        <f t="shared" si="20"/>
        <v>-29.689637313218533</v>
      </c>
      <c r="AD60">
        <f t="shared" si="25"/>
        <v>0</v>
      </c>
      <c r="AE60">
        <f t="shared" si="26"/>
        <v>0</v>
      </c>
    </row>
    <row r="61" spans="1:31" x14ac:dyDescent="0.3">
      <c r="A61" s="373">
        <v>83.176000000000002</v>
      </c>
      <c r="B61" s="390">
        <f t="shared" si="22"/>
        <v>8.3176E-2</v>
      </c>
      <c r="C61" s="363">
        <f t="shared" si="0"/>
        <v>1.1751905862973309</v>
      </c>
      <c r="D61" s="364">
        <f t="shared" si="1"/>
        <v>0.55305105561611034</v>
      </c>
      <c r="E61" s="364">
        <f t="shared" si="2"/>
        <v>1.0000001966474192</v>
      </c>
      <c r="F61" s="365">
        <f t="shared" si="3"/>
        <v>6.2713218239941033E-4</v>
      </c>
      <c r="G61" s="364">
        <f t="shared" si="4"/>
        <v>1.0000190036271821</v>
      </c>
      <c r="H61" s="365">
        <f t="shared" si="5"/>
        <v>-6.1649535665520569E-3</v>
      </c>
      <c r="I61" s="363">
        <f t="shared" si="6"/>
        <v>125.85750280484517</v>
      </c>
      <c r="J61" s="366">
        <f t="shared" si="7"/>
        <v>1.5628507494568389</v>
      </c>
      <c r="K61" s="374">
        <f t="shared" si="8"/>
        <v>1.0873797982312978</v>
      </c>
      <c r="L61" s="375">
        <f t="shared" si="9"/>
        <v>0.40362863002950927</v>
      </c>
      <c r="M61" s="363">
        <f t="shared" si="10"/>
        <v>1.0000008795121305</v>
      </c>
      <c r="N61" s="366">
        <f t="shared" si="11"/>
        <v>1.3262816335492264E-3</v>
      </c>
      <c r="O61" s="367">
        <f t="shared" si="12"/>
        <v>1.0000000023837414</v>
      </c>
      <c r="P61" s="368">
        <f t="shared" si="13"/>
        <v>3.98128504590509E-4</v>
      </c>
      <c r="Q61" s="369">
        <f t="shared" si="14"/>
        <v>39.878510890685718</v>
      </c>
      <c r="R61" s="370">
        <f t="shared" si="15"/>
        <v>-98.52212163210649</v>
      </c>
      <c r="S61" s="392">
        <f t="shared" si="16"/>
        <v>81.47787836789351</v>
      </c>
      <c r="U61" s="345">
        <f t="shared" si="23"/>
        <v>1000000000</v>
      </c>
      <c r="V61" s="345">
        <f t="shared" si="24"/>
        <v>6918.2469760000004</v>
      </c>
      <c r="X61" s="371">
        <f t="shared" si="17"/>
        <v>46.826709688695118</v>
      </c>
      <c r="Y61" s="372">
        <f t="shared" si="18"/>
        <v>-66.494525377425418</v>
      </c>
      <c r="AA61" s="371">
        <f t="shared" si="19"/>
        <v>65.09300102854985</v>
      </c>
      <c r="AB61" s="372">
        <f t="shared" si="20"/>
        <v>-32.027596254681079</v>
      </c>
      <c r="AD61">
        <f t="shared" si="25"/>
        <v>0</v>
      </c>
      <c r="AE61">
        <f t="shared" si="26"/>
        <v>0</v>
      </c>
    </row>
    <row r="62" spans="1:31" x14ac:dyDescent="0.3">
      <c r="A62" s="373">
        <v>91.201000000000008</v>
      </c>
      <c r="B62" s="390">
        <f t="shared" si="22"/>
        <v>9.1201000000000004E-2</v>
      </c>
      <c r="C62" s="363">
        <f t="shared" si="0"/>
        <v>1.2075403607100035</v>
      </c>
      <c r="D62" s="364">
        <f t="shared" si="1"/>
        <v>0.59503359220591467</v>
      </c>
      <c r="E62" s="364">
        <f t="shared" si="2"/>
        <v>1.0000002364239025</v>
      </c>
      <c r="F62" s="365">
        <f t="shared" si="3"/>
        <v>6.8763923067146075E-4</v>
      </c>
      <c r="G62" s="364">
        <f t="shared" si="4"/>
        <v>1.0000228475062991</v>
      </c>
      <c r="H62" s="365">
        <f t="shared" si="5"/>
        <v>-6.7597442703811947E-3</v>
      </c>
      <c r="I62" s="363">
        <f t="shared" si="6"/>
        <v>137.999773442687</v>
      </c>
      <c r="J62" s="366">
        <f t="shared" si="7"/>
        <v>1.5635498746671062</v>
      </c>
      <c r="K62" s="374">
        <f t="shared" si="8"/>
        <v>1.1042139270479825</v>
      </c>
      <c r="L62" s="375">
        <f t="shared" si="9"/>
        <v>0.43795311807444287</v>
      </c>
      <c r="M62" s="363">
        <f t="shared" si="10"/>
        <v>1.0000010574137022</v>
      </c>
      <c r="N62" s="366">
        <f t="shared" si="11"/>
        <v>1.4542439756127182E-3</v>
      </c>
      <c r="O62" s="367">
        <f t="shared" si="12"/>
        <v>1.0000000028659088</v>
      </c>
      <c r="P62" s="368">
        <f t="shared" si="13"/>
        <v>4.3654080412229562E-4</v>
      </c>
      <c r="Q62" s="369">
        <f t="shared" si="14"/>
        <v>38.976129987605802</v>
      </c>
      <c r="R62" s="370">
        <f t="shared" si="15"/>
        <v>-99.0410971808341</v>
      </c>
      <c r="S62" s="392">
        <f t="shared" si="16"/>
        <v>80.9589028191659</v>
      </c>
      <c r="U62" s="345">
        <f t="shared" si="23"/>
        <v>1000000000</v>
      </c>
      <c r="V62" s="345">
        <f t="shared" si="24"/>
        <v>8317.6224010000005</v>
      </c>
      <c r="X62" s="371">
        <f t="shared" si="17"/>
        <v>46.160162088342538</v>
      </c>
      <c r="Y62" s="372">
        <f t="shared" si="18"/>
        <v>-64.575265702346755</v>
      </c>
      <c r="AA62" s="371">
        <f t="shared" si="19"/>
        <v>64.857167725822521</v>
      </c>
      <c r="AB62" s="372">
        <f t="shared" si="20"/>
        <v>-34.465831478487317</v>
      </c>
      <c r="AD62">
        <f t="shared" si="25"/>
        <v>0</v>
      </c>
      <c r="AE62">
        <f t="shared" si="26"/>
        <v>0</v>
      </c>
    </row>
    <row r="63" spans="1:31" x14ac:dyDescent="0.3">
      <c r="A63" s="373">
        <v>100</v>
      </c>
      <c r="B63" s="390">
        <f t="shared" si="22"/>
        <v>0.1</v>
      </c>
      <c r="C63" s="363">
        <f t="shared" si="0"/>
        <v>1.2453204167303877</v>
      </c>
      <c r="D63" s="364">
        <f t="shared" si="1"/>
        <v>0.63847392685472071</v>
      </c>
      <c r="E63" s="364">
        <f t="shared" si="2"/>
        <v>1.0000002842445657</v>
      </c>
      <c r="F63" s="365">
        <f t="shared" si="3"/>
        <v>7.5398209312312623E-4</v>
      </c>
      <c r="G63" s="364">
        <f t="shared" si="4"/>
        <v>1.0000274687313353</v>
      </c>
      <c r="H63" s="365">
        <f t="shared" si="5"/>
        <v>-7.4118961911212675E-3</v>
      </c>
      <c r="I63" s="363">
        <f t="shared" si="6"/>
        <v>151.31321354287664</v>
      </c>
      <c r="J63" s="366">
        <f t="shared" si="7"/>
        <v>1.5641874705283514</v>
      </c>
      <c r="K63" s="374">
        <f t="shared" si="8"/>
        <v>1.12411882180699</v>
      </c>
      <c r="L63" s="375">
        <f t="shared" si="9"/>
        <v>0.47435904078982527</v>
      </c>
      <c r="M63" s="363">
        <f t="shared" si="10"/>
        <v>1.0000012712930908</v>
      </c>
      <c r="N63" s="366">
        <f t="shared" si="11"/>
        <v>1.5945480512907771E-3</v>
      </c>
      <c r="O63" s="367">
        <f t="shared" si="12"/>
        <v>1.0000000034455876</v>
      </c>
      <c r="P63" s="368">
        <f t="shared" si="13"/>
        <v>4.786579167703111E-4</v>
      </c>
      <c r="Q63" s="369">
        <f t="shared" si="14"/>
        <v>38.063789976605882</v>
      </c>
      <c r="R63" s="370">
        <f t="shared" si="15"/>
        <v>-99.52468719923796</v>
      </c>
      <c r="S63" s="392">
        <f t="shared" si="16"/>
        <v>80.47531280076204</v>
      </c>
      <c r="U63" s="345">
        <f t="shared" si="23"/>
        <v>1000000000</v>
      </c>
      <c r="V63" s="345">
        <f t="shared" si="24"/>
        <v>10000</v>
      </c>
      <c r="X63" s="371">
        <f t="shared" si="17"/>
        <v>45.515370585144041</v>
      </c>
      <c r="Y63" s="372">
        <f t="shared" si="18"/>
        <v>-62.533930362412519</v>
      </c>
      <c r="AA63" s="371">
        <f t="shared" si="19"/>
        <v>64.589619218021099</v>
      </c>
      <c r="AB63" s="372">
        <f t="shared" si="20"/>
        <v>-36.990756836825426</v>
      </c>
      <c r="AD63">
        <f t="shared" si="25"/>
        <v>0</v>
      </c>
      <c r="AE63">
        <f t="shared" si="26"/>
        <v>0</v>
      </c>
    </row>
    <row r="64" spans="1:31" x14ac:dyDescent="0.3">
      <c r="A64" s="373">
        <v>109.65</v>
      </c>
      <c r="B64" s="390">
        <f t="shared" si="22"/>
        <v>0.10965000000000001</v>
      </c>
      <c r="C64" s="363">
        <f t="shared" si="0"/>
        <v>1.2892870777039624</v>
      </c>
      <c r="D64" s="364">
        <f t="shared" si="1"/>
        <v>0.68309568881699267</v>
      </c>
      <c r="E64" s="364">
        <f t="shared" si="2"/>
        <v>1.0000003417507135</v>
      </c>
      <c r="F64" s="365">
        <f t="shared" si="3"/>
        <v>8.2674133341437519E-4</v>
      </c>
      <c r="G64" s="364">
        <f t="shared" si="4"/>
        <v>1.0000330259004124</v>
      </c>
      <c r="H64" s="365">
        <f t="shared" si="5"/>
        <v>-8.1271140650118999E-3</v>
      </c>
      <c r="I64" s="363">
        <f t="shared" si="6"/>
        <v>165.91432896198279</v>
      </c>
      <c r="J64" s="366">
        <f t="shared" si="7"/>
        <v>1.5647690833320043</v>
      </c>
      <c r="K64" s="374">
        <f t="shared" si="8"/>
        <v>1.1475980827214352</v>
      </c>
      <c r="L64" s="375">
        <f t="shared" si="9"/>
        <v>0.51277753561819994</v>
      </c>
      <c r="M64" s="363">
        <f t="shared" si="10"/>
        <v>1.0000015284910597</v>
      </c>
      <c r="N64" s="366">
        <f t="shared" si="11"/>
        <v>1.7484216384469563E-3</v>
      </c>
      <c r="O64" s="367">
        <f t="shared" si="12"/>
        <v>1.0000000041426738</v>
      </c>
      <c r="P64" s="368">
        <f t="shared" si="13"/>
        <v>5.2484840942745002E-4</v>
      </c>
      <c r="Q64" s="369">
        <f t="shared" si="14"/>
        <v>37.141877160460226</v>
      </c>
      <c r="R64" s="370">
        <f t="shared" si="15"/>
        <v>-99.961705180284397</v>
      </c>
      <c r="S64" s="392">
        <f t="shared" si="16"/>
        <v>80.038294819715603</v>
      </c>
      <c r="U64" s="345">
        <f t="shared" si="23"/>
        <v>1000000000</v>
      </c>
      <c r="V64" s="345">
        <f t="shared" si="24"/>
        <v>12023.122500000001</v>
      </c>
      <c r="X64" s="371">
        <f t="shared" si="17"/>
        <v>44.894779438432579</v>
      </c>
      <c r="Y64" s="372">
        <f t="shared" si="18"/>
        <v>-60.374853017117026</v>
      </c>
      <c r="AA64" s="371">
        <f t="shared" si="19"/>
        <v>64.288297548586897</v>
      </c>
      <c r="AB64" s="372">
        <f t="shared" si="20"/>
        <v>-39.586852163167357</v>
      </c>
      <c r="AD64">
        <f t="shared" si="25"/>
        <v>0</v>
      </c>
      <c r="AE64">
        <f t="shared" si="26"/>
        <v>0</v>
      </c>
    </row>
    <row r="65" spans="1:31" x14ac:dyDescent="0.3">
      <c r="A65" s="373">
        <v>120.23</v>
      </c>
      <c r="B65" s="390">
        <f t="shared" si="22"/>
        <v>0.12023</v>
      </c>
      <c r="C65" s="363">
        <f t="shared" si="0"/>
        <v>1.3402344908831207</v>
      </c>
      <c r="D65" s="364">
        <f t="shared" si="1"/>
        <v>0.72855374290007202</v>
      </c>
      <c r="E65" s="364">
        <f t="shared" si="2"/>
        <v>1.0000004108826823</v>
      </c>
      <c r="F65" s="365">
        <f t="shared" si="3"/>
        <v>9.065125940292527E-4</v>
      </c>
      <c r="G65" s="364">
        <f t="shared" si="4"/>
        <v>1.0000397065028732</v>
      </c>
      <c r="H65" s="365">
        <f t="shared" si="5"/>
        <v>-8.9112500895174168E-3</v>
      </c>
      <c r="I65" s="363">
        <f t="shared" si="6"/>
        <v>181.9226521557504</v>
      </c>
      <c r="J65" s="366">
        <f t="shared" si="7"/>
        <v>1.565299457526026</v>
      </c>
      <c r="K65" s="374">
        <f t="shared" si="8"/>
        <v>1.1752033039026812</v>
      </c>
      <c r="L65" s="375">
        <f t="shared" si="9"/>
        <v>0.55306858562487782</v>
      </c>
      <c r="M65" s="363">
        <f t="shared" si="10"/>
        <v>1.0000018376857933</v>
      </c>
      <c r="N65" s="366">
        <f t="shared" si="11"/>
        <v>1.9171243981707439E-3</v>
      </c>
      <c r="O65" s="367">
        <f t="shared" si="12"/>
        <v>1.0000000049806881</v>
      </c>
      <c r="P65" s="368">
        <f t="shared" si="13"/>
        <v>5.754904222401194E-4</v>
      </c>
      <c r="Q65" s="369">
        <f t="shared" si="14"/>
        <v>36.211716001088135</v>
      </c>
      <c r="R65" s="370">
        <f t="shared" si="15"/>
        <v>-100.34106556783591</v>
      </c>
      <c r="S65" s="392">
        <f t="shared" si="16"/>
        <v>79.658934432164088</v>
      </c>
      <c r="U65" s="345">
        <f t="shared" si="23"/>
        <v>1000000000</v>
      </c>
      <c r="V65" s="345">
        <f t="shared" si="24"/>
        <v>14455.252900000001</v>
      </c>
      <c r="X65" s="371">
        <f t="shared" si="17"/>
        <v>44.301182870328908</v>
      </c>
      <c r="Y65" s="372">
        <f t="shared" si="18"/>
        <v>-58.106400055996247</v>
      </c>
      <c r="AA65" s="371">
        <f t="shared" si="19"/>
        <v>63.951732957318477</v>
      </c>
      <c r="AB65" s="372">
        <f t="shared" si="20"/>
        <v>-42.234665511839687</v>
      </c>
      <c r="AD65">
        <f t="shared" si="25"/>
        <v>0</v>
      </c>
      <c r="AE65">
        <f t="shared" si="26"/>
        <v>0</v>
      </c>
    </row>
    <row r="66" spans="1:31" x14ac:dyDescent="0.3">
      <c r="A66" s="373">
        <v>131.83000000000001</v>
      </c>
      <c r="B66" s="390">
        <f t="shared" si="22"/>
        <v>0.13183</v>
      </c>
      <c r="C66" s="363">
        <f t="shared" si="0"/>
        <v>1.3990294456319885</v>
      </c>
      <c r="D66" s="364">
        <f t="shared" si="1"/>
        <v>0.77448507788416954</v>
      </c>
      <c r="E66" s="364">
        <f t="shared" si="2"/>
        <v>1.0000004939928113</v>
      </c>
      <c r="F66" s="365">
        <f t="shared" si="3"/>
        <v>9.939744543746487E-4</v>
      </c>
      <c r="G66" s="364">
        <f t="shared" si="4"/>
        <v>1.0000477378334021</v>
      </c>
      <c r="H66" s="365">
        <f t="shared" si="5"/>
        <v>-9.7709707189687391E-3</v>
      </c>
      <c r="I66" s="363">
        <f t="shared" si="6"/>
        <v>199.47435977367655</v>
      </c>
      <c r="J66" s="366">
        <f t="shared" si="7"/>
        <v>1.565783130162322</v>
      </c>
      <c r="K66" s="374">
        <f t="shared" si="8"/>
        <v>1.207555097510413</v>
      </c>
      <c r="L66" s="375">
        <f t="shared" si="9"/>
        <v>0.59505162175445547</v>
      </c>
      <c r="M66" s="363">
        <f t="shared" si="10"/>
        <v>1.0000022093981555</v>
      </c>
      <c r="N66" s="366">
        <f t="shared" si="11"/>
        <v>2.1020913813628505E-3</v>
      </c>
      <c r="O66" s="367">
        <f t="shared" si="12"/>
        <v>1.0000000059881462</v>
      </c>
      <c r="P66" s="368">
        <f t="shared" si="13"/>
        <v>6.3101474785445485E-4</v>
      </c>
      <c r="Q66" s="369">
        <f t="shared" si="14"/>
        <v>35.274734956977561</v>
      </c>
      <c r="R66" s="370">
        <f t="shared" si="15"/>
        <v>-100.65302513470435</v>
      </c>
      <c r="S66" s="392">
        <f t="shared" si="16"/>
        <v>79.34697486529565</v>
      </c>
      <c r="U66" s="345">
        <f t="shared" si="23"/>
        <v>1000000000</v>
      </c>
      <c r="V66" s="345">
        <f t="shared" si="24"/>
        <v>17379.148900000004</v>
      </c>
      <c r="X66" s="371">
        <f t="shared" si="17"/>
        <v>43.737052656262065</v>
      </c>
      <c r="Y66" s="372">
        <f t="shared" si="18"/>
        <v>-55.739259500133237</v>
      </c>
      <c r="AA66" s="371">
        <f t="shared" si="19"/>
        <v>63.578882127274746</v>
      </c>
      <c r="AB66" s="372">
        <f t="shared" si="20"/>
        <v>-44.913765634571121</v>
      </c>
      <c r="AD66">
        <f t="shared" si="25"/>
        <v>0</v>
      </c>
      <c r="AE66">
        <f t="shared" si="26"/>
        <v>0</v>
      </c>
    </row>
    <row r="67" spans="1:31" x14ac:dyDescent="0.3">
      <c r="A67" s="373">
        <v>144.54</v>
      </c>
      <c r="B67" s="390">
        <f t="shared" si="22"/>
        <v>0.14454</v>
      </c>
      <c r="C67" s="363">
        <f t="shared" si="0"/>
        <v>1.4665500023606204</v>
      </c>
      <c r="D67" s="364">
        <f t="shared" si="1"/>
        <v>0.82047693513779807</v>
      </c>
      <c r="E67" s="364">
        <f t="shared" si="2"/>
        <v>1.0000005938382996</v>
      </c>
      <c r="F67" s="365">
        <f t="shared" si="3"/>
        <v>1.0898054924689147E-3</v>
      </c>
      <c r="G67" s="364">
        <f t="shared" si="4"/>
        <v>1.0000573862975772</v>
      </c>
      <c r="H67" s="365">
        <f t="shared" si="5"/>
        <v>-1.0712941089080639E-2</v>
      </c>
      <c r="I67" s="363">
        <f t="shared" si="6"/>
        <v>218.70562880702829</v>
      </c>
      <c r="J67" s="366">
        <f t="shared" si="7"/>
        <v>1.5662239548358661</v>
      </c>
      <c r="K67" s="374">
        <f t="shared" si="8"/>
        <v>1.2453105037873962</v>
      </c>
      <c r="L67" s="375">
        <f t="shared" si="9"/>
        <v>0.63846320124263112</v>
      </c>
      <c r="M67" s="363">
        <f t="shared" si="10"/>
        <v>1.0000026559597353</v>
      </c>
      <c r="N67" s="366">
        <f t="shared" si="11"/>
        <v>2.3047576257904322E-3</v>
      </c>
      <c r="O67" s="367">
        <f t="shared" si="12"/>
        <v>1.0000000071984709</v>
      </c>
      <c r="P67" s="368">
        <f t="shared" si="13"/>
        <v>6.9185217907819549E-4</v>
      </c>
      <c r="Q67" s="369">
        <f t="shared" si="14"/>
        <v>34.333371641421785</v>
      </c>
      <c r="R67" s="370">
        <f t="shared" si="15"/>
        <v>-100.88969941531164</v>
      </c>
      <c r="S67" s="392">
        <f t="shared" si="16"/>
        <v>79.11030058468836</v>
      </c>
      <c r="U67" s="345">
        <f t="shared" si="23"/>
        <v>1000000000</v>
      </c>
      <c r="V67" s="345">
        <f t="shared" si="24"/>
        <v>20891.811599999997</v>
      </c>
      <c r="X67" s="371">
        <f t="shared" si="17"/>
        <v>43.205005076384126</v>
      </c>
      <c r="Y67" s="372">
        <f t="shared" si="18"/>
        <v>-53.288828524418832</v>
      </c>
      <c r="AA67" s="371">
        <f t="shared" si="19"/>
        <v>63.169566391596909</v>
      </c>
      <c r="AB67" s="372">
        <f t="shared" si="20"/>
        <v>-47.600870890892814</v>
      </c>
      <c r="AD67">
        <f t="shared" si="25"/>
        <v>0</v>
      </c>
      <c r="AE67">
        <f t="shared" si="26"/>
        <v>0</v>
      </c>
    </row>
    <row r="68" spans="1:31" x14ac:dyDescent="0.3">
      <c r="A68" s="373">
        <v>158.49</v>
      </c>
      <c r="B68" s="390">
        <f t="shared" si="22"/>
        <v>0.15849000000000002</v>
      </c>
      <c r="C68" s="363">
        <f t="shared" si="0"/>
        <v>1.5438965496092969</v>
      </c>
      <c r="D68" s="364">
        <f t="shared" si="1"/>
        <v>0.86621908844869544</v>
      </c>
      <c r="E68" s="364">
        <f t="shared" si="2"/>
        <v>1.0000007139960481</v>
      </c>
      <c r="F68" s="365">
        <f t="shared" si="3"/>
        <v>1.1949858770262845E-3</v>
      </c>
      <c r="G68" s="364">
        <f t="shared" si="4"/>
        <v>1.000068997493595</v>
      </c>
      <c r="H68" s="365">
        <f t="shared" si="5"/>
        <v>-1.1746789060569102E-2</v>
      </c>
      <c r="I68" s="363">
        <f t="shared" si="6"/>
        <v>239.81315990243093</v>
      </c>
      <c r="J68" s="366">
        <f t="shared" si="7"/>
        <v>1.5666264017646834</v>
      </c>
      <c r="K68" s="374">
        <f t="shared" si="8"/>
        <v>1.289281691030788</v>
      </c>
      <c r="L68" s="375">
        <f t="shared" si="9"/>
        <v>0.68309055477359493</v>
      </c>
      <c r="M68" s="363">
        <f t="shared" si="10"/>
        <v>1.0000031933682287</v>
      </c>
      <c r="N68" s="366">
        <f t="shared" si="11"/>
        <v>2.5271959681869528E-3</v>
      </c>
      <c r="O68" s="367">
        <f t="shared" si="12"/>
        <v>1.0000000086550229</v>
      </c>
      <c r="P68" s="368">
        <f t="shared" si="13"/>
        <v>7.5862497213501068E-4</v>
      </c>
      <c r="Q68" s="369">
        <f t="shared" si="14"/>
        <v>33.38818467929751</v>
      </c>
      <c r="R68" s="370">
        <f t="shared" si="15"/>
        <v>-101.04641055913366</v>
      </c>
      <c r="S68" s="392">
        <f t="shared" si="16"/>
        <v>78.953589440866338</v>
      </c>
      <c r="U68" s="345">
        <f t="shared" si="23"/>
        <v>1000000000</v>
      </c>
      <c r="V68" s="345">
        <f t="shared" si="24"/>
        <v>25119.080100000003</v>
      </c>
      <c r="X68" s="371">
        <f t="shared" si="17"/>
        <v>42.706142669691914</v>
      </c>
      <c r="Y68" s="372">
        <f t="shared" si="18"/>
        <v>-50.767672802095952</v>
      </c>
      <c r="AA68" s="371">
        <f t="shared" si="19"/>
        <v>62.723241836164839</v>
      </c>
      <c r="AB68" s="372">
        <f t="shared" si="20"/>
        <v>-50.278737757037717</v>
      </c>
      <c r="AD68">
        <f t="shared" si="25"/>
        <v>0</v>
      </c>
      <c r="AE68">
        <f t="shared" si="26"/>
        <v>0</v>
      </c>
    </row>
    <row r="69" spans="1:31" x14ac:dyDescent="0.3">
      <c r="A69" s="373">
        <v>173.78</v>
      </c>
      <c r="B69" s="390">
        <f t="shared" si="22"/>
        <v>0.17377999999999999</v>
      </c>
      <c r="C69" s="363">
        <f t="shared" si="0"/>
        <v>1.6320101408022938</v>
      </c>
      <c r="D69" s="364">
        <f t="shared" si="1"/>
        <v>0.91127163792143762</v>
      </c>
      <c r="E69" s="364">
        <f t="shared" si="2"/>
        <v>1.0000008584038</v>
      </c>
      <c r="F69" s="365">
        <f t="shared" si="3"/>
        <v>1.3102695798938972E-3</v>
      </c>
      <c r="G69" s="364">
        <f t="shared" si="4"/>
        <v>1.0000829518621492</v>
      </c>
      <c r="H69" s="365">
        <f t="shared" si="5"/>
        <v>-1.2879916799335599E-2</v>
      </c>
      <c r="I69" s="363">
        <f t="shared" si="6"/>
        <v>262.94826156033361</v>
      </c>
      <c r="J69" s="366">
        <f t="shared" si="7"/>
        <v>1.5669932881112132</v>
      </c>
      <c r="K69" s="374">
        <f t="shared" si="8"/>
        <v>1.340219665260407</v>
      </c>
      <c r="L69" s="375">
        <f t="shared" si="9"/>
        <v>0.72854134577113971</v>
      </c>
      <c r="M69" s="363">
        <f t="shared" si="10"/>
        <v>1.0000038392351653</v>
      </c>
      <c r="N69" s="366">
        <f t="shared" si="11"/>
        <v>2.7710008596914773E-3</v>
      </c>
      <c r="O69" s="367">
        <f t="shared" si="12"/>
        <v>1.0000000104055362</v>
      </c>
      <c r="P69" s="368">
        <f t="shared" si="13"/>
        <v>8.3181178613414108E-4</v>
      </c>
      <c r="Q69" s="369">
        <f t="shared" si="14"/>
        <v>32.442825947970874</v>
      </c>
      <c r="R69" s="370">
        <f t="shared" si="15"/>
        <v>-101.12109449416369</v>
      </c>
      <c r="S69" s="392">
        <f t="shared" si="16"/>
        <v>78.878905505836315</v>
      </c>
      <c r="U69" s="345">
        <f t="shared" si="23"/>
        <v>1000000000</v>
      </c>
      <c r="V69" s="345">
        <f t="shared" si="24"/>
        <v>30199.488400000002</v>
      </c>
      <c r="X69" s="371">
        <f t="shared" si="17"/>
        <v>42.242754629856861</v>
      </c>
      <c r="Y69" s="372">
        <f t="shared" si="18"/>
        <v>-48.198524329994747</v>
      </c>
      <c r="AA69" s="371">
        <f t="shared" si="19"/>
        <v>62.241271144673263</v>
      </c>
      <c r="AB69" s="372">
        <f t="shared" si="20"/>
        <v>-52.922570164168924</v>
      </c>
      <c r="AD69">
        <f t="shared" si="25"/>
        <v>0</v>
      </c>
      <c r="AE69">
        <f t="shared" si="26"/>
        <v>0</v>
      </c>
    </row>
    <row r="70" spans="1:31" x14ac:dyDescent="0.3">
      <c r="A70" s="373">
        <v>190.55</v>
      </c>
      <c r="B70" s="390">
        <f t="shared" si="22"/>
        <v>0.19055000000000002</v>
      </c>
      <c r="C70" s="363">
        <f t="shared" si="0"/>
        <v>1.7320507141599439</v>
      </c>
      <c r="D70" s="364">
        <f t="shared" si="1"/>
        <v>0.95531657999046937</v>
      </c>
      <c r="E70" s="364">
        <f t="shared" si="2"/>
        <v>1.000001032071806</v>
      </c>
      <c r="F70" s="365">
        <f t="shared" si="3"/>
        <v>1.43671216217129E-3</v>
      </c>
      <c r="G70" s="364">
        <f t="shared" si="4"/>
        <v>1.0000997334439794</v>
      </c>
      <c r="H70" s="365">
        <f t="shared" si="5"/>
        <v>-1.4122687826207042E-2</v>
      </c>
      <c r="I70" s="363">
        <f t="shared" si="6"/>
        <v>288.32276596804383</v>
      </c>
      <c r="J70" s="366">
        <f t="shared" si="7"/>
        <v>1.5673279846348702</v>
      </c>
      <c r="K70" s="374">
        <f t="shared" si="8"/>
        <v>1.3990245886796997</v>
      </c>
      <c r="L70" s="375">
        <f t="shared" si="9"/>
        <v>0.77448152959491878</v>
      </c>
      <c r="M70" s="363">
        <f t="shared" si="10"/>
        <v>1.0000046159688205</v>
      </c>
      <c r="N70" s="366">
        <f t="shared" si="11"/>
        <v>3.0384045367563735E-3</v>
      </c>
      <c r="O70" s="367">
        <f t="shared" si="12"/>
        <v>1.0000000125107475</v>
      </c>
      <c r="P70" s="368">
        <f t="shared" si="13"/>
        <v>9.120827437687568E-4</v>
      </c>
      <c r="Q70" s="369">
        <f t="shared" si="14"/>
        <v>31.499026015837472</v>
      </c>
      <c r="R70" s="370">
        <f t="shared" si="15"/>
        <v>-101.11556303631427</v>
      </c>
      <c r="S70" s="392">
        <f t="shared" si="16"/>
        <v>78.884436963685729</v>
      </c>
      <c r="U70" s="345">
        <f t="shared" si="23"/>
        <v>1000000000</v>
      </c>
      <c r="V70" s="345">
        <f t="shared" si="24"/>
        <v>36309.302500000005</v>
      </c>
      <c r="X70" s="371">
        <f t="shared" si="17"/>
        <v>41.815562476729013</v>
      </c>
      <c r="Y70" s="372">
        <f t="shared" si="18"/>
        <v>-45.600843484214096</v>
      </c>
      <c r="AA70" s="371">
        <f t="shared" si="19"/>
        <v>61.724663365667709</v>
      </c>
      <c r="AB70" s="372">
        <f t="shared" si="20"/>
        <v>-55.514719552100196</v>
      </c>
      <c r="AD70">
        <f t="shared" si="25"/>
        <v>0</v>
      </c>
      <c r="AE70">
        <f t="shared" si="26"/>
        <v>0</v>
      </c>
    </row>
    <row r="71" spans="1:31" x14ac:dyDescent="0.3">
      <c r="A71" s="373">
        <v>208.93</v>
      </c>
      <c r="B71" s="390">
        <f t="shared" si="22"/>
        <v>0.20893</v>
      </c>
      <c r="C71" s="363">
        <f t="shared" si="0"/>
        <v>1.8451119878250932</v>
      </c>
      <c r="D71" s="364">
        <f t="shared" si="1"/>
        <v>0.99801385389643893</v>
      </c>
      <c r="E71" s="364">
        <f t="shared" si="2"/>
        <v>1.0000012407765337</v>
      </c>
      <c r="F71" s="365">
        <f t="shared" si="3"/>
        <v>1.5752937826164813E-3</v>
      </c>
      <c r="G71" s="364">
        <f t="shared" si="4"/>
        <v>1.0001199002640908</v>
      </c>
      <c r="H71" s="365">
        <f t="shared" si="5"/>
        <v>-1.5484720549966375E-2</v>
      </c>
      <c r="I71" s="363">
        <f t="shared" si="6"/>
        <v>316.13337470318862</v>
      </c>
      <c r="J71" s="366">
        <f t="shared" si="7"/>
        <v>1.5676330996645487</v>
      </c>
      <c r="K71" s="374">
        <f t="shared" si="8"/>
        <v>1.4665770508480911</v>
      </c>
      <c r="L71" s="375">
        <f t="shared" si="9"/>
        <v>0.82049412769823904</v>
      </c>
      <c r="M71" s="363">
        <f t="shared" si="10"/>
        <v>1.0000055494042985</v>
      </c>
      <c r="N71" s="366">
        <f t="shared" si="11"/>
        <v>3.3314797419448186E-3</v>
      </c>
      <c r="O71" s="367">
        <f t="shared" si="12"/>
        <v>1.0000000150406823</v>
      </c>
      <c r="P71" s="368">
        <f t="shared" si="13"/>
        <v>1.0000601024212758E-3</v>
      </c>
      <c r="Q71" s="369">
        <f t="shared" si="14"/>
        <v>30.55971482530202</v>
      </c>
      <c r="R71" s="370">
        <f t="shared" si="15"/>
        <v>-101.03502204380432</v>
      </c>
      <c r="S71" s="372">
        <f t="shared" si="16"/>
        <v>78.964977956195682</v>
      </c>
      <c r="U71" s="345">
        <f t="shared" si="23"/>
        <v>1000000000</v>
      </c>
      <c r="V71" s="345">
        <f t="shared" si="24"/>
        <v>43651.744900000005</v>
      </c>
      <c r="X71" s="371">
        <f t="shared" si="17"/>
        <v>41.425316879177061</v>
      </c>
      <c r="Y71" s="372">
        <f t="shared" si="18"/>
        <v>-42.998789581292719</v>
      </c>
      <c r="AA71" s="371">
        <f t="shared" si="19"/>
        <v>61.175597772684213</v>
      </c>
      <c r="AB71" s="372">
        <f t="shared" si="20"/>
        <v>-58.036232462511585</v>
      </c>
      <c r="AD71">
        <f t="shared" si="25"/>
        <v>0</v>
      </c>
      <c r="AE71">
        <f t="shared" si="26"/>
        <v>0</v>
      </c>
    </row>
    <row r="72" spans="1:31" x14ac:dyDescent="0.3">
      <c r="A72" s="373">
        <v>229.09</v>
      </c>
      <c r="B72" s="390">
        <f t="shared" si="22"/>
        <v>0.22909000000000002</v>
      </c>
      <c r="C72" s="363">
        <f t="shared" si="0"/>
        <v>1.9725216145045918</v>
      </c>
      <c r="D72" s="364">
        <f t="shared" si="1"/>
        <v>1.0391358741918462</v>
      </c>
      <c r="E72" s="364">
        <f t="shared" si="2"/>
        <v>1.0000014917779125</v>
      </c>
      <c r="F72" s="365">
        <f t="shared" si="3"/>
        <v>1.7272961866242854E-3</v>
      </c>
      <c r="G72" s="364">
        <f t="shared" si="4"/>
        <v>1.0001441536121973</v>
      </c>
      <c r="H72" s="365">
        <f t="shared" si="5"/>
        <v>-1.6978592252637665E-2</v>
      </c>
      <c r="I72" s="363">
        <f t="shared" si="6"/>
        <v>346.63731319624117</v>
      </c>
      <c r="J72" s="366">
        <f t="shared" si="7"/>
        <v>1.5679114631376818</v>
      </c>
      <c r="K72" s="374">
        <f t="shared" si="8"/>
        <v>1.5439099278010293</v>
      </c>
      <c r="L72" s="375">
        <f t="shared" si="9"/>
        <v>0.86622645503397888</v>
      </c>
      <c r="M72" s="363">
        <f t="shared" si="10"/>
        <v>1.0000066720113803</v>
      </c>
      <c r="N72" s="366">
        <f t="shared" si="11"/>
        <v>3.6529369783943042E-3</v>
      </c>
      <c r="O72" s="367">
        <f t="shared" si="12"/>
        <v>1.0000000180833497</v>
      </c>
      <c r="P72" s="368">
        <f t="shared" si="13"/>
        <v>1.0965575833624627E-3</v>
      </c>
      <c r="Q72" s="369">
        <f t="shared" si="14"/>
        <v>29.62617930906411</v>
      </c>
      <c r="R72" s="370">
        <f t="shared" si="15"/>
        <v>-100.8876504489522</v>
      </c>
      <c r="S72" s="372">
        <f t="shared" si="16"/>
        <v>79.112349551047799</v>
      </c>
      <c r="U72" s="345">
        <f t="shared" si="23"/>
        <v>1000000000</v>
      </c>
      <c r="V72" s="345">
        <f t="shared" si="24"/>
        <v>52482.2281</v>
      </c>
      <c r="X72" s="371">
        <f t="shared" si="17"/>
        <v>41.071549381426436</v>
      </c>
      <c r="Y72" s="372">
        <f t="shared" si="18"/>
        <v>-40.412887429812855</v>
      </c>
      <c r="AA72" s="371">
        <f t="shared" si="19"/>
        <v>60.595829754196913</v>
      </c>
      <c r="AB72" s="372">
        <f t="shared" si="20"/>
        <v>-60.474763019139324</v>
      </c>
      <c r="AD72">
        <f t="shared" si="25"/>
        <v>0</v>
      </c>
      <c r="AE72">
        <f t="shared" si="26"/>
        <v>0</v>
      </c>
    </row>
    <row r="73" spans="1:31" x14ac:dyDescent="0.3">
      <c r="A73" s="373">
        <v>251.19</v>
      </c>
      <c r="B73" s="390">
        <f t="shared" si="22"/>
        <v>0.25119000000000002</v>
      </c>
      <c r="C73" s="363">
        <f t="shared" si="0"/>
        <v>2.1155366562696605</v>
      </c>
      <c r="D73" s="364">
        <f t="shared" si="1"/>
        <v>1.0784517403182536</v>
      </c>
      <c r="E73" s="364">
        <f t="shared" si="2"/>
        <v>1.0000017934799859</v>
      </c>
      <c r="F73" s="365">
        <f t="shared" si="3"/>
        <v>1.8939257141299601E-3</v>
      </c>
      <c r="G73" s="364">
        <f t="shared" si="4"/>
        <v>1.0001733052132691</v>
      </c>
      <c r="H73" s="365">
        <f t="shared" si="5"/>
        <v>-1.8616132146919491E-2</v>
      </c>
      <c r="I73" s="363">
        <f t="shared" si="6"/>
        <v>380.076676201417</v>
      </c>
      <c r="J73" s="366">
        <f t="shared" si="7"/>
        <v>1.5681652757034865</v>
      </c>
      <c r="K73" s="374">
        <f t="shared" si="8"/>
        <v>1.6320213341443415</v>
      </c>
      <c r="L73" s="375">
        <f t="shared" si="9"/>
        <v>0.91127695566322742</v>
      </c>
      <c r="M73" s="363">
        <f t="shared" si="10"/>
        <v>1.0000080213767115</v>
      </c>
      <c r="N73" s="366">
        <f t="shared" si="11"/>
        <v>4.0053272258623604E-3</v>
      </c>
      <c r="O73" s="367">
        <f t="shared" si="12"/>
        <v>1.0000000217406304</v>
      </c>
      <c r="P73" s="368">
        <f t="shared" si="13"/>
        <v>1.2023410429152241E-3</v>
      </c>
      <c r="Q73" s="369">
        <f t="shared" si="14"/>
        <v>28.70060690673165</v>
      </c>
      <c r="R73" s="370">
        <f t="shared" si="15"/>
        <v>-100.68415085921924</v>
      </c>
      <c r="S73" s="372">
        <f t="shared" si="16"/>
        <v>79.315849140780756</v>
      </c>
      <c r="U73" s="345">
        <f t="shared" si="23"/>
        <v>1000000000</v>
      </c>
      <c r="V73" s="345">
        <f t="shared" si="24"/>
        <v>63096.416100000002</v>
      </c>
      <c r="X73" s="371">
        <f t="shared" si="17"/>
        <v>40.753696903048223</v>
      </c>
      <c r="Y73" s="372">
        <f t="shared" si="18"/>
        <v>-37.86641673862519</v>
      </c>
      <c r="AA73" s="371">
        <f t="shared" si="19"/>
        <v>59.988109830242678</v>
      </c>
      <c r="AB73" s="372">
        <f t="shared" si="20"/>
        <v>-62.817734120594039</v>
      </c>
      <c r="AD73">
        <f t="shared" si="25"/>
        <v>0</v>
      </c>
      <c r="AE73">
        <f t="shared" si="26"/>
        <v>0</v>
      </c>
    </row>
    <row r="74" spans="1:31" x14ac:dyDescent="0.3">
      <c r="A74" s="373">
        <v>275.42</v>
      </c>
      <c r="B74" s="390">
        <f t="shared" si="22"/>
        <v>0.27542</v>
      </c>
      <c r="C74" s="363">
        <f t="shared" si="0"/>
        <v>2.2755949140060343</v>
      </c>
      <c r="D74" s="364">
        <f t="shared" si="1"/>
        <v>1.1158150178697943</v>
      </c>
      <c r="E74" s="364">
        <f t="shared" si="2"/>
        <v>1.0000021561685737</v>
      </c>
      <c r="F74" s="365">
        <f t="shared" si="3"/>
        <v>2.076614889370239E-3</v>
      </c>
      <c r="G74" s="364">
        <f t="shared" si="4"/>
        <v>1.0002083484502193</v>
      </c>
      <c r="H74" s="365">
        <f t="shared" si="5"/>
        <v>-2.0411383217163674E-2</v>
      </c>
      <c r="I74" s="363">
        <f t="shared" si="6"/>
        <v>416.7389514442836</v>
      </c>
      <c r="J74" s="366">
        <f t="shared" si="7"/>
        <v>1.5683967407801893</v>
      </c>
      <c r="K74" s="374">
        <f t="shared" si="8"/>
        <v>1.7320207688611979</v>
      </c>
      <c r="L74" s="375">
        <f t="shared" si="9"/>
        <v>0.95530435460759544</v>
      </c>
      <c r="M74" s="363">
        <f t="shared" si="10"/>
        <v>1.0000096435029262</v>
      </c>
      <c r="N74" s="366">
        <f t="shared" si="11"/>
        <v>4.3916797308519275E-3</v>
      </c>
      <c r="O74" s="367">
        <f t="shared" si="12"/>
        <v>1.0000000261372193</v>
      </c>
      <c r="P74" s="368">
        <f t="shared" si="13"/>
        <v>1.3183199359793447E-3</v>
      </c>
      <c r="Q74" s="369">
        <f t="shared" si="14"/>
        <v>27.784100031957706</v>
      </c>
      <c r="R74" s="370">
        <f t="shared" si="15"/>
        <v>-100.43676126077717</v>
      </c>
      <c r="S74" s="372">
        <f t="shared" si="16"/>
        <v>79.563238739222825</v>
      </c>
      <c r="U74" s="345">
        <f t="shared" si="23"/>
        <v>1000000000</v>
      </c>
      <c r="V74" s="345">
        <f t="shared" si="24"/>
        <v>75856.176400000011</v>
      </c>
      <c r="X74" s="371">
        <f t="shared" si="17"/>
        <v>40.470370584840296</v>
      </c>
      <c r="Y74" s="372">
        <f t="shared" si="18"/>
        <v>-35.379230933272083</v>
      </c>
      <c r="AA74" s="371">
        <f t="shared" si="19"/>
        <v>59.35492927367666</v>
      </c>
      <c r="AB74" s="372">
        <f t="shared" si="20"/>
        <v>-65.057530327505091</v>
      </c>
      <c r="AD74">
        <f t="shared" si="25"/>
        <v>0</v>
      </c>
      <c r="AE74">
        <f t="shared" si="26"/>
        <v>0</v>
      </c>
    </row>
    <row r="75" spans="1:31" x14ac:dyDescent="0.3">
      <c r="A75" s="373">
        <v>302</v>
      </c>
      <c r="B75" s="390">
        <f t="shared" si="22"/>
        <v>0.30199999999999999</v>
      </c>
      <c r="C75" s="363">
        <f t="shared" si="0"/>
        <v>2.4543279212332472</v>
      </c>
      <c r="D75" s="364">
        <f t="shared" si="1"/>
        <v>1.1511434031116616</v>
      </c>
      <c r="E75" s="364">
        <f t="shared" si="2"/>
        <v>1.0000025924211451</v>
      </c>
      <c r="F75" s="365">
        <f t="shared" si="3"/>
        <v>2.2770224173862983E-3</v>
      </c>
      <c r="G75" s="364">
        <f t="shared" si="4"/>
        <v>1.0002504978834883</v>
      </c>
      <c r="H75" s="365">
        <f t="shared" si="5"/>
        <v>-2.2380598904950585E-2</v>
      </c>
      <c r="I75" s="363">
        <f t="shared" si="6"/>
        <v>456.95701968632397</v>
      </c>
      <c r="J75" s="366">
        <f t="shared" si="7"/>
        <v>1.5686079354252596</v>
      </c>
      <c r="K75" s="374">
        <f t="shared" si="8"/>
        <v>1.8451370578311306</v>
      </c>
      <c r="L75" s="375">
        <f t="shared" si="9"/>
        <v>0.99802261618933719</v>
      </c>
      <c r="M75" s="363">
        <f t="shared" si="10"/>
        <v>1.0000115946416572</v>
      </c>
      <c r="N75" s="366">
        <f t="shared" si="11"/>
        <v>4.8155019735368516E-3</v>
      </c>
      <c r="O75" s="367">
        <f t="shared" si="12"/>
        <v>1.0000000314255952</v>
      </c>
      <c r="P75" s="368">
        <f t="shared" si="13"/>
        <v>1.4455473164384914E-3</v>
      </c>
      <c r="Q75" s="369">
        <f t="shared" si="14"/>
        <v>26.876985723546024</v>
      </c>
      <c r="R75" s="370">
        <f t="shared" si="15"/>
        <v>-100.15837115691055</v>
      </c>
      <c r="S75" s="372">
        <f t="shared" si="16"/>
        <v>79.841628843089453</v>
      </c>
      <c r="U75" s="345">
        <f t="shared" si="23"/>
        <v>1000000000</v>
      </c>
      <c r="V75" s="345">
        <f t="shared" si="24"/>
        <v>91204</v>
      </c>
      <c r="X75" s="371">
        <f t="shared" si="17"/>
        <v>40.219639184644016</v>
      </c>
      <c r="Y75" s="372">
        <f t="shared" si="18"/>
        <v>-32.968038621335147</v>
      </c>
      <c r="AA75" s="371">
        <f t="shared" si="19"/>
        <v>58.698546365461254</v>
      </c>
      <c r="AB75" s="372">
        <f t="shared" si="20"/>
        <v>-67.190332535575408</v>
      </c>
      <c r="AD75">
        <f t="shared" si="25"/>
        <v>0</v>
      </c>
      <c r="AE75">
        <f t="shared" si="26"/>
        <v>0</v>
      </c>
    </row>
    <row r="76" spans="1:31" x14ac:dyDescent="0.3">
      <c r="A76" s="373">
        <v>331.13</v>
      </c>
      <c r="B76" s="390">
        <f t="shared" si="22"/>
        <v>0.33112999999999998</v>
      </c>
      <c r="C76" s="363">
        <f t="shared" si="0"/>
        <v>2.6532268145818083</v>
      </c>
      <c r="D76" s="364">
        <f t="shared" si="1"/>
        <v>1.1843496156969648</v>
      </c>
      <c r="E76" s="364">
        <f t="shared" si="2"/>
        <v>1.0000031166541616</v>
      </c>
      <c r="F76" s="365">
        <f t="shared" si="3"/>
        <v>2.496656190591401E-3</v>
      </c>
      <c r="G76" s="364">
        <f t="shared" si="4"/>
        <v>1.0003011454020365</v>
      </c>
      <c r="H76" s="365">
        <f t="shared" si="5"/>
        <v>-2.4538534905649088E-2</v>
      </c>
      <c r="I76" s="363">
        <f t="shared" si="6"/>
        <v>501.03349995008125</v>
      </c>
      <c r="J76" s="366">
        <f t="shared" si="7"/>
        <v>1.568800450942244</v>
      </c>
      <c r="K76" s="374">
        <f t="shared" si="8"/>
        <v>1.9725034362535681</v>
      </c>
      <c r="L76" s="375">
        <f t="shared" si="9"/>
        <v>1.0391304538974129</v>
      </c>
      <c r="M76" s="363">
        <f t="shared" si="10"/>
        <v>1.0000139392688374</v>
      </c>
      <c r="N76" s="366">
        <f t="shared" si="11"/>
        <v>5.2799823711738034E-3</v>
      </c>
      <c r="O76" s="367">
        <f t="shared" si="12"/>
        <v>1.0000000377805363</v>
      </c>
      <c r="P76" s="368">
        <f t="shared" si="13"/>
        <v>1.5849805084795102E-3</v>
      </c>
      <c r="Q76" s="369">
        <f t="shared" si="14"/>
        <v>25.980528377524756</v>
      </c>
      <c r="R76" s="370">
        <f t="shared" si="15"/>
        <v>-99.862329949292189</v>
      </c>
      <c r="S76" s="372">
        <f t="shared" si="16"/>
        <v>80.137670050707811</v>
      </c>
      <c r="U76" s="345">
        <f t="shared" si="23"/>
        <v>1000000000</v>
      </c>
      <c r="V76" s="345">
        <f t="shared" si="24"/>
        <v>109647.0769</v>
      </c>
      <c r="X76" s="371">
        <f t="shared" si="17"/>
        <v>39.999573337343449</v>
      </c>
      <c r="Y76" s="372">
        <f t="shared" si="18"/>
        <v>-30.650376106170501</v>
      </c>
      <c r="AA76" s="371">
        <f t="shared" si="19"/>
        <v>58.022154866740543</v>
      </c>
      <c r="AB76" s="372">
        <f t="shared" si="20"/>
        <v>-69.211953843121677</v>
      </c>
      <c r="AD76">
        <f t="shared" si="25"/>
        <v>0</v>
      </c>
      <c r="AE76">
        <f t="shared" si="26"/>
        <v>0</v>
      </c>
    </row>
    <row r="77" spans="1:31" x14ac:dyDescent="0.3">
      <c r="A77" s="373">
        <v>363.08</v>
      </c>
      <c r="B77" s="390">
        <f t="shared" si="22"/>
        <v>0.36307999999999996</v>
      </c>
      <c r="C77" s="363">
        <f t="shared" ref="C77:C140" si="27">SQRT(1+(A77/pole1)^2)</f>
        <v>2.8742543962808487</v>
      </c>
      <c r="D77" s="364">
        <f t="shared" ref="D77:D140" si="28">ATAN(A77/pole1)</f>
        <v>1.2154486781865428</v>
      </c>
      <c r="E77" s="364">
        <f t="shared" ref="E77:E140" si="29">SQRT(1+(A77/Zero1)^2)</f>
        <v>1.0000037471068044</v>
      </c>
      <c r="F77" s="365">
        <f t="shared" ref="F77:F140" si="30">ATAN(A77/Zero1)</f>
        <v>2.7375518638701763E-3</v>
      </c>
      <c r="G77" s="364">
        <f t="shared" ref="G77:G140" si="31">IF(VIN_nom&gt;Vout, 1, SQRT(1+(A77/z_RHP)^2))</f>
        <v>1.0003620517145635</v>
      </c>
      <c r="H77" s="365">
        <f t="shared" ref="H77:H140" si="32">IF(VIN_nom&gt;Vout, 0, -ATAN(A77/z_RHP))</f>
        <v>-2.6905111550194174E-2</v>
      </c>
      <c r="I77" s="363">
        <f t="shared" ref="I77:I140" si="33">SQRT(1+(A77/Pole2)^2)</f>
        <v>549.37692809284329</v>
      </c>
      <c r="J77" s="366">
        <f t="shared" ref="J77:J140" si="34">ATAN(A77/Pole2)</f>
        <v>1.5689760818936647</v>
      </c>
      <c r="K77" s="374">
        <f t="shared" ref="K77:K140" si="35">SQRT(1+(A77/Zero2)^2)</f>
        <v>2.1155449673647815</v>
      </c>
      <c r="L77" s="375">
        <f t="shared" ref="L77:L140" si="36">ATAN(A77/Zero2)</f>
        <v>1.0784538476232213</v>
      </c>
      <c r="M77" s="363">
        <f t="shared" ref="M77:M140" si="37">SQRT(1+(A77/pole4)^2)</f>
        <v>1.0000167589566331</v>
      </c>
      <c r="N77" s="366">
        <f t="shared" ref="N77:N140" si="38">ATAN(A77/pole4)</f>
        <v>5.7894252882658296E-3</v>
      </c>
      <c r="O77" s="367">
        <f t="shared" ref="O77:O140" si="39">SQRT((1-(V77/pterm2))^2+(A77/pterm1)^2)</f>
        <v>1.0000000454231697</v>
      </c>
      <c r="P77" s="368">
        <f t="shared" ref="P77:P140" si="40">IF((ATAN((A77/pterm1)/(1-A77^2/pterm2))&gt;0),ATAN((A77/pterm1)/(1-A77^2/pterm2)),PI()+ATAN((A77/pterm1)/(1-A77^2/pterm2)))</f>
        <v>1.7379118997399143E-3</v>
      </c>
      <c r="Q77" s="369">
        <f t="shared" ref="Q77:Q140" si="41">20*LOG10(((E77*K77*G77)/(C77*I77*O77*M77))*Adc)</f>
        <v>25.094038424620251</v>
      </c>
      <c r="R77" s="370">
        <f t="shared" ref="R77:R140" si="42">((F77+L77+H77)-(D77+J77+P77+N77))*radconv</f>
        <v>-99.560917192633752</v>
      </c>
      <c r="S77" s="372">
        <f t="shared" ref="S77:S140" si="43">IF(R77&gt;0,R77,R77+180)</f>
        <v>80.439082807366248</v>
      </c>
      <c r="U77" s="345">
        <f t="shared" si="23"/>
        <v>1000000000</v>
      </c>
      <c r="V77" s="345">
        <f t="shared" si="24"/>
        <v>131827.0864</v>
      </c>
      <c r="X77" s="371">
        <f t="shared" ref="X77:X140" si="44">20*LOG10((K77/(I77*M77))*AEA)</f>
        <v>39.807565654641472</v>
      </c>
      <c r="Y77" s="372">
        <f t="shared" ref="Y77:Y140" si="45">(L77-(J77+N77))*radconv</f>
        <v>-28.436563448341285</v>
      </c>
      <c r="AA77" s="371">
        <f t="shared" ref="AA77:AA140" si="46">20*LOG10((E77*G77/(C77*O77))*Acs*Am)</f>
        <v>57.327672596538022</v>
      </c>
      <c r="AB77" s="372">
        <f t="shared" ref="AB77:AB140" si="47">(F77+H77-(D77+P77))*radconv</f>
        <v>-71.124353744292463</v>
      </c>
      <c r="AD77">
        <f t="shared" si="25"/>
        <v>0</v>
      </c>
      <c r="AE77">
        <f t="shared" ref="AE77:AE89" si="48">IF(AD77&gt;0,S75,0)</f>
        <v>0</v>
      </c>
    </row>
    <row r="78" spans="1:31" x14ac:dyDescent="0.3">
      <c r="A78" s="373">
        <v>398.11</v>
      </c>
      <c r="B78" s="390">
        <f t="shared" ref="B78:B141" si="49">A78/1000</f>
        <v>0.39811000000000002</v>
      </c>
      <c r="C78" s="363">
        <f t="shared" si="27"/>
        <v>3.1193075154742331</v>
      </c>
      <c r="D78" s="364">
        <f t="shared" si="28"/>
        <v>1.2444503900550794</v>
      </c>
      <c r="E78" s="364">
        <f t="shared" si="29"/>
        <v>1.0000045050273005</v>
      </c>
      <c r="F78" s="365">
        <f t="shared" si="30"/>
        <v>3.0016696646717627E-3</v>
      </c>
      <c r="G78" s="364">
        <f t="shared" si="31"/>
        <v>1.0004352674917387</v>
      </c>
      <c r="H78" s="365">
        <f t="shared" si="32"/>
        <v>-2.9499480295996087E-2</v>
      </c>
      <c r="I78" s="363">
        <f t="shared" si="33"/>
        <v>602.38070916925551</v>
      </c>
      <c r="J78" s="366">
        <f t="shared" si="34"/>
        <v>1.5691362463107614</v>
      </c>
      <c r="K78" s="374">
        <f t="shared" si="35"/>
        <v>2.2756364700959768</v>
      </c>
      <c r="L78" s="375">
        <f t="shared" si="36"/>
        <v>1.1158239515285553</v>
      </c>
      <c r="M78" s="363">
        <f t="shared" si="37"/>
        <v>1.0000201487338773</v>
      </c>
      <c r="N78" s="366">
        <f t="shared" si="38"/>
        <v>6.3479753580991697E-3</v>
      </c>
      <c r="O78" s="367">
        <f t="shared" si="39"/>
        <v>1.0000000546111132</v>
      </c>
      <c r="P78" s="368">
        <f t="shared" si="40"/>
        <v>1.9055860154670789E-3</v>
      </c>
      <c r="Q78" s="369">
        <f t="shared" si="41"/>
        <v>24.217591140238124</v>
      </c>
      <c r="R78" s="370">
        <f t="shared" si="42"/>
        <v>-99.26574351757273</v>
      </c>
      <c r="S78" s="372">
        <f t="shared" si="43"/>
        <v>80.73425648242727</v>
      </c>
      <c r="U78" s="345">
        <f t="shared" ref="U78:U141" si="50">IF(Q78&lt;0,A78,1000000000)</f>
        <v>1000000000</v>
      </c>
      <c r="V78" s="345">
        <f t="shared" ref="V78:V141" si="51">A78^2</f>
        <v>158491.57210000002</v>
      </c>
      <c r="X78" s="371">
        <f t="shared" si="44"/>
        <v>39.641135921803475</v>
      </c>
      <c r="Y78" s="372">
        <f t="shared" si="45"/>
        <v>-26.336593518976741</v>
      </c>
      <c r="AA78" s="371">
        <f t="shared" si="46"/>
        <v>56.617655044993896</v>
      </c>
      <c r="AB78" s="372">
        <f t="shared" si="47"/>
        <v>-72.929149998596003</v>
      </c>
      <c r="AD78">
        <f t="shared" ref="AD78:AD141" si="52">SUM((Q79&lt;0)*(Q78&gt;0))*A78</f>
        <v>0</v>
      </c>
      <c r="AE78">
        <f t="shared" si="48"/>
        <v>0</v>
      </c>
    </row>
    <row r="79" spans="1:31" x14ac:dyDescent="0.3">
      <c r="A79" s="373">
        <v>436.52</v>
      </c>
      <c r="B79" s="390">
        <f t="shared" si="49"/>
        <v>0.43651999999999996</v>
      </c>
      <c r="C79" s="363">
        <f t="shared" si="27"/>
        <v>3.3905626636402011</v>
      </c>
      <c r="D79" s="364">
        <f t="shared" si="28"/>
        <v>1.2714074764368426</v>
      </c>
      <c r="E79" s="364">
        <f t="shared" si="29"/>
        <v>1.0000054162580696</v>
      </c>
      <c r="F79" s="365">
        <f t="shared" si="30"/>
        <v>3.2912713723392589E-3</v>
      </c>
      <c r="G79" s="364">
        <f t="shared" si="31"/>
        <v>1.0005232861546838</v>
      </c>
      <c r="H79" s="365">
        <f t="shared" si="32"/>
        <v>-3.2343718592638786E-2</v>
      </c>
      <c r="I79" s="363">
        <f t="shared" si="33"/>
        <v>660.49877221928796</v>
      </c>
      <c r="J79" s="366">
        <f t="shared" si="34"/>
        <v>1.5692823188601404</v>
      </c>
      <c r="K79" s="374">
        <f t="shared" si="35"/>
        <v>2.4543251867007747</v>
      </c>
      <c r="L79" s="375">
        <f t="shared" si="36"/>
        <v>1.1511429060181706</v>
      </c>
      <c r="M79" s="363">
        <f t="shared" si="37"/>
        <v>1.0000242241750206</v>
      </c>
      <c r="N79" s="366">
        <f t="shared" si="38"/>
        <v>6.9604146459582477E-3</v>
      </c>
      <c r="O79" s="367">
        <f t="shared" si="39"/>
        <v>1.0000000656576962</v>
      </c>
      <c r="P79" s="368">
        <f t="shared" si="40"/>
        <v>2.0894388488403529E-3</v>
      </c>
      <c r="Q79" s="369">
        <f t="shared" si="41"/>
        <v>23.3506212341997</v>
      </c>
      <c r="R79" s="370">
        <f t="shared" si="42"/>
        <v>-98.987007178955508</v>
      </c>
      <c r="S79" s="372">
        <f t="shared" si="43"/>
        <v>81.012992821044492</v>
      </c>
      <c r="U79" s="345">
        <f t="shared" si="50"/>
        <v>1000000000</v>
      </c>
      <c r="V79" s="345">
        <f t="shared" si="51"/>
        <v>190549.71039999998</v>
      </c>
      <c r="X79" s="371">
        <f t="shared" si="44"/>
        <v>39.49766571748885</v>
      </c>
      <c r="Y79" s="372">
        <f t="shared" si="45"/>
        <v>-24.35642601462893</v>
      </c>
      <c r="AA79" s="371">
        <f t="shared" si="46"/>
        <v>55.8941553432701</v>
      </c>
      <c r="AB79" s="372">
        <f t="shared" si="47"/>
        <v>-74.630581164326586</v>
      </c>
      <c r="AD79">
        <f t="shared" si="52"/>
        <v>0</v>
      </c>
      <c r="AE79">
        <f t="shared" si="48"/>
        <v>0</v>
      </c>
    </row>
    <row r="80" spans="1:31" x14ac:dyDescent="0.3">
      <c r="A80" s="373">
        <v>478.63</v>
      </c>
      <c r="B80" s="390">
        <f t="shared" si="49"/>
        <v>0.47863</v>
      </c>
      <c r="C80" s="363">
        <f t="shared" si="27"/>
        <v>3.6903414064211786</v>
      </c>
      <c r="D80" s="364">
        <f t="shared" si="28"/>
        <v>1.2963878022414812</v>
      </c>
      <c r="E80" s="364">
        <f t="shared" si="29"/>
        <v>1.0000065116440231</v>
      </c>
      <c r="F80" s="365">
        <f t="shared" si="30"/>
        <v>3.6087695101552596E-3</v>
      </c>
      <c r="G80" s="364">
        <f t="shared" si="31"/>
        <v>1.0006290828080875</v>
      </c>
      <c r="H80" s="365">
        <f t="shared" si="32"/>
        <v>-3.5461336618260883E-2</v>
      </c>
      <c r="I80" s="363">
        <f t="shared" si="33"/>
        <v>724.21530834107671</v>
      </c>
      <c r="J80" s="366">
        <f t="shared" si="34"/>
        <v>1.5694155215202039</v>
      </c>
      <c r="K80" s="374">
        <f t="shared" si="35"/>
        <v>2.653245701356294</v>
      </c>
      <c r="L80" s="375">
        <f t="shared" si="36"/>
        <v>1.1843525122102903</v>
      </c>
      <c r="M80" s="363">
        <f t="shared" si="37"/>
        <v>1.000029123225384</v>
      </c>
      <c r="N80" s="366">
        <f t="shared" si="38"/>
        <v>7.6318436304286703E-3</v>
      </c>
      <c r="O80" s="367">
        <f t="shared" si="39"/>
        <v>1.0000000789369197</v>
      </c>
      <c r="P80" s="368">
        <f t="shared" si="40"/>
        <v>2.2910021307303696E-3</v>
      </c>
      <c r="Q80" s="369">
        <f t="shared" si="41"/>
        <v>22.492604656777274</v>
      </c>
      <c r="R80" s="370">
        <f t="shared" si="42"/>
        <v>-98.733589918386983</v>
      </c>
      <c r="S80" s="372">
        <f t="shared" si="43"/>
        <v>81.266410081613017</v>
      </c>
      <c r="U80" s="345">
        <f t="shared" si="50"/>
        <v>1000000000</v>
      </c>
      <c r="V80" s="345">
        <f t="shared" si="51"/>
        <v>229086.67689999999</v>
      </c>
      <c r="X80" s="371">
        <f t="shared" si="44"/>
        <v>39.374616748172031</v>
      </c>
      <c r="Y80" s="372">
        <f t="shared" si="45"/>
        <v>-22.499757735701856</v>
      </c>
      <c r="AA80" s="371">
        <f t="shared" si="46"/>
        <v>55.159187735164494</v>
      </c>
      <c r="AB80" s="372">
        <f t="shared" si="47"/>
        <v>-76.23383218268512</v>
      </c>
      <c r="AD80">
        <f t="shared" si="52"/>
        <v>0</v>
      </c>
      <c r="AE80">
        <f t="shared" si="48"/>
        <v>0</v>
      </c>
    </row>
    <row r="81" spans="1:31" x14ac:dyDescent="0.3">
      <c r="A81" s="373">
        <v>524.80999999999995</v>
      </c>
      <c r="B81" s="390">
        <f t="shared" si="49"/>
        <v>0.52481</v>
      </c>
      <c r="C81" s="363">
        <f t="shared" si="27"/>
        <v>4.0213269406421297</v>
      </c>
      <c r="D81" s="364">
        <f t="shared" si="28"/>
        <v>1.3194851771929044</v>
      </c>
      <c r="E81" s="364">
        <f t="shared" si="29"/>
        <v>1.0000078287916569</v>
      </c>
      <c r="F81" s="365">
        <f t="shared" si="30"/>
        <v>3.9569535206471825E-3</v>
      </c>
      <c r="G81" s="364">
        <f t="shared" si="31"/>
        <v>1.0007562834139565</v>
      </c>
      <c r="H81" s="365">
        <f t="shared" si="32"/>
        <v>-3.8879482614588387E-2</v>
      </c>
      <c r="I81" s="363">
        <f t="shared" si="33"/>
        <v>794.09016361363467</v>
      </c>
      <c r="J81" s="366">
        <f t="shared" si="34"/>
        <v>1.5695370236198556</v>
      </c>
      <c r="K81" s="374">
        <f t="shared" si="35"/>
        <v>2.8742659791873222</v>
      </c>
      <c r="L81" s="375">
        <f t="shared" si="36"/>
        <v>1.215450173671808</v>
      </c>
      <c r="M81" s="363">
        <f t="shared" si="37"/>
        <v>1.0000350140673706</v>
      </c>
      <c r="N81" s="366">
        <f t="shared" si="38"/>
        <v>8.3681593850908308E-3</v>
      </c>
      <c r="O81" s="367">
        <f t="shared" si="39"/>
        <v>1.0000000949047934</v>
      </c>
      <c r="P81" s="368">
        <f t="shared" si="40"/>
        <v>2.5120469293230378E-3</v>
      </c>
      <c r="Q81" s="369">
        <f t="shared" si="41"/>
        <v>21.642559519767026</v>
      </c>
      <c r="R81" s="370">
        <f t="shared" si="42"/>
        <v>-98.512917407950781</v>
      </c>
      <c r="S81" s="372">
        <f t="shared" si="43"/>
        <v>81.487082592049219</v>
      </c>
      <c r="U81" s="345">
        <f t="shared" si="50"/>
        <v>1000000000</v>
      </c>
      <c r="V81" s="345">
        <f t="shared" si="51"/>
        <v>275425.53609999997</v>
      </c>
      <c r="X81" s="371">
        <f t="shared" si="44"/>
        <v>39.269512969439639</v>
      </c>
      <c r="Y81" s="372">
        <f t="shared" si="45"/>
        <v>-20.767142321893616</v>
      </c>
      <c r="AA81" s="371">
        <f t="shared" si="46"/>
        <v>54.414246376886631</v>
      </c>
      <c r="AB81" s="372">
        <f t="shared" si="47"/>
        <v>-77.745775086057165</v>
      </c>
      <c r="AD81">
        <f t="shared" si="52"/>
        <v>0</v>
      </c>
      <c r="AE81">
        <f t="shared" si="48"/>
        <v>0</v>
      </c>
    </row>
    <row r="82" spans="1:31" x14ac:dyDescent="0.3">
      <c r="A82" s="373">
        <v>575.44000000000005</v>
      </c>
      <c r="B82" s="390">
        <f t="shared" si="49"/>
        <v>0.57544000000000006</v>
      </c>
      <c r="C82" s="363">
        <f t="shared" si="27"/>
        <v>4.3862815424030845</v>
      </c>
      <c r="D82" s="364">
        <f t="shared" si="28"/>
        <v>1.3407901460772684</v>
      </c>
      <c r="E82" s="364">
        <f t="shared" si="29"/>
        <v>1.0000094121812746</v>
      </c>
      <c r="F82" s="365">
        <f t="shared" si="30"/>
        <v>4.3386881545006721E-3</v>
      </c>
      <c r="G82" s="364">
        <f t="shared" si="31"/>
        <v>1.0009091745726109</v>
      </c>
      <c r="H82" s="365">
        <f t="shared" si="32"/>
        <v>-4.2625960976875182E-2</v>
      </c>
      <c r="I82" s="363">
        <f t="shared" si="33"/>
        <v>870.69831519257264</v>
      </c>
      <c r="J82" s="366">
        <f t="shared" si="34"/>
        <v>1.5696478231141213</v>
      </c>
      <c r="K82" s="374">
        <f t="shared" si="35"/>
        <v>3.1193022111481645</v>
      </c>
      <c r="L82" s="375">
        <f t="shared" si="36"/>
        <v>1.244449814530725</v>
      </c>
      <c r="M82" s="363">
        <f t="shared" si="37"/>
        <v>1.0000420956205935</v>
      </c>
      <c r="N82" s="366">
        <f t="shared" si="38"/>
        <v>9.1754175867519092E-3</v>
      </c>
      <c r="O82" s="367">
        <f t="shared" si="39"/>
        <v>1.0000001141007158</v>
      </c>
      <c r="P82" s="368">
        <f t="shared" si="40"/>
        <v>2.7543921890769529E-3</v>
      </c>
      <c r="Q82" s="369">
        <f t="shared" si="41"/>
        <v>20.799948291143707</v>
      </c>
      <c r="R82" s="370">
        <f t="shared" si="42"/>
        <v>-98.33131698554115</v>
      </c>
      <c r="S82" s="372">
        <f t="shared" si="43"/>
        <v>81.66868301445885</v>
      </c>
      <c r="U82" s="345">
        <f t="shared" si="50"/>
        <v>1000000000</v>
      </c>
      <c r="V82" s="345">
        <f t="shared" si="51"/>
        <v>331131.19360000006</v>
      </c>
      <c r="X82" s="371">
        <f t="shared" si="44"/>
        <v>39.180103681747184</v>
      </c>
      <c r="Y82" s="372">
        <f t="shared" si="45"/>
        <v>-19.158186122770147</v>
      </c>
      <c r="AA82" s="371">
        <f t="shared" si="46"/>
        <v>53.661044435955773</v>
      </c>
      <c r="AB82" s="372">
        <f t="shared" si="47"/>
        <v>-79.173130862771004</v>
      </c>
      <c r="AD82">
        <f t="shared" si="52"/>
        <v>0</v>
      </c>
      <c r="AE82">
        <f t="shared" si="48"/>
        <v>0</v>
      </c>
    </row>
    <row r="83" spans="1:31" x14ac:dyDescent="0.3">
      <c r="A83" s="373">
        <v>630.96</v>
      </c>
      <c r="B83" s="390">
        <f t="shared" si="49"/>
        <v>0.63096000000000008</v>
      </c>
      <c r="C83" s="363">
        <f t="shared" si="27"/>
        <v>4.7884069175692341</v>
      </c>
      <c r="D83" s="364">
        <f t="shared" si="28"/>
        <v>1.3604100003059876</v>
      </c>
      <c r="E83" s="364">
        <f t="shared" si="29"/>
        <v>1.0000113160128137</v>
      </c>
      <c r="F83" s="365">
        <f t="shared" si="30"/>
        <v>4.7572904272395163E-3</v>
      </c>
      <c r="G83" s="364">
        <f t="shared" si="31"/>
        <v>1.0010929768161365</v>
      </c>
      <c r="H83" s="365">
        <f t="shared" si="32"/>
        <v>-4.6732905861473481E-2</v>
      </c>
      <c r="I83" s="363">
        <f t="shared" si="33"/>
        <v>954.70552619633963</v>
      </c>
      <c r="J83" s="366">
        <f t="shared" si="34"/>
        <v>1.5697488832058346</v>
      </c>
      <c r="K83" s="374">
        <f t="shared" si="35"/>
        <v>3.390561933150261</v>
      </c>
      <c r="L83" s="375">
        <f t="shared" si="36"/>
        <v>1.2714074099351949</v>
      </c>
      <c r="M83" s="363">
        <f t="shared" si="37"/>
        <v>1.0000506102670181</v>
      </c>
      <c r="N83" s="366">
        <f t="shared" si="38"/>
        <v>1.0060629464520457E-2</v>
      </c>
      <c r="O83" s="367">
        <f t="shared" si="39"/>
        <v>1.0000001371820018</v>
      </c>
      <c r="P83" s="368">
        <f t="shared" si="40"/>
        <v>3.0201440636818074E-3</v>
      </c>
      <c r="Q83" s="369">
        <f t="shared" si="41"/>
        <v>19.963844584928832</v>
      </c>
      <c r="R83" s="370">
        <f t="shared" si="42"/>
        <v>-98.193957532028023</v>
      </c>
      <c r="S83" s="372">
        <f t="shared" si="43"/>
        <v>81.806042467971977</v>
      </c>
      <c r="U83" s="345">
        <f t="shared" si="50"/>
        <v>1000000000</v>
      </c>
      <c r="V83" s="345">
        <f t="shared" si="51"/>
        <v>398110.52160000004</v>
      </c>
      <c r="X83" s="371">
        <f t="shared" si="44"/>
        <v>39.104279654779155</v>
      </c>
      <c r="Y83" s="372">
        <f t="shared" si="45"/>
        <v>-17.670138899875781</v>
      </c>
      <c r="AA83" s="371">
        <f t="shared" si="46"/>
        <v>52.900764756708924</v>
      </c>
      <c r="AB83" s="372">
        <f t="shared" si="47"/>
        <v>-80.523818632152256</v>
      </c>
      <c r="AD83">
        <f t="shared" si="52"/>
        <v>0</v>
      </c>
      <c r="AE83">
        <f t="shared" si="48"/>
        <v>0</v>
      </c>
    </row>
    <row r="84" spans="1:31" x14ac:dyDescent="0.3">
      <c r="A84" s="373">
        <v>691.83</v>
      </c>
      <c r="B84" s="390">
        <f t="shared" si="49"/>
        <v>0.69183000000000006</v>
      </c>
      <c r="C84" s="363">
        <f t="shared" si="27"/>
        <v>5.2310581605774145</v>
      </c>
      <c r="D84" s="364">
        <f t="shared" si="28"/>
        <v>1.3784465000722139</v>
      </c>
      <c r="E84" s="364">
        <f t="shared" si="29"/>
        <v>1.0000136046714765</v>
      </c>
      <c r="F84" s="365">
        <f t="shared" si="30"/>
        <v>5.2162279932947914E-3</v>
      </c>
      <c r="G84" s="364">
        <f t="shared" si="31"/>
        <v>1.0013138873583067</v>
      </c>
      <c r="H84" s="365">
        <f t="shared" si="32"/>
        <v>-5.1233785455600742E-2</v>
      </c>
      <c r="I84" s="363">
        <f t="shared" si="33"/>
        <v>1046.8078217880202</v>
      </c>
      <c r="J84" s="366">
        <f t="shared" si="34"/>
        <v>1.5698410414681334</v>
      </c>
      <c r="K84" s="374">
        <f t="shared" si="35"/>
        <v>3.6903547164689696</v>
      </c>
      <c r="L84" s="375">
        <f t="shared" si="36"/>
        <v>1.2963888175674974</v>
      </c>
      <c r="M84" s="363">
        <f t="shared" si="37"/>
        <v>1.0000608459297156</v>
      </c>
      <c r="N84" s="366">
        <f t="shared" si="38"/>
        <v>1.1031123667734033E-2</v>
      </c>
      <c r="O84" s="367">
        <f t="shared" si="39"/>
        <v>1.0000001649295671</v>
      </c>
      <c r="P84" s="368">
        <f t="shared" si="40"/>
        <v>3.3115044567437212E-3</v>
      </c>
      <c r="Q84" s="369">
        <f t="shared" si="41"/>
        <v>19.13369999981326</v>
      </c>
      <c r="R84" s="370">
        <f t="shared" si="42"/>
        <v>-98.105209063541054</v>
      </c>
      <c r="S84" s="372">
        <f t="shared" si="43"/>
        <v>81.894790936458946</v>
      </c>
      <c r="U84" s="345">
        <f t="shared" si="50"/>
        <v>1000000000</v>
      </c>
      <c r="V84" s="345">
        <f t="shared" si="51"/>
        <v>478628.74890000006</v>
      </c>
      <c r="X84" s="371">
        <f t="shared" si="44"/>
        <v>39.040168916564667</v>
      </c>
      <c r="Y84" s="372">
        <f t="shared" si="45"/>
        <v>-16.299695176046015</v>
      </c>
      <c r="AA84" s="371">
        <f t="shared" si="46"/>
        <v>52.134730909807836</v>
      </c>
      <c r="AB84" s="372">
        <f t="shared" si="47"/>
        <v>-81.805513887495053</v>
      </c>
      <c r="AD84">
        <f t="shared" si="52"/>
        <v>0</v>
      </c>
      <c r="AE84">
        <f t="shared" si="48"/>
        <v>0</v>
      </c>
    </row>
    <row r="85" spans="1:31" x14ac:dyDescent="0.3">
      <c r="A85" s="373">
        <v>758.58</v>
      </c>
      <c r="B85" s="390">
        <f t="shared" si="49"/>
        <v>0.75858000000000003</v>
      </c>
      <c r="C85" s="363">
        <f t="shared" si="27"/>
        <v>5.7181075958485934</v>
      </c>
      <c r="D85" s="364">
        <f t="shared" si="28"/>
        <v>1.3950093575418385</v>
      </c>
      <c r="E85" s="364">
        <f t="shared" si="29"/>
        <v>1.0000163565406395</v>
      </c>
      <c r="F85" s="365">
        <f t="shared" si="30"/>
        <v>5.7194960784361076E-3</v>
      </c>
      <c r="G85" s="364">
        <f t="shared" si="31"/>
        <v>1.0015794449960076</v>
      </c>
      <c r="H85" s="365">
        <f t="shared" si="32"/>
        <v>-5.6167053011001784E-2</v>
      </c>
      <c r="I85" s="363">
        <f t="shared" si="33"/>
        <v>1147.8071440847157</v>
      </c>
      <c r="J85" s="366">
        <f t="shared" si="34"/>
        <v>1.5699251001853922</v>
      </c>
      <c r="K85" s="374">
        <f t="shared" si="35"/>
        <v>4.0213399955756026</v>
      </c>
      <c r="L85" s="375">
        <f t="shared" si="36"/>
        <v>1.3194860106739195</v>
      </c>
      <c r="M85" s="363">
        <f t="shared" si="37"/>
        <v>1.0000731531201767</v>
      </c>
      <c r="N85" s="366">
        <f t="shared" si="38"/>
        <v>1.2095342985841979E-2</v>
      </c>
      <c r="O85" s="367">
        <f t="shared" si="39"/>
        <v>1.0000001982942128</v>
      </c>
      <c r="P85" s="368">
        <f t="shared" si="40"/>
        <v>3.6310103575662753E-3</v>
      </c>
      <c r="Q85" s="369">
        <f t="shared" si="41"/>
        <v>18.30867883130605</v>
      </c>
      <c r="R85" s="370">
        <f t="shared" si="42"/>
        <v>-98.06873730726079</v>
      </c>
      <c r="S85" s="372">
        <f t="shared" si="43"/>
        <v>81.93126269273921</v>
      </c>
      <c r="U85" s="345">
        <f t="shared" si="50"/>
        <v>1000000000</v>
      </c>
      <c r="V85" s="345">
        <f t="shared" si="51"/>
        <v>575443.61640000006</v>
      </c>
      <c r="X85" s="371">
        <f t="shared" si="44"/>
        <v>38.986076351575576</v>
      </c>
      <c r="Y85" s="372">
        <f t="shared" si="45"/>
        <v>-15.042114976146458</v>
      </c>
      <c r="AA85" s="371">
        <f t="shared" si="46"/>
        <v>51.36380230628972</v>
      </c>
      <c r="AB85" s="372">
        <f t="shared" si="47"/>
        <v>-83.026622331114339</v>
      </c>
      <c r="AD85">
        <f t="shared" si="52"/>
        <v>0</v>
      </c>
      <c r="AE85">
        <f t="shared" si="48"/>
        <v>0</v>
      </c>
    </row>
    <row r="86" spans="1:31" x14ac:dyDescent="0.3">
      <c r="A86" s="373">
        <v>831.76</v>
      </c>
      <c r="B86" s="390">
        <f t="shared" si="49"/>
        <v>0.83175999999999994</v>
      </c>
      <c r="C86" s="363">
        <f t="shared" si="27"/>
        <v>6.2535822863528701</v>
      </c>
      <c r="D86" s="364">
        <f t="shared" si="28"/>
        <v>1.4101985233297369</v>
      </c>
      <c r="E86" s="364">
        <f t="shared" si="29"/>
        <v>1.0000196645505188</v>
      </c>
      <c r="F86" s="365">
        <f t="shared" si="30"/>
        <v>6.2712404321246269E-3</v>
      </c>
      <c r="G86" s="364">
        <f t="shared" si="31"/>
        <v>1.001898578474999</v>
      </c>
      <c r="H86" s="365">
        <f t="shared" si="32"/>
        <v>-6.1572388292470991E-2</v>
      </c>
      <c r="I86" s="363">
        <f t="shared" si="33"/>
        <v>1258.5356972399156</v>
      </c>
      <c r="J86" s="366">
        <f t="shared" si="34"/>
        <v>1.5700017525071606</v>
      </c>
      <c r="K86" s="374">
        <f t="shared" si="35"/>
        <v>4.3862834564302604</v>
      </c>
      <c r="L86" s="375">
        <f t="shared" si="36"/>
        <v>1.3407902482524325</v>
      </c>
      <c r="M86" s="363">
        <f t="shared" si="37"/>
        <v>1.000087947384342</v>
      </c>
      <c r="N86" s="366">
        <f t="shared" si="38"/>
        <v>1.3262046539440528E-2</v>
      </c>
      <c r="O86" s="367">
        <f t="shared" si="39"/>
        <v>1.0000002384033591</v>
      </c>
      <c r="P86" s="368">
        <f t="shared" si="40"/>
        <v>3.9812945187806805E-3</v>
      </c>
      <c r="Q86" s="369">
        <f t="shared" si="41"/>
        <v>17.488400668371927</v>
      </c>
      <c r="R86" s="370">
        <f t="shared" si="42"/>
        <v>-98.087768626064786</v>
      </c>
      <c r="S86" s="372">
        <f t="shared" si="43"/>
        <v>81.912231373935214</v>
      </c>
      <c r="U86" s="345">
        <f t="shared" si="50"/>
        <v>1000000000</v>
      </c>
      <c r="V86" s="345">
        <f t="shared" si="51"/>
        <v>691824.69759999996</v>
      </c>
      <c r="X86" s="371">
        <f t="shared" si="44"/>
        <v>38.940533572488427</v>
      </c>
      <c r="Y86" s="372">
        <f t="shared" si="45"/>
        <v>-13.89271111993159</v>
      </c>
      <c r="AA86" s="371">
        <f t="shared" si="46"/>
        <v>50.589066922442747</v>
      </c>
      <c r="AB86" s="372">
        <f t="shared" si="47"/>
        <v>-84.195057506133239</v>
      </c>
      <c r="AD86">
        <f t="shared" si="52"/>
        <v>0</v>
      </c>
      <c r="AE86">
        <f t="shared" si="48"/>
        <v>0</v>
      </c>
    </row>
    <row r="87" spans="1:31" x14ac:dyDescent="0.3">
      <c r="A87" s="373">
        <v>912.01</v>
      </c>
      <c r="B87" s="390">
        <f t="shared" si="49"/>
        <v>0.91200999999999999</v>
      </c>
      <c r="C87" s="363">
        <f t="shared" si="27"/>
        <v>6.8421759897246508</v>
      </c>
      <c r="D87" s="364">
        <f t="shared" si="28"/>
        <v>1.4241186108812856</v>
      </c>
      <c r="E87" s="364">
        <f t="shared" si="29"/>
        <v>1.000023642113556</v>
      </c>
      <c r="F87" s="365">
        <f t="shared" si="30"/>
        <v>6.8762850106882985E-3</v>
      </c>
      <c r="G87" s="364">
        <f t="shared" si="31"/>
        <v>1.0022821725745088</v>
      </c>
      <c r="H87" s="365">
        <f t="shared" si="32"/>
        <v>-6.7495788764771456E-2</v>
      </c>
      <c r="I87" s="363">
        <f t="shared" si="33"/>
        <v>1379.9618643365816</v>
      </c>
      <c r="J87" s="366">
        <f t="shared" si="34"/>
        <v>1.5700716690247327</v>
      </c>
      <c r="K87" s="374">
        <f t="shared" si="35"/>
        <v>4.7884067985784942</v>
      </c>
      <c r="L87" s="375">
        <f t="shared" si="36"/>
        <v>1.3604099949994126</v>
      </c>
      <c r="M87" s="363">
        <f t="shared" si="37"/>
        <v>1.0001057358360799</v>
      </c>
      <c r="N87" s="366">
        <f t="shared" si="38"/>
        <v>1.4541424978170755E-2</v>
      </c>
      <c r="O87" s="367">
        <f t="shared" si="39"/>
        <v>1.000000286633129</v>
      </c>
      <c r="P87" s="368">
        <f t="shared" si="40"/>
        <v>4.3654205290271381E-3</v>
      </c>
      <c r="Q87" s="369">
        <f t="shared" si="41"/>
        <v>16.672153745883339</v>
      </c>
      <c r="R87" s="370">
        <f t="shared" si="42"/>
        <v>-98.16523926175455</v>
      </c>
      <c r="S87" s="372">
        <f t="shared" si="43"/>
        <v>81.83476073824545</v>
      </c>
      <c r="U87" s="345">
        <f t="shared" si="50"/>
        <v>1000000000</v>
      </c>
      <c r="V87" s="345">
        <f t="shared" si="51"/>
        <v>831762.24009999994</v>
      </c>
      <c r="X87" s="371">
        <f t="shared" si="44"/>
        <v>38.902235051834808</v>
      </c>
      <c r="Y87" s="372">
        <f t="shared" si="45"/>
        <v>-12.845891341332351</v>
      </c>
      <c r="AA87" s="371">
        <f t="shared" si="46"/>
        <v>49.811118520607778</v>
      </c>
      <c r="AB87" s="372">
        <f t="shared" si="47"/>
        <v>-85.319347920422217</v>
      </c>
      <c r="AD87">
        <f t="shared" si="52"/>
        <v>0</v>
      </c>
      <c r="AE87">
        <f t="shared" si="48"/>
        <v>0</v>
      </c>
    </row>
    <row r="88" spans="1:31" x14ac:dyDescent="0.3">
      <c r="A88" s="373">
        <v>1000</v>
      </c>
      <c r="B88" s="390">
        <f t="shared" si="49"/>
        <v>1</v>
      </c>
      <c r="C88" s="363">
        <f t="shared" si="27"/>
        <v>7.4888112563046114</v>
      </c>
      <c r="D88" s="364">
        <f t="shared" si="28"/>
        <v>1.4368637317769335</v>
      </c>
      <c r="E88" s="364">
        <f t="shared" si="29"/>
        <v>1.0000284240566466</v>
      </c>
      <c r="F88" s="365">
        <f t="shared" si="30"/>
        <v>7.5396794879507888E-3</v>
      </c>
      <c r="G88" s="364">
        <f t="shared" si="31"/>
        <v>1.0027431484284342</v>
      </c>
      <c r="H88" s="365">
        <f t="shared" si="32"/>
        <v>-7.3985030278761188E-2</v>
      </c>
      <c r="I88" s="363">
        <f t="shared" si="33"/>
        <v>1513.0994214747484</v>
      </c>
      <c r="J88" s="366">
        <f t="shared" si="34"/>
        <v>1.5701354316424667</v>
      </c>
      <c r="K88" s="374">
        <f t="shared" si="35"/>
        <v>5.2310909525713187</v>
      </c>
      <c r="L88" s="375">
        <f t="shared" si="36"/>
        <v>1.3784477209441244</v>
      </c>
      <c r="M88" s="363">
        <f t="shared" si="37"/>
        <v>1.0001271213099714</v>
      </c>
      <c r="N88" s="366">
        <f t="shared" si="38"/>
        <v>1.5944142806005191E-2</v>
      </c>
      <c r="O88" s="367">
        <f t="shared" si="39"/>
        <v>1.0000003446198265</v>
      </c>
      <c r="P88" s="368">
        <f t="shared" si="40"/>
        <v>4.7865956298595372E-3</v>
      </c>
      <c r="Q88" s="369">
        <f t="shared" si="41"/>
        <v>15.85964714599173</v>
      </c>
      <c r="R88" s="370">
        <f t="shared" si="42"/>
        <v>-98.303946473248558</v>
      </c>
      <c r="S88" s="372">
        <f t="shared" si="43"/>
        <v>81.696053526751442</v>
      </c>
      <c r="U88" s="345">
        <f t="shared" si="50"/>
        <v>1000000000</v>
      </c>
      <c r="V88" s="345">
        <f t="shared" si="51"/>
        <v>1000000</v>
      </c>
      <c r="X88" s="371">
        <f t="shared" si="44"/>
        <v>38.870066359247261</v>
      </c>
      <c r="Y88" s="372">
        <f t="shared" si="45"/>
        <v>-11.896428911871357</v>
      </c>
      <c r="AA88" s="371">
        <f t="shared" si="46"/>
        <v>49.030780613303719</v>
      </c>
      <c r="AB88" s="372">
        <f t="shared" si="47"/>
        <v>-86.407517561377219</v>
      </c>
      <c r="AD88">
        <f t="shared" si="52"/>
        <v>0</v>
      </c>
      <c r="AE88">
        <f t="shared" si="48"/>
        <v>0</v>
      </c>
    </row>
    <row r="89" spans="1:31" x14ac:dyDescent="0.3">
      <c r="A89" s="373">
        <v>1096.5</v>
      </c>
      <c r="B89" s="390">
        <f t="shared" si="49"/>
        <v>1.0965</v>
      </c>
      <c r="C89" s="363">
        <f t="shared" si="27"/>
        <v>8.1991534241921809</v>
      </c>
      <c r="D89" s="364">
        <f t="shared" si="28"/>
        <v>1.4485281013955233</v>
      </c>
      <c r="E89" s="364">
        <f t="shared" si="29"/>
        <v>1.0000341744932433</v>
      </c>
      <c r="F89" s="365">
        <f t="shared" si="30"/>
        <v>8.2672268657621121E-3</v>
      </c>
      <c r="G89" s="364">
        <f t="shared" si="31"/>
        <v>1.0032972087838552</v>
      </c>
      <c r="H89" s="365">
        <f t="shared" si="32"/>
        <v>-8.1094692138359473E-2</v>
      </c>
      <c r="I89" s="363">
        <f t="shared" si="33"/>
        <v>1659.1134546770766</v>
      </c>
      <c r="J89" s="366">
        <f t="shared" si="34"/>
        <v>1.5701935952229666</v>
      </c>
      <c r="K89" s="374">
        <f t="shared" si="35"/>
        <v>5.7182283923074788</v>
      </c>
      <c r="L89" s="375">
        <f t="shared" si="36"/>
        <v>1.395013109734788</v>
      </c>
      <c r="M89" s="363">
        <f t="shared" si="37"/>
        <v>1.0001528375431366</v>
      </c>
      <c r="N89" s="366">
        <f t="shared" si="38"/>
        <v>1.7482452893089501E-2</v>
      </c>
      <c r="O89" s="367">
        <f t="shared" si="39"/>
        <v>1.0000004143556394</v>
      </c>
      <c r="P89" s="368">
        <f t="shared" si="40"/>
        <v>5.2485057968844305E-3</v>
      </c>
      <c r="Q89" s="369">
        <f t="shared" si="41"/>
        <v>15.050360731568729</v>
      </c>
      <c r="R89" s="370">
        <f t="shared" si="42"/>
        <v>-98.506743690124551</v>
      </c>
      <c r="S89" s="372">
        <f t="shared" si="43"/>
        <v>81.493256309875449</v>
      </c>
      <c r="U89" s="345">
        <f t="shared" si="50"/>
        <v>1000000000</v>
      </c>
      <c r="V89" s="345">
        <f t="shared" si="51"/>
        <v>1202312.25</v>
      </c>
      <c r="X89" s="371">
        <f t="shared" si="44"/>
        <v>38.843055149637841</v>
      </c>
      <c r="Y89" s="372">
        <f t="shared" si="45"/>
        <v>-11.038773250449342</v>
      </c>
      <c r="AA89" s="371">
        <f t="shared" si="46"/>
        <v>48.248505408490132</v>
      </c>
      <c r="AB89" s="372">
        <f t="shared" si="47"/>
        <v>-87.467970439675213</v>
      </c>
      <c r="AD89">
        <f t="shared" si="52"/>
        <v>0</v>
      </c>
      <c r="AE89">
        <f t="shared" si="48"/>
        <v>0</v>
      </c>
    </row>
    <row r="90" spans="1:31" x14ac:dyDescent="0.3">
      <c r="A90" s="373">
        <v>1202.3</v>
      </c>
      <c r="B90" s="390">
        <f t="shared" si="49"/>
        <v>1.2022999999999999</v>
      </c>
      <c r="C90" s="363">
        <f t="shared" si="27"/>
        <v>8.97902272272845</v>
      </c>
      <c r="D90" s="364">
        <f t="shared" si="28"/>
        <v>1.4591941075050479</v>
      </c>
      <c r="E90" s="364">
        <f t="shared" si="29"/>
        <v>1.000041087432578</v>
      </c>
      <c r="F90" s="365">
        <f t="shared" si="30"/>
        <v>9.0648801220008304E-3</v>
      </c>
      <c r="G90" s="364">
        <f t="shared" si="31"/>
        <v>1.0039628769208824</v>
      </c>
      <c r="H90" s="365">
        <f t="shared" si="32"/>
        <v>-8.8880076843652497E-2</v>
      </c>
      <c r="I90" s="363">
        <f t="shared" si="33"/>
        <v>1819.1993119881656</v>
      </c>
      <c r="J90" s="366">
        <f t="shared" si="34"/>
        <v>1.5702466343869397</v>
      </c>
      <c r="K90" s="374">
        <f t="shared" si="35"/>
        <v>6.253821275858285</v>
      </c>
      <c r="L90" s="375">
        <f t="shared" si="36"/>
        <v>1.4102047138778961</v>
      </c>
      <c r="M90" s="363">
        <f t="shared" si="37"/>
        <v>1.000183751865807</v>
      </c>
      <c r="N90" s="366">
        <f t="shared" si="38"/>
        <v>1.9168919266781576E-2</v>
      </c>
      <c r="O90" s="367">
        <f t="shared" si="39"/>
        <v>1.0000004981963904</v>
      </c>
      <c r="P90" s="368">
        <f t="shared" si="40"/>
        <v>5.7549328327923628E-3</v>
      </c>
      <c r="Q90" s="369">
        <f t="shared" si="41"/>
        <v>14.24430683530024</v>
      </c>
      <c r="R90" s="370">
        <f t="shared" si="42"/>
        <v>-98.776496001274069</v>
      </c>
      <c r="S90" s="372">
        <f t="shared" si="43"/>
        <v>81.223503998725931</v>
      </c>
      <c r="U90" s="345">
        <f t="shared" si="50"/>
        <v>1000000000</v>
      </c>
      <c r="V90" s="345">
        <f t="shared" si="51"/>
        <v>1445525.2899999998</v>
      </c>
      <c r="X90" s="371">
        <f t="shared" si="44"/>
        <v>38.820382081623073</v>
      </c>
      <c r="Y90" s="372">
        <f t="shared" si="45"/>
        <v>-10.268024773882932</v>
      </c>
      <c r="AA90" s="371">
        <f t="shared" si="46"/>
        <v>47.46512458023642</v>
      </c>
      <c r="AB90" s="372">
        <f t="shared" si="47"/>
        <v>-88.508471227391141</v>
      </c>
      <c r="AD90">
        <f t="shared" si="52"/>
        <v>0</v>
      </c>
      <c r="AE90">
        <f t="shared" ref="AE90:AE153" si="53">IF(AD90&gt;0,S90,0)</f>
        <v>0</v>
      </c>
    </row>
    <row r="91" spans="1:31" x14ac:dyDescent="0.3">
      <c r="A91" s="373">
        <v>1318.3</v>
      </c>
      <c r="B91" s="390">
        <f t="shared" si="49"/>
        <v>1.3183</v>
      </c>
      <c r="C91" s="363">
        <f t="shared" si="27"/>
        <v>9.8350566330110603</v>
      </c>
      <c r="D91" s="364">
        <f t="shared" si="28"/>
        <v>1.4689432168805414</v>
      </c>
      <c r="E91" s="364">
        <f t="shared" si="29"/>
        <v>1.0000493980732499</v>
      </c>
      <c r="F91" s="365">
        <f t="shared" si="30"/>
        <v>9.9394204922459307E-3</v>
      </c>
      <c r="G91" s="364">
        <f t="shared" si="31"/>
        <v>1.0047625563139215</v>
      </c>
      <c r="H91" s="365">
        <f t="shared" si="32"/>
        <v>-9.7403605631357956E-2</v>
      </c>
      <c r="I91" s="363">
        <f t="shared" si="33"/>
        <v>1994.7187823630211</v>
      </c>
      <c r="J91" s="366">
        <f t="shared" si="34"/>
        <v>1.5702950029738501</v>
      </c>
      <c r="K91" s="374">
        <f t="shared" si="35"/>
        <v>6.842436068560545</v>
      </c>
      <c r="L91" s="375">
        <f t="shared" si="36"/>
        <v>1.424124226381837</v>
      </c>
      <c r="M91" s="363">
        <f t="shared" si="37"/>
        <v>1.0002209156577739</v>
      </c>
      <c r="N91" s="366">
        <f t="shared" si="38"/>
        <v>2.1017849350786075E-2</v>
      </c>
      <c r="O91" s="367">
        <f t="shared" si="39"/>
        <v>1.0000005989990139</v>
      </c>
      <c r="P91" s="368">
        <f t="shared" si="40"/>
        <v>6.3101851946677683E-3</v>
      </c>
      <c r="Q91" s="369">
        <f t="shared" si="41"/>
        <v>13.441293048361853</v>
      </c>
      <c r="R91" s="370">
        <f t="shared" si="42"/>
        <v>-99.116325080618481</v>
      </c>
      <c r="S91" s="372">
        <f t="shared" si="43"/>
        <v>80.883674919381519</v>
      </c>
      <c r="U91" s="345">
        <f t="shared" si="50"/>
        <v>1000000000</v>
      </c>
      <c r="V91" s="345">
        <f t="shared" si="51"/>
        <v>1737914.89</v>
      </c>
      <c r="X91" s="371">
        <f t="shared" si="44"/>
        <v>38.801337121264339</v>
      </c>
      <c r="Y91" s="372">
        <f t="shared" si="45"/>
        <v>-9.5792026600596429</v>
      </c>
      <c r="AA91" s="371">
        <f t="shared" si="46"/>
        <v>46.681155753656761</v>
      </c>
      <c r="AB91" s="372">
        <f t="shared" si="47"/>
        <v>-89.537122420558816</v>
      </c>
      <c r="AD91">
        <f t="shared" si="52"/>
        <v>0</v>
      </c>
      <c r="AE91">
        <f t="shared" si="53"/>
        <v>0</v>
      </c>
    </row>
    <row r="92" spans="1:31" x14ac:dyDescent="0.3">
      <c r="A92" s="373">
        <v>1445.4</v>
      </c>
      <c r="B92" s="390">
        <f t="shared" si="49"/>
        <v>1.4454</v>
      </c>
      <c r="C92" s="363">
        <f t="shared" si="27"/>
        <v>10.773898595327209</v>
      </c>
      <c r="D92" s="364">
        <f t="shared" si="28"/>
        <v>1.4778456259824844</v>
      </c>
      <c r="E92" s="364">
        <f t="shared" si="29"/>
        <v>1.0000593820844741</v>
      </c>
      <c r="F92" s="365">
        <f t="shared" si="30"/>
        <v>1.0897627824093897E-2</v>
      </c>
      <c r="G92" s="364">
        <f t="shared" si="31"/>
        <v>1.005722421363954</v>
      </c>
      <c r="H92" s="365">
        <f t="shared" si="32"/>
        <v>-0.10672643097744366</v>
      </c>
      <c r="I92" s="363">
        <f t="shared" si="33"/>
        <v>2187.0336547908369</v>
      </c>
      <c r="J92" s="366">
        <f t="shared" si="34"/>
        <v>1.5703390864444089</v>
      </c>
      <c r="K92" s="374">
        <f t="shared" si="35"/>
        <v>7.4886464120241296</v>
      </c>
      <c r="L92" s="375">
        <f t="shared" si="36"/>
        <v>1.436860765821403</v>
      </c>
      <c r="M92" s="363">
        <f t="shared" si="37"/>
        <v>1.0002655610648907</v>
      </c>
      <c r="N92" s="366">
        <f t="shared" si="38"/>
        <v>2.3043537458731993E-2</v>
      </c>
      <c r="O92" s="367">
        <f t="shared" si="39"/>
        <v>1.0000007201135759</v>
      </c>
      <c r="P92" s="368">
        <f t="shared" si="40"/>
        <v>6.9185715011847292E-3</v>
      </c>
      <c r="Q92" s="369">
        <f t="shared" si="41"/>
        <v>12.641740206588729</v>
      </c>
      <c r="R92" s="370">
        <f t="shared" si="42"/>
        <v>-99.529350047777911</v>
      </c>
      <c r="S92" s="372">
        <f t="shared" si="43"/>
        <v>80.470649952222089</v>
      </c>
      <c r="U92" s="345">
        <f t="shared" si="50"/>
        <v>1000000000</v>
      </c>
      <c r="V92" s="345">
        <f t="shared" si="51"/>
        <v>2089181.1600000001</v>
      </c>
      <c r="X92" s="371">
        <f t="shared" si="44"/>
        <v>38.785325185173384</v>
      </c>
      <c r="Y92" s="372">
        <f t="shared" si="45"/>
        <v>-8.9680418798766919</v>
      </c>
      <c r="AA92" s="371">
        <f t="shared" si="46"/>
        <v>45.897614847974594</v>
      </c>
      <c r="AB92" s="372">
        <f t="shared" si="47"/>
        <v>-90.561308167901203</v>
      </c>
      <c r="AD92">
        <f t="shared" si="52"/>
        <v>0</v>
      </c>
      <c r="AE92">
        <f t="shared" si="53"/>
        <v>0</v>
      </c>
    </row>
    <row r="93" spans="1:31" x14ac:dyDescent="0.3">
      <c r="A93" s="373">
        <v>1584.9</v>
      </c>
      <c r="B93" s="390">
        <f t="shared" si="49"/>
        <v>1.5849000000000002</v>
      </c>
      <c r="C93" s="363">
        <f t="shared" si="27"/>
        <v>11.805153772380486</v>
      </c>
      <c r="D93" s="364">
        <f t="shared" si="28"/>
        <v>1.4859859273119651</v>
      </c>
      <c r="E93" s="364">
        <f t="shared" si="29"/>
        <v>1.0000713970815152</v>
      </c>
      <c r="F93" s="365">
        <f t="shared" si="30"/>
        <v>1.1949295696491603E-2</v>
      </c>
      <c r="G93" s="364">
        <f t="shared" si="31"/>
        <v>1.0068763453296552</v>
      </c>
      <c r="H93" s="365">
        <f t="shared" si="32"/>
        <v>-0.11693734842607252</v>
      </c>
      <c r="I93" s="363">
        <f t="shared" si="33"/>
        <v>2398.1109578663973</v>
      </c>
      <c r="J93" s="366">
        <f t="shared" si="34"/>
        <v>1.5703793318991015</v>
      </c>
      <c r="K93" s="374">
        <f t="shared" si="35"/>
        <v>8.1990687204536119</v>
      </c>
      <c r="L93" s="375">
        <f t="shared" si="36"/>
        <v>1.4485268319226037</v>
      </c>
      <c r="M93" s="363">
        <f t="shared" si="37"/>
        <v>1.0003192863608688</v>
      </c>
      <c r="N93" s="366">
        <f t="shared" si="38"/>
        <v>2.5266635346170723E-2</v>
      </c>
      <c r="O93" s="367">
        <f t="shared" si="39"/>
        <v>1.0000008658875068</v>
      </c>
      <c r="P93" s="368">
        <f t="shared" si="40"/>
        <v>7.5863152584670634E-3</v>
      </c>
      <c r="Q93" s="369">
        <f t="shared" si="41"/>
        <v>11.844309473646302</v>
      </c>
      <c r="R93" s="370">
        <f t="shared" si="42"/>
        <v>-100.02006387176982</v>
      </c>
      <c r="S93" s="372">
        <f t="shared" si="43"/>
        <v>79.979936128230179</v>
      </c>
      <c r="U93" s="345">
        <f t="shared" si="50"/>
        <v>1000000000</v>
      </c>
      <c r="V93" s="345">
        <f t="shared" si="51"/>
        <v>2511908.0100000002</v>
      </c>
      <c r="X93" s="371">
        <f t="shared" si="44"/>
        <v>38.771806547451099</v>
      </c>
      <c r="Y93" s="372">
        <f t="shared" si="45"/>
        <v>-8.4293055492348277</v>
      </c>
      <c r="AA93" s="371">
        <f t="shared" si="46"/>
        <v>45.113702752754456</v>
      </c>
      <c r="AB93" s="372">
        <f t="shared" si="47"/>
        <v>-91.590758322535009</v>
      </c>
      <c r="AD93">
        <f t="shared" si="52"/>
        <v>0</v>
      </c>
      <c r="AE93">
        <f t="shared" si="53"/>
        <v>0</v>
      </c>
    </row>
    <row r="94" spans="1:31" x14ac:dyDescent="0.3">
      <c r="A94" s="373">
        <v>1737.8</v>
      </c>
      <c r="B94" s="390">
        <f t="shared" si="49"/>
        <v>1.7378</v>
      </c>
      <c r="C94" s="363">
        <f t="shared" si="27"/>
        <v>12.93621698829114</v>
      </c>
      <c r="D94" s="364">
        <f t="shared" si="28"/>
        <v>1.4934167782857737</v>
      </c>
      <c r="E94" s="364">
        <f t="shared" si="29"/>
        <v>1.0000858367328749</v>
      </c>
      <c r="F94" s="365">
        <f t="shared" si="30"/>
        <v>1.3101953546761915E-2</v>
      </c>
      <c r="G94" s="364">
        <f t="shared" si="31"/>
        <v>1.0082614048603613</v>
      </c>
      <c r="H94" s="365">
        <f t="shared" si="32"/>
        <v>-0.12810095456877144</v>
      </c>
      <c r="I94" s="363">
        <f t="shared" si="33"/>
        <v>2629.4637905398431</v>
      </c>
      <c r="J94" s="366">
        <f t="shared" si="34"/>
        <v>1.5704160211113944</v>
      </c>
      <c r="K94" s="374">
        <f t="shared" si="35"/>
        <v>8.9788014297606402</v>
      </c>
      <c r="L94" s="375">
        <f t="shared" si="36"/>
        <v>1.4591913454619128</v>
      </c>
      <c r="M94" s="363">
        <f t="shared" si="37"/>
        <v>1.0003838505828784</v>
      </c>
      <c r="N94" s="366">
        <f t="shared" si="38"/>
        <v>2.7702990405069017E-2</v>
      </c>
      <c r="O94" s="367">
        <f t="shared" si="39"/>
        <v>1.0000010411104341</v>
      </c>
      <c r="P94" s="368">
        <f t="shared" si="40"/>
        <v>8.3182042545171808E-3</v>
      </c>
      <c r="Q94" s="369">
        <f t="shared" si="41"/>
        <v>11.050218391041991</v>
      </c>
      <c r="R94" s="370">
        <f t="shared" si="42"/>
        <v>-100.59200289096462</v>
      </c>
      <c r="S94" s="372">
        <f t="shared" si="43"/>
        <v>79.407997109035378</v>
      </c>
      <c r="U94" s="345">
        <f t="shared" si="50"/>
        <v>1000000000</v>
      </c>
      <c r="V94" s="345">
        <f t="shared" si="51"/>
        <v>3019948.84</v>
      </c>
      <c r="X94" s="371">
        <f t="shared" si="44"/>
        <v>38.760364335935115</v>
      </c>
      <c r="Y94" s="372">
        <f t="shared" si="45"/>
        <v>-7.959968931624255</v>
      </c>
      <c r="AA94" s="371">
        <f t="shared" si="46"/>
        <v>44.331053881666122</v>
      </c>
      <c r="AB94" s="372">
        <f t="shared" si="47"/>
        <v>-92.632033959340333</v>
      </c>
      <c r="AD94">
        <f t="shared" si="52"/>
        <v>0</v>
      </c>
      <c r="AE94">
        <f t="shared" si="53"/>
        <v>0</v>
      </c>
    </row>
    <row r="95" spans="1:31" x14ac:dyDescent="0.3">
      <c r="A95" s="373">
        <v>1905.5</v>
      </c>
      <c r="B95" s="390">
        <f t="shared" si="49"/>
        <v>1.9055</v>
      </c>
      <c r="C95" s="363">
        <f t="shared" si="27"/>
        <v>14.177445737586059</v>
      </c>
      <c r="D95" s="364">
        <f t="shared" si="28"/>
        <v>1.5002031418192014</v>
      </c>
      <c r="E95" s="364">
        <f t="shared" si="29"/>
        <v>1.0001032019085525</v>
      </c>
      <c r="F95" s="365">
        <f t="shared" si="30"/>
        <v>1.4366143101455517E-2</v>
      </c>
      <c r="G95" s="364">
        <f t="shared" si="31"/>
        <v>1.0099245929631908</v>
      </c>
      <c r="H95" s="365">
        <f t="shared" si="32"/>
        <v>-0.14030823829698633</v>
      </c>
      <c r="I95" s="363">
        <f t="shared" si="33"/>
        <v>2883.2104913700523</v>
      </c>
      <c r="J95" s="366">
        <f t="shared" si="34"/>
        <v>1.5704494912020592</v>
      </c>
      <c r="K95" s="374">
        <f t="shared" si="35"/>
        <v>9.8349875431054947</v>
      </c>
      <c r="L95" s="375">
        <f t="shared" si="36"/>
        <v>1.4689424988869975</v>
      </c>
      <c r="M95" s="363">
        <f t="shared" si="37"/>
        <v>1.0004614914602139</v>
      </c>
      <c r="N95" s="366">
        <f t="shared" si="38"/>
        <v>3.0374793873807232E-2</v>
      </c>
      <c r="O95" s="367">
        <f t="shared" si="39"/>
        <v>1.0000012518796584</v>
      </c>
      <c r="P95" s="368">
        <f t="shared" si="40"/>
        <v>9.1209413327517502E-3</v>
      </c>
      <c r="Q95" s="369">
        <f t="shared" si="41"/>
        <v>10.259121180887018</v>
      </c>
      <c r="R95" s="370">
        <f t="shared" si="42"/>
        <v>-101.25012025876221</v>
      </c>
      <c r="S95" s="372">
        <f t="shared" si="43"/>
        <v>78.749879741237791</v>
      </c>
      <c r="U95" s="345">
        <f t="shared" si="50"/>
        <v>1000000000</v>
      </c>
      <c r="V95" s="345">
        <f t="shared" si="51"/>
        <v>3630930.25</v>
      </c>
      <c r="X95" s="371">
        <f t="shared" si="44"/>
        <v>38.750616084730567</v>
      </c>
      <c r="Y95" s="372">
        <f t="shared" si="45"/>
        <v>-7.5562697519032023</v>
      </c>
      <c r="AA95" s="371">
        <f t="shared" si="46"/>
        <v>43.549704922715698</v>
      </c>
      <c r="AB95" s="372">
        <f t="shared" si="47"/>
        <v>-93.693850506859022</v>
      </c>
      <c r="AD95">
        <f t="shared" si="52"/>
        <v>0</v>
      </c>
      <c r="AE95">
        <f t="shared" si="53"/>
        <v>0</v>
      </c>
    </row>
    <row r="96" spans="1:31" x14ac:dyDescent="0.3">
      <c r="A96" s="373">
        <v>2089.3000000000002</v>
      </c>
      <c r="B96" s="390">
        <f t="shared" si="49"/>
        <v>2.0893000000000002</v>
      </c>
      <c r="C96" s="363">
        <f t="shared" si="27"/>
        <v>15.538462754133267</v>
      </c>
      <c r="D96" s="364">
        <f t="shared" si="28"/>
        <v>1.5063953884739492</v>
      </c>
      <c r="E96" s="364">
        <f t="shared" si="29"/>
        <v>1.0001240700336609</v>
      </c>
      <c r="F96" s="365">
        <f t="shared" si="30"/>
        <v>1.5751647990471473E-2</v>
      </c>
      <c r="G96" s="364">
        <f t="shared" si="31"/>
        <v>1.0119197055228677</v>
      </c>
      <c r="H96" s="365">
        <f t="shared" si="32"/>
        <v>-0.15363917450943479</v>
      </c>
      <c r="I96" s="363">
        <f t="shared" si="33"/>
        <v>3161.3180890449262</v>
      </c>
      <c r="J96" s="366">
        <f t="shared" si="34"/>
        <v>1.5704800030373658</v>
      </c>
      <c r="K96" s="374">
        <f t="shared" si="35"/>
        <v>10.774266778181634</v>
      </c>
      <c r="L96" s="375">
        <f t="shared" si="36"/>
        <v>1.4778488115125703</v>
      </c>
      <c r="M96" s="363">
        <f t="shared" si="37"/>
        <v>1.0005547880747516</v>
      </c>
      <c r="N96" s="366">
        <f t="shared" si="38"/>
        <v>3.3302603640392836E-2</v>
      </c>
      <c r="O96" s="367">
        <f t="shared" si="39"/>
        <v>1.0000015052315647</v>
      </c>
      <c r="P96" s="368">
        <f t="shared" si="40"/>
        <v>1.0000751157859833E-2</v>
      </c>
      <c r="Q96" s="369">
        <f t="shared" si="41"/>
        <v>9.4718724991259791</v>
      </c>
      <c r="R96" s="370">
        <f t="shared" si="42"/>
        <v>-101.99894726544922</v>
      </c>
      <c r="S96" s="372">
        <f t="shared" si="43"/>
        <v>78.001052734550782</v>
      </c>
      <c r="U96" s="345">
        <f t="shared" si="50"/>
        <v>1000000000</v>
      </c>
      <c r="V96" s="345">
        <f t="shared" si="51"/>
        <v>4365174.4900000012</v>
      </c>
      <c r="X96" s="371">
        <f t="shared" si="44"/>
        <v>38.742247408694645</v>
      </c>
      <c r="Y96" s="372">
        <f t="shared" si="45"/>
        <v>-7.2154749692751778</v>
      </c>
      <c r="AA96" s="371">
        <f t="shared" si="46"/>
        <v>42.770824916990577</v>
      </c>
      <c r="AB96" s="372">
        <f t="shared" si="47"/>
        <v>-94.783472296174054</v>
      </c>
      <c r="AD96">
        <f t="shared" si="52"/>
        <v>0</v>
      </c>
      <c r="AE96">
        <f t="shared" si="53"/>
        <v>0</v>
      </c>
    </row>
    <row r="97" spans="1:31" x14ac:dyDescent="0.3">
      <c r="A97" s="373">
        <v>2290.9</v>
      </c>
      <c r="B97" s="390">
        <f t="shared" si="49"/>
        <v>2.2909000000000002</v>
      </c>
      <c r="C97" s="363">
        <f t="shared" si="27"/>
        <v>17.031856973588649</v>
      </c>
      <c r="D97" s="364">
        <f t="shared" si="28"/>
        <v>1.5120490369024733</v>
      </c>
      <c r="E97" s="364">
        <f t="shared" si="29"/>
        <v>1.0001491667771727</v>
      </c>
      <c r="F97" s="365">
        <f t="shared" si="30"/>
        <v>1.7271261520783815E-2</v>
      </c>
      <c r="G97" s="364">
        <f t="shared" si="31"/>
        <v>1.014313955570888</v>
      </c>
      <c r="H97" s="365">
        <f t="shared" si="32"/>
        <v>-0.16819794490571122</v>
      </c>
      <c r="I97" s="363">
        <f t="shared" si="33"/>
        <v>3466.3588518777019</v>
      </c>
      <c r="J97" s="366">
        <f t="shared" si="34"/>
        <v>1.5705078396368723</v>
      </c>
      <c r="K97" s="374">
        <f t="shared" si="35"/>
        <v>11.805328733934433</v>
      </c>
      <c r="L97" s="375">
        <f t="shared" si="36"/>
        <v>1.485987187271635</v>
      </c>
      <c r="M97" s="363">
        <f t="shared" si="37"/>
        <v>1.0006669809320345</v>
      </c>
      <c r="N97" s="366">
        <f t="shared" si="38"/>
        <v>3.651329684576151E-2</v>
      </c>
      <c r="O97" s="367">
        <f t="shared" si="39"/>
        <v>1.0000018100165797</v>
      </c>
      <c r="P97" s="368">
        <f t="shared" si="40"/>
        <v>1.0965773754273066E-2</v>
      </c>
      <c r="Q97" s="369">
        <f t="shared" si="41"/>
        <v>8.688262575832141</v>
      </c>
      <c r="R97" s="370">
        <f t="shared" si="42"/>
        <v>-102.84451734551932</v>
      </c>
      <c r="S97" s="372">
        <f t="shared" si="43"/>
        <v>77.155482654480679</v>
      </c>
      <c r="U97" s="345">
        <f t="shared" si="50"/>
        <v>1000000000</v>
      </c>
      <c r="V97" s="345">
        <f t="shared" si="51"/>
        <v>5248222.8100000005</v>
      </c>
      <c r="X97" s="371">
        <f t="shared" si="44"/>
        <v>38.734974228253371</v>
      </c>
      <c r="Y97" s="372">
        <f t="shared" si="45"/>
        <v>-6.9347344755150839</v>
      </c>
      <c r="AA97" s="371">
        <f t="shared" si="46"/>
        <v>41.99448817413802</v>
      </c>
      <c r="AB97" s="372">
        <f t="shared" si="47"/>
        <v>-95.909782870004236</v>
      </c>
      <c r="AD97">
        <f t="shared" si="52"/>
        <v>0</v>
      </c>
      <c r="AE97">
        <f t="shared" si="53"/>
        <v>0</v>
      </c>
    </row>
    <row r="98" spans="1:31" x14ac:dyDescent="0.3">
      <c r="A98" s="373">
        <v>2511.9</v>
      </c>
      <c r="B98" s="390">
        <f t="shared" si="49"/>
        <v>2.5119000000000002</v>
      </c>
      <c r="C98" s="363">
        <f t="shared" si="27"/>
        <v>18.669481364035303</v>
      </c>
      <c r="D98" s="364">
        <f t="shared" si="28"/>
        <v>1.5172073292748138</v>
      </c>
      <c r="E98" s="364">
        <f t="shared" si="29"/>
        <v>1.0001793320794103</v>
      </c>
      <c r="F98" s="365">
        <f t="shared" si="30"/>
        <v>1.8937015790002835E-2</v>
      </c>
      <c r="G98" s="364">
        <f t="shared" si="31"/>
        <v>1.0171843717456028</v>
      </c>
      <c r="H98" s="365">
        <f t="shared" si="32"/>
        <v>-0.18407521094164048</v>
      </c>
      <c r="I98" s="363">
        <f t="shared" si="33"/>
        <v>3800.7537383039803</v>
      </c>
      <c r="J98" s="366">
        <f t="shared" si="34"/>
        <v>1.5705332210847163</v>
      </c>
      <c r="K98" s="374">
        <f t="shared" si="35"/>
        <v>12.936358201218285</v>
      </c>
      <c r="L98" s="375">
        <f t="shared" si="36"/>
        <v>1.4934176246486508</v>
      </c>
      <c r="M98" s="363">
        <f t="shared" si="37"/>
        <v>1.0008018194310728</v>
      </c>
      <c r="N98" s="366">
        <f t="shared" si="38"/>
        <v>4.0032088014387693E-2</v>
      </c>
      <c r="O98" s="367">
        <f t="shared" si="39"/>
        <v>1.0000021764936224</v>
      </c>
      <c r="P98" s="368">
        <f t="shared" si="40"/>
        <v>1.2023671330452939E-2</v>
      </c>
      <c r="Q98" s="369">
        <f t="shared" si="41"/>
        <v>7.9092462860377486</v>
      </c>
      <c r="R98" s="370">
        <f t="shared" si="42"/>
        <v>-103.79227187118749</v>
      </c>
      <c r="S98" s="372">
        <f t="shared" si="43"/>
        <v>76.207728128812505</v>
      </c>
      <c r="U98" s="345">
        <f t="shared" si="50"/>
        <v>1000000000</v>
      </c>
      <c r="V98" s="345">
        <f t="shared" si="51"/>
        <v>6309641.6100000003</v>
      </c>
      <c r="X98" s="371">
        <f t="shared" si="44"/>
        <v>38.728558630467994</v>
      </c>
      <c r="Y98" s="372">
        <f t="shared" si="45"/>
        <v>-6.7120679064109581</v>
      </c>
      <c r="AA98" s="371">
        <f t="shared" si="46"/>
        <v>41.221887482129006</v>
      </c>
      <c r="AB98" s="372">
        <f t="shared" si="47"/>
        <v>-97.080203964776516</v>
      </c>
      <c r="AD98">
        <f t="shared" si="52"/>
        <v>0</v>
      </c>
      <c r="AE98">
        <f t="shared" si="53"/>
        <v>0</v>
      </c>
    </row>
    <row r="99" spans="1:31" x14ac:dyDescent="0.3">
      <c r="A99" s="373">
        <v>2754.2</v>
      </c>
      <c r="B99" s="390">
        <f t="shared" si="49"/>
        <v>2.7542</v>
      </c>
      <c r="C99" s="363">
        <f t="shared" si="27"/>
        <v>20.465415247803136</v>
      </c>
      <c r="D99" s="364">
        <f t="shared" si="28"/>
        <v>1.5219139392692027</v>
      </c>
      <c r="E99" s="364">
        <f t="shared" si="29"/>
        <v>1.0002155938494581</v>
      </c>
      <c r="F99" s="365">
        <f t="shared" si="30"/>
        <v>2.0763194487337159E-2</v>
      </c>
      <c r="G99" s="364">
        <f t="shared" si="31"/>
        <v>1.0206243339013259</v>
      </c>
      <c r="H99" s="365">
        <f t="shared" si="32"/>
        <v>-0.20137523715463099</v>
      </c>
      <c r="I99" s="363">
        <f t="shared" si="33"/>
        <v>4167.3776364865344</v>
      </c>
      <c r="J99" s="366">
        <f t="shared" si="34"/>
        <v>1.570556367737469</v>
      </c>
      <c r="K99" s="374">
        <f t="shared" si="35"/>
        <v>14.177079895967768</v>
      </c>
      <c r="L99" s="375">
        <f t="shared" si="36"/>
        <v>1.5002013171195547</v>
      </c>
      <c r="M99" s="363">
        <f t="shared" si="37"/>
        <v>1.000963890400123</v>
      </c>
      <c r="N99" s="366">
        <f t="shared" si="38"/>
        <v>4.3888877843066484E-2</v>
      </c>
      <c r="O99" s="367">
        <f t="shared" si="39"/>
        <v>1.0000026172349614</v>
      </c>
      <c r="P99" s="368">
        <f t="shared" si="40"/>
        <v>1.3183543275031117E-2</v>
      </c>
      <c r="Q99" s="369">
        <f t="shared" si="41"/>
        <v>7.1353420937992418</v>
      </c>
      <c r="R99" s="370">
        <f t="shared" si="42"/>
        <v>-104.84860972063053</v>
      </c>
      <c r="S99" s="372">
        <f t="shared" si="43"/>
        <v>75.151390279369465</v>
      </c>
      <c r="U99" s="345">
        <f t="shared" si="50"/>
        <v>1000000000</v>
      </c>
      <c r="V99" s="345">
        <f t="shared" si="51"/>
        <v>7585617.6399999987</v>
      </c>
      <c r="X99" s="371">
        <f t="shared" si="44"/>
        <v>38.722784719804146</v>
      </c>
      <c r="Y99" s="372">
        <f t="shared" si="45"/>
        <v>-6.5456949432882432</v>
      </c>
      <c r="AA99" s="371">
        <f t="shared" si="46"/>
        <v>40.45375720055435</v>
      </c>
      <c r="AB99" s="372">
        <f t="shared" si="47"/>
        <v>-98.302914777342295</v>
      </c>
      <c r="AD99">
        <f t="shared" si="52"/>
        <v>0</v>
      </c>
      <c r="AE99">
        <f t="shared" si="53"/>
        <v>0</v>
      </c>
    </row>
    <row r="100" spans="1:31" x14ac:dyDescent="0.3">
      <c r="A100" s="373">
        <v>3020</v>
      </c>
      <c r="B100" s="390">
        <f t="shared" si="49"/>
        <v>3.02</v>
      </c>
      <c r="C100" s="363">
        <f t="shared" si="27"/>
        <v>22.435965646579852</v>
      </c>
      <c r="D100" s="364">
        <f t="shared" si="28"/>
        <v>1.5262102629664358</v>
      </c>
      <c r="E100" s="364">
        <f t="shared" si="29"/>
        <v>1.0002592088559337</v>
      </c>
      <c r="F100" s="365">
        <f t="shared" si="30"/>
        <v>2.2766329405052965E-2</v>
      </c>
      <c r="G100" s="364">
        <f t="shared" si="31"/>
        <v>1.0247467255944878</v>
      </c>
      <c r="H100" s="365">
        <f t="shared" si="32"/>
        <v>-0.22021326725311524</v>
      </c>
      <c r="I100" s="363">
        <f t="shared" si="33"/>
        <v>4569.5593643217653</v>
      </c>
      <c r="J100" s="366">
        <f t="shared" si="34"/>
        <v>1.5705774873120815</v>
      </c>
      <c r="K100" s="374">
        <f t="shared" si="35"/>
        <v>15.538760446643485</v>
      </c>
      <c r="L100" s="375">
        <f t="shared" si="36"/>
        <v>1.5063966239795132</v>
      </c>
      <c r="M100" s="363">
        <f t="shared" si="37"/>
        <v>1.0011587994793913</v>
      </c>
      <c r="N100" s="366">
        <f t="shared" si="38"/>
        <v>4.8118220484057582E-2</v>
      </c>
      <c r="O100" s="367">
        <f t="shared" si="39"/>
        <v>1.0000031476379365</v>
      </c>
      <c r="P100" s="368">
        <f t="shared" si="40"/>
        <v>1.4455926563597172E-2</v>
      </c>
      <c r="Q100" s="369">
        <f t="shared" si="41"/>
        <v>6.3669157271657468</v>
      </c>
      <c r="R100" s="370">
        <f t="shared" si="42"/>
        <v>-106.02081018207431</v>
      </c>
      <c r="S100" s="372">
        <f t="shared" si="43"/>
        <v>73.979189817925686</v>
      </c>
      <c r="U100" s="345">
        <f t="shared" si="50"/>
        <v>1000000000</v>
      </c>
      <c r="V100" s="345">
        <f t="shared" si="51"/>
        <v>9120400</v>
      </c>
      <c r="X100" s="371">
        <f t="shared" si="44"/>
        <v>38.717455909408628</v>
      </c>
      <c r="Y100" s="372">
        <f t="shared" si="45"/>
        <v>-6.4342635532307604</v>
      </c>
      <c r="AA100" s="371">
        <f t="shared" si="46"/>
        <v>39.690659644316362</v>
      </c>
      <c r="AB100" s="372">
        <f t="shared" si="47"/>
        <v>-99.586546628843521</v>
      </c>
      <c r="AD100">
        <f t="shared" si="52"/>
        <v>0</v>
      </c>
      <c r="AE100">
        <f t="shared" si="53"/>
        <v>0</v>
      </c>
    </row>
    <row r="101" spans="1:31" x14ac:dyDescent="0.3">
      <c r="A101" s="373">
        <v>3311.3</v>
      </c>
      <c r="B101" s="390">
        <f t="shared" si="49"/>
        <v>3.3113000000000001</v>
      </c>
      <c r="C101" s="363">
        <f t="shared" si="27"/>
        <v>24.59596009432429</v>
      </c>
      <c r="D101" s="364">
        <f t="shared" si="28"/>
        <v>1.5301280340738928</v>
      </c>
      <c r="E101" s="364">
        <f t="shared" si="29"/>
        <v>1.0003116173491504</v>
      </c>
      <c r="F101" s="365">
        <f t="shared" si="30"/>
        <v>2.4961428225123063E-2</v>
      </c>
      <c r="G101" s="364">
        <f t="shared" si="31"/>
        <v>1.0296786631093315</v>
      </c>
      <c r="H101" s="365">
        <f t="shared" si="32"/>
        <v>-0.24067723417935957</v>
      </c>
      <c r="I101" s="363">
        <f t="shared" si="33"/>
        <v>5010.3251199121605</v>
      </c>
      <c r="J101" s="366">
        <f t="shared" si="34"/>
        <v>1.5705967389472608</v>
      </c>
      <c r="K101" s="374">
        <f t="shared" si="35"/>
        <v>17.031646444287571</v>
      </c>
      <c r="L101" s="375">
        <f t="shared" si="36"/>
        <v>1.5120483098867843</v>
      </c>
      <c r="M101" s="363">
        <f t="shared" si="37"/>
        <v>1.0013929664211729</v>
      </c>
      <c r="N101" s="366">
        <f t="shared" si="38"/>
        <v>5.2751329423935428E-2</v>
      </c>
      <c r="O101" s="367">
        <f t="shared" si="39"/>
        <v>1.0000037853935972</v>
      </c>
      <c r="P101" s="368">
        <f t="shared" si="40"/>
        <v>1.5850402738249648E-2</v>
      </c>
      <c r="Q101" s="369">
        <f t="shared" si="41"/>
        <v>5.6056306762115291</v>
      </c>
      <c r="R101" s="370">
        <f t="shared" si="42"/>
        <v>-107.314651447616</v>
      </c>
      <c r="S101" s="372">
        <f t="shared" si="43"/>
        <v>72.685348552383999</v>
      </c>
      <c r="U101" s="345">
        <f t="shared" si="50"/>
        <v>1000000000</v>
      </c>
      <c r="V101" s="345">
        <f t="shared" si="51"/>
        <v>10964707.690000001</v>
      </c>
      <c r="X101" s="371">
        <f t="shared" si="44"/>
        <v>38.712398098224256</v>
      </c>
      <c r="Y101" s="372">
        <f t="shared" si="45"/>
        <v>-6.3770064292689739</v>
      </c>
      <c r="AA101" s="371">
        <f t="shared" si="46"/>
        <v>38.93443240454652</v>
      </c>
      <c r="AB101" s="372">
        <f t="shared" si="47"/>
        <v>-100.93764501834704</v>
      </c>
      <c r="AD101">
        <f t="shared" si="52"/>
        <v>0</v>
      </c>
      <c r="AE101">
        <f t="shared" si="53"/>
        <v>0</v>
      </c>
    </row>
    <row r="102" spans="1:31" x14ac:dyDescent="0.3">
      <c r="A102" s="373">
        <v>3630.8</v>
      </c>
      <c r="B102" s="390">
        <f t="shared" si="49"/>
        <v>3.6308000000000002</v>
      </c>
      <c r="C102" s="363">
        <f t="shared" si="27"/>
        <v>26.965419215246378</v>
      </c>
      <c r="D102" s="364">
        <f t="shared" si="28"/>
        <v>1.5337032875795895</v>
      </c>
      <c r="E102" s="364">
        <f t="shared" si="29"/>
        <v>1.0003746412044572</v>
      </c>
      <c r="F102" s="365">
        <f t="shared" si="30"/>
        <v>2.7368751468684262E-2</v>
      </c>
      <c r="G102" s="364">
        <f t="shared" si="31"/>
        <v>1.035578800023004</v>
      </c>
      <c r="H102" s="365">
        <f t="shared" si="32"/>
        <v>-0.26288776746711251</v>
      </c>
      <c r="I102" s="363">
        <f t="shared" si="33"/>
        <v>5493.7602707137585</v>
      </c>
      <c r="J102" s="366">
        <f t="shared" si="34"/>
        <v>1.5706143021057501</v>
      </c>
      <c r="K102" s="374">
        <f t="shared" si="35"/>
        <v>18.669575541351907</v>
      </c>
      <c r="L102" s="375">
        <f t="shared" si="36"/>
        <v>1.5172075998596839</v>
      </c>
      <c r="M102" s="363">
        <f t="shared" si="37"/>
        <v>1.0016745077183866</v>
      </c>
      <c r="N102" s="366">
        <f t="shared" si="38"/>
        <v>5.7830345073208868E-2</v>
      </c>
      <c r="O102" s="367">
        <f t="shared" si="39"/>
        <v>1.000004552926828</v>
      </c>
      <c r="P102" s="368">
        <f t="shared" si="40"/>
        <v>1.737990686548371E-2</v>
      </c>
      <c r="Q102" s="369">
        <f t="shared" si="41"/>
        <v>4.8519706682365715</v>
      </c>
      <c r="R102" s="370">
        <f t="shared" si="42"/>
        <v>-108.73817978829932</v>
      </c>
      <c r="S102" s="372">
        <f t="shared" si="43"/>
        <v>71.26182021170068</v>
      </c>
      <c r="U102" s="345">
        <f t="shared" si="50"/>
        <v>1000000000</v>
      </c>
      <c r="V102" s="345">
        <f t="shared" si="51"/>
        <v>13182708.640000001</v>
      </c>
      <c r="X102" s="371">
        <f t="shared" si="44"/>
        <v>38.707436705053048</v>
      </c>
      <c r="Y102" s="372">
        <f t="shared" si="45"/>
        <v>-6.3734133441741827</v>
      </c>
      <c r="AA102" s="371">
        <f t="shared" si="46"/>
        <v>38.18573378974277</v>
      </c>
      <c r="AB102" s="372">
        <f t="shared" si="47"/>
        <v>-102.36476644412515</v>
      </c>
      <c r="AD102">
        <f t="shared" si="52"/>
        <v>0</v>
      </c>
      <c r="AE102">
        <f t="shared" si="53"/>
        <v>0</v>
      </c>
    </row>
    <row r="103" spans="1:31" x14ac:dyDescent="0.3">
      <c r="A103" s="373">
        <v>3981.1</v>
      </c>
      <c r="B103" s="390">
        <f t="shared" si="49"/>
        <v>3.9811000000000001</v>
      </c>
      <c r="C103" s="363">
        <f t="shared" si="27"/>
        <v>29.563625244705754</v>
      </c>
      <c r="D103" s="364">
        <f t="shared" si="28"/>
        <v>1.5369645222592709</v>
      </c>
      <c r="E103" s="364">
        <f t="shared" si="29"/>
        <v>1.000450402313698</v>
      </c>
      <c r="F103" s="365">
        <f t="shared" si="30"/>
        <v>3.0007776551301053E-2</v>
      </c>
      <c r="G103" s="364">
        <f t="shared" si="31"/>
        <v>1.0426276632272247</v>
      </c>
      <c r="H103" s="365">
        <f t="shared" si="32"/>
        <v>-0.286937313840463</v>
      </c>
      <c r="I103" s="363">
        <f t="shared" si="33"/>
        <v>6023.798874292328</v>
      </c>
      <c r="J103" s="366">
        <f t="shared" si="34"/>
        <v>1.5706303185955093</v>
      </c>
      <c r="K103" s="374">
        <f t="shared" si="35"/>
        <v>20.465877318187161</v>
      </c>
      <c r="L103" s="375">
        <f t="shared" si="36"/>
        <v>1.5219150437960383</v>
      </c>
      <c r="M103" s="363">
        <f t="shared" si="37"/>
        <v>1.0020128678677738</v>
      </c>
      <c r="N103" s="366">
        <f t="shared" si="38"/>
        <v>6.3395540739415335E-2</v>
      </c>
      <c r="O103" s="367">
        <f t="shared" si="39"/>
        <v>1.0000054764473199</v>
      </c>
      <c r="P103" s="368">
        <f t="shared" si="40"/>
        <v>1.9056898751490876E-2</v>
      </c>
      <c r="Q103" s="369">
        <f t="shared" si="41"/>
        <v>4.1075017560281708</v>
      </c>
      <c r="R103" s="370">
        <f t="shared" si="42"/>
        <v>-110.29791506896534</v>
      </c>
      <c r="S103" s="372">
        <f t="shared" si="43"/>
        <v>69.702084931034662</v>
      </c>
      <c r="U103" s="345">
        <f t="shared" si="50"/>
        <v>1000000000</v>
      </c>
      <c r="V103" s="345">
        <f t="shared" si="51"/>
        <v>15849157.209999999</v>
      </c>
      <c r="X103" s="371">
        <f t="shared" si="44"/>
        <v>38.702406425765915</v>
      </c>
      <c r="Y103" s="372">
        <f t="shared" si="45"/>
        <v>-6.4234765754877676</v>
      </c>
      <c r="AA103" s="371">
        <f t="shared" si="46"/>
        <v>37.446295156821499</v>
      </c>
      <c r="AB103" s="372">
        <f t="shared" si="47"/>
        <v>-103.87443849347758</v>
      </c>
      <c r="AD103">
        <f t="shared" si="52"/>
        <v>0</v>
      </c>
      <c r="AE103">
        <f t="shared" si="53"/>
        <v>0</v>
      </c>
    </row>
    <row r="104" spans="1:31" x14ac:dyDescent="0.3">
      <c r="A104" s="373">
        <v>4365.2</v>
      </c>
      <c r="B104" s="390">
        <f t="shared" si="49"/>
        <v>4.3651999999999997</v>
      </c>
      <c r="C104" s="363">
        <f t="shared" si="27"/>
        <v>32.412829521766433</v>
      </c>
      <c r="D104" s="364">
        <f t="shared" si="28"/>
        <v>1.5399394493320409</v>
      </c>
      <c r="E104" s="364">
        <f t="shared" si="29"/>
        <v>1.0005414806730948</v>
      </c>
      <c r="F104" s="365">
        <f t="shared" si="30"/>
        <v>3.2900955958967151E-2</v>
      </c>
      <c r="G104" s="364">
        <f t="shared" si="31"/>
        <v>1.0510397774474252</v>
      </c>
      <c r="H104" s="365">
        <f t="shared" si="32"/>
        <v>-0.31291988097463735</v>
      </c>
      <c r="I104" s="363">
        <f t="shared" si="33"/>
        <v>6604.9802278522138</v>
      </c>
      <c r="J104" s="366">
        <f t="shared" si="34"/>
        <v>1.5706449258868964</v>
      </c>
      <c r="K104" s="374">
        <f t="shared" si="35"/>
        <v>22.435935732823339</v>
      </c>
      <c r="L104" s="375">
        <f t="shared" si="36"/>
        <v>1.5262102034805662</v>
      </c>
      <c r="M104" s="363">
        <f t="shared" si="37"/>
        <v>1.0024195198045511</v>
      </c>
      <c r="N104" s="366">
        <f t="shared" si="38"/>
        <v>6.9493186124394188E-2</v>
      </c>
      <c r="O104" s="367">
        <f t="shared" si="39"/>
        <v>1.0000065879370899</v>
      </c>
      <c r="P104" s="368">
        <f t="shared" si="40"/>
        <v>2.0895757602331595E-2</v>
      </c>
      <c r="Q104" s="369">
        <f t="shared" si="41"/>
        <v>3.3736267712287979</v>
      </c>
      <c r="R104" s="370">
        <f t="shared" si="42"/>
        <v>-112.00076091549869</v>
      </c>
      <c r="S104" s="372">
        <f t="shared" si="43"/>
        <v>67.999239084501312</v>
      </c>
      <c r="U104" s="345">
        <f t="shared" si="50"/>
        <v>1000000000</v>
      </c>
      <c r="V104" s="345">
        <f t="shared" si="51"/>
        <v>19054971.039999999</v>
      </c>
      <c r="X104" s="371">
        <f t="shared" si="44"/>
        <v>38.697137342009697</v>
      </c>
      <c r="Y104" s="372">
        <f t="shared" si="45"/>
        <v>-6.5275883350218482</v>
      </c>
      <c r="AA104" s="371">
        <f t="shared" si="46"/>
        <v>36.717689255778346</v>
      </c>
      <c r="AB104" s="372">
        <f t="shared" si="47"/>
        <v>-105.47317258047686</v>
      </c>
      <c r="AD104">
        <f t="shared" si="52"/>
        <v>0</v>
      </c>
      <c r="AE104">
        <f t="shared" si="53"/>
        <v>0</v>
      </c>
    </row>
    <row r="105" spans="1:31" x14ac:dyDescent="0.3">
      <c r="A105" s="373">
        <v>4786.3</v>
      </c>
      <c r="B105" s="390">
        <f t="shared" si="49"/>
        <v>4.7862999999999998</v>
      </c>
      <c r="C105" s="363">
        <f t="shared" si="27"/>
        <v>35.536769262197488</v>
      </c>
      <c r="D105" s="364">
        <f t="shared" si="28"/>
        <v>1.5426527435942661</v>
      </c>
      <c r="E105" s="364">
        <f t="shared" si="29"/>
        <v>1.0006509546514071</v>
      </c>
      <c r="F105" s="365">
        <f t="shared" si="30"/>
        <v>3.6072197857851679E-2</v>
      </c>
      <c r="G105" s="364">
        <f t="shared" si="31"/>
        <v>1.0610636814703649</v>
      </c>
      <c r="H105" s="365">
        <f t="shared" si="32"/>
        <v>-0.3409108950848197</v>
      </c>
      <c r="I105" s="363">
        <f t="shared" si="33"/>
        <v>7242.1462484236054</v>
      </c>
      <c r="J105" s="366">
        <f t="shared" si="34"/>
        <v>1.5706582461805489</v>
      </c>
      <c r="K105" s="374">
        <f t="shared" si="35"/>
        <v>24.596163830495303</v>
      </c>
      <c r="L105" s="375">
        <f t="shared" si="36"/>
        <v>1.5301283711253593</v>
      </c>
      <c r="M105" s="363">
        <f t="shared" si="37"/>
        <v>1.0029081363180878</v>
      </c>
      <c r="N105" s="366">
        <f t="shared" si="38"/>
        <v>7.6172252816391159E-2</v>
      </c>
      <c r="O105" s="367">
        <f t="shared" si="39"/>
        <v>1.0000079257324139</v>
      </c>
      <c r="P105" s="368">
        <f t="shared" si="40"/>
        <v>2.2911826045370749E-2</v>
      </c>
      <c r="Q105" s="369">
        <f t="shared" si="41"/>
        <v>2.6521070806124145</v>
      </c>
      <c r="R105" s="370">
        <f t="shared" si="42"/>
        <v>-113.85275269627124</v>
      </c>
      <c r="S105" s="372">
        <f t="shared" si="43"/>
        <v>66.147247303728761</v>
      </c>
      <c r="U105" s="345">
        <f t="shared" si="50"/>
        <v>1000000000</v>
      </c>
      <c r="V105" s="345">
        <f t="shared" si="51"/>
        <v>22908667.690000001</v>
      </c>
      <c r="X105" s="371">
        <f t="shared" si="44"/>
        <v>38.691452967508376</v>
      </c>
      <c r="Y105" s="372">
        <f t="shared" si="45"/>
        <v>-6.686539394878114</v>
      </c>
      <c r="AA105" s="371">
        <f t="shared" si="46"/>
        <v>36.001853939663285</v>
      </c>
      <c r="AB105" s="372">
        <f t="shared" si="47"/>
        <v>-107.16621330139311</v>
      </c>
      <c r="AD105">
        <f t="shared" si="52"/>
        <v>0</v>
      </c>
      <c r="AE105">
        <f t="shared" si="53"/>
        <v>0</v>
      </c>
    </row>
    <row r="106" spans="1:31" x14ac:dyDescent="0.3">
      <c r="A106" s="373">
        <v>5248.1</v>
      </c>
      <c r="B106" s="390">
        <f t="shared" si="49"/>
        <v>5.2481</v>
      </c>
      <c r="C106" s="363">
        <f t="shared" si="27"/>
        <v>38.962893069604313</v>
      </c>
      <c r="D106" s="364">
        <f t="shared" si="28"/>
        <v>1.545128062977424</v>
      </c>
      <c r="E106" s="364">
        <f t="shared" si="29"/>
        <v>1.0007825760175795</v>
      </c>
      <c r="F106" s="365">
        <f t="shared" si="30"/>
        <v>3.9549108809389624E-2</v>
      </c>
      <c r="G106" s="364">
        <f t="shared" si="31"/>
        <v>1.0729929539617316</v>
      </c>
      <c r="H106" s="365">
        <f t="shared" si="32"/>
        <v>-0.37097985013761503</v>
      </c>
      <c r="I106" s="363">
        <f t="shared" si="33"/>
        <v>7940.8954025848325</v>
      </c>
      <c r="J106" s="366">
        <f t="shared" si="34"/>
        <v>1.5706703964114894</v>
      </c>
      <c r="K106" s="374">
        <f t="shared" si="35"/>
        <v>26.965542677857712</v>
      </c>
      <c r="L106" s="375">
        <f t="shared" si="36"/>
        <v>1.5337034574892046</v>
      </c>
      <c r="M106" s="363">
        <f t="shared" si="37"/>
        <v>1.0034953592681104</v>
      </c>
      <c r="N106" s="366">
        <f t="shared" si="38"/>
        <v>8.3489020396920521E-2</v>
      </c>
      <c r="O106" s="367">
        <f t="shared" si="39"/>
        <v>1.0000095367927266</v>
      </c>
      <c r="P106" s="368">
        <f t="shared" si="40"/>
        <v>2.5122848353478423E-2</v>
      </c>
      <c r="Q106" s="369">
        <f t="shared" si="41"/>
        <v>1.9445866269358549</v>
      </c>
      <c r="R106" s="370">
        <f t="shared" si="42"/>
        <v>-115.85995089341066</v>
      </c>
      <c r="S106" s="372">
        <f t="shared" si="43"/>
        <v>64.140049106589345</v>
      </c>
      <c r="U106" s="345">
        <f t="shared" si="50"/>
        <v>1000000000</v>
      </c>
      <c r="V106" s="345">
        <f t="shared" si="51"/>
        <v>27542553.610000003</v>
      </c>
      <c r="X106" s="371">
        <f t="shared" si="44"/>
        <v>38.685160750200922</v>
      </c>
      <c r="Y106" s="372">
        <f t="shared" si="45"/>
        <v>-6.9016180940762535</v>
      </c>
      <c r="AA106" s="371">
        <f t="shared" si="46"/>
        <v>35.300625703294187</v>
      </c>
      <c r="AB106" s="372">
        <f t="shared" si="47"/>
        <v>-108.95833279933443</v>
      </c>
      <c r="AD106">
        <f t="shared" si="52"/>
        <v>0</v>
      </c>
      <c r="AE106">
        <f t="shared" si="53"/>
        <v>0</v>
      </c>
    </row>
    <row r="107" spans="1:31" x14ac:dyDescent="0.3">
      <c r="A107" s="373">
        <v>5370.3</v>
      </c>
      <c r="B107" s="390">
        <f t="shared" si="49"/>
        <v>5.3703000000000003</v>
      </c>
      <c r="C107" s="363">
        <f t="shared" si="27"/>
        <v>39.869538308038564</v>
      </c>
      <c r="D107" s="364">
        <f t="shared" si="28"/>
        <v>1.5457118908663992</v>
      </c>
      <c r="E107" s="364">
        <f t="shared" si="29"/>
        <v>1.0008194291822474</v>
      </c>
      <c r="F107" s="365">
        <f t="shared" si="30"/>
        <v>4.0469000969805748E-2</v>
      </c>
      <c r="G107" s="364">
        <f t="shared" si="31"/>
        <v>1.0763096622953603</v>
      </c>
      <c r="H107" s="365">
        <f t="shared" si="32"/>
        <v>-0.3788227890100776</v>
      </c>
      <c r="I107" s="363">
        <f t="shared" si="33"/>
        <v>8125.796110075592</v>
      </c>
      <c r="J107" s="366">
        <f t="shared" si="34"/>
        <v>1.5706732619297465</v>
      </c>
      <c r="K107" s="374">
        <f t="shared" si="35"/>
        <v>27.592571335024214</v>
      </c>
      <c r="L107" s="375">
        <f t="shared" si="36"/>
        <v>1.5345467498076784</v>
      </c>
      <c r="M107" s="363">
        <f t="shared" si="37"/>
        <v>1.0036597303125332</v>
      </c>
      <c r="N107" s="366">
        <f t="shared" si="38"/>
        <v>8.5423693474930548E-2</v>
      </c>
      <c r="O107" s="367">
        <f t="shared" si="39"/>
        <v>1.0000099883921951</v>
      </c>
      <c r="P107" s="368">
        <f t="shared" si="40"/>
        <v>2.5707940086852447E-2</v>
      </c>
      <c r="Q107" s="369">
        <f t="shared" si="41"/>
        <v>1.7702183876618651</v>
      </c>
      <c r="R107" s="370">
        <f t="shared" si="42"/>
        <v>-116.38628210640037</v>
      </c>
      <c r="S107" s="372">
        <f t="shared" si="43"/>
        <v>63.613717893599627</v>
      </c>
      <c r="U107" s="345">
        <f t="shared" si="50"/>
        <v>1000000000</v>
      </c>
      <c r="V107" s="345">
        <f t="shared" si="51"/>
        <v>28840122.090000004</v>
      </c>
      <c r="X107" s="371">
        <f t="shared" si="44"/>
        <v>38.683469406220382</v>
      </c>
      <c r="Y107" s="372">
        <f t="shared" si="45"/>
        <v>-6.9643137876133565</v>
      </c>
      <c r="AA107" s="371">
        <f t="shared" si="46"/>
        <v>35.127948808000738</v>
      </c>
      <c r="AB107" s="372">
        <f t="shared" si="47"/>
        <v>-109.42196831878702</v>
      </c>
      <c r="AD107">
        <f t="shared" si="52"/>
        <v>0</v>
      </c>
      <c r="AE107">
        <f t="shared" si="53"/>
        <v>0</v>
      </c>
    </row>
    <row r="108" spans="1:31" x14ac:dyDescent="0.3">
      <c r="A108" s="373">
        <v>5432.85</v>
      </c>
      <c r="B108" s="390">
        <f t="shared" si="49"/>
        <v>5.4328500000000002</v>
      </c>
      <c r="C108" s="363">
        <f t="shared" si="27"/>
        <v>40.333624072341991</v>
      </c>
      <c r="D108" s="364">
        <f t="shared" si="28"/>
        <v>1.5460005763040061</v>
      </c>
      <c r="E108" s="364">
        <f t="shared" si="29"/>
        <v>1.0008386207326365</v>
      </c>
      <c r="F108" s="365">
        <f t="shared" si="30"/>
        <v>4.0939835884505393E-2</v>
      </c>
      <c r="G108" s="364">
        <f t="shared" si="31"/>
        <v>1.0780328695993566</v>
      </c>
      <c r="H108" s="365">
        <f t="shared" si="32"/>
        <v>-0.38281852245523523</v>
      </c>
      <c r="I108" s="363">
        <f t="shared" si="33"/>
        <v>8220.4404575109002</v>
      </c>
      <c r="J108" s="366">
        <f t="shared" si="34"/>
        <v>1.5706746788117216</v>
      </c>
      <c r="K108" s="374">
        <f t="shared" si="35"/>
        <v>27.913533191045381</v>
      </c>
      <c r="L108" s="375">
        <f t="shared" si="36"/>
        <v>1.5349637426180365</v>
      </c>
      <c r="M108" s="363">
        <f t="shared" si="37"/>
        <v>1.0037453194532744</v>
      </c>
      <c r="N108" s="366">
        <f t="shared" si="38"/>
        <v>8.6413739379653645E-2</v>
      </c>
      <c r="O108" s="367">
        <f t="shared" si="39"/>
        <v>1.0000102236546784</v>
      </c>
      <c r="P108" s="368">
        <f t="shared" si="40"/>
        <v>2.6007431613609404E-2</v>
      </c>
      <c r="Q108" s="369">
        <f t="shared" si="41"/>
        <v>1.6828861153610837</v>
      </c>
      <c r="R108" s="370">
        <f t="shared" si="42"/>
        <v>-116.65485867848049</v>
      </c>
      <c r="S108" s="372">
        <f t="shared" si="43"/>
        <v>63.345141321519506</v>
      </c>
      <c r="U108" s="345">
        <f t="shared" si="50"/>
        <v>1000000000</v>
      </c>
      <c r="V108" s="345">
        <f t="shared" si="51"/>
        <v>29515859.122500002</v>
      </c>
      <c r="X108" s="371">
        <f t="shared" si="44"/>
        <v>38.682598136592368</v>
      </c>
      <c r="Y108" s="372">
        <f t="shared" si="45"/>
        <v>-6.9972284927522246</v>
      </c>
      <c r="AA108" s="371">
        <f t="shared" si="46"/>
        <v>35.041487805327961</v>
      </c>
      <c r="AB108" s="372">
        <f t="shared" si="47"/>
        <v>-109.65763018572828</v>
      </c>
      <c r="AD108">
        <f t="shared" si="52"/>
        <v>0</v>
      </c>
      <c r="AE108">
        <f t="shared" si="53"/>
        <v>0</v>
      </c>
    </row>
    <row r="109" spans="1:31" x14ac:dyDescent="0.3">
      <c r="A109" s="373">
        <v>5495.4</v>
      </c>
      <c r="B109" s="390">
        <f t="shared" si="49"/>
        <v>5.4954000000000001</v>
      </c>
      <c r="C109" s="363">
        <f t="shared" si="27"/>
        <v>40.797713121547289</v>
      </c>
      <c r="D109" s="364">
        <f t="shared" si="28"/>
        <v>1.5462826939578109</v>
      </c>
      <c r="E109" s="364">
        <f t="shared" si="29"/>
        <v>1.0008580341459148</v>
      </c>
      <c r="F109" s="365">
        <f t="shared" si="30"/>
        <v>4.1410652638221648E-2</v>
      </c>
      <c r="G109" s="364">
        <f t="shared" si="31"/>
        <v>1.0797732335566221</v>
      </c>
      <c r="H109" s="365">
        <f t="shared" si="32"/>
        <v>-0.38680143878250361</v>
      </c>
      <c r="I109" s="363">
        <f t="shared" si="33"/>
        <v>8315.0848049623328</v>
      </c>
      <c r="J109" s="366">
        <f t="shared" si="34"/>
        <v>1.5706760634390962</v>
      </c>
      <c r="K109" s="374">
        <f t="shared" si="35"/>
        <v>28.234499790404314</v>
      </c>
      <c r="L109" s="375">
        <f t="shared" si="36"/>
        <v>1.5353712548437328</v>
      </c>
      <c r="M109" s="363">
        <f t="shared" si="37"/>
        <v>1.0038318922877016</v>
      </c>
      <c r="N109" s="366">
        <f t="shared" si="38"/>
        <v>8.7403615486708955E-2</v>
      </c>
      <c r="O109" s="367">
        <f t="shared" si="39"/>
        <v>1.0000104616987899</v>
      </c>
      <c r="P109" s="368">
        <f t="shared" si="40"/>
        <v>2.6306925259541203E-2</v>
      </c>
      <c r="Q109" s="369">
        <f t="shared" si="41"/>
        <v>1.5968168613912925</v>
      </c>
      <c r="R109" s="370">
        <f t="shared" si="42"/>
        <v>-116.92285736022052</v>
      </c>
      <c r="S109" s="372">
        <f t="shared" si="43"/>
        <v>63.077142639779481</v>
      </c>
      <c r="U109" s="345">
        <f t="shared" si="50"/>
        <v>1000000000</v>
      </c>
      <c r="V109" s="345">
        <f t="shared" si="51"/>
        <v>30199421.159999996</v>
      </c>
      <c r="X109" s="371">
        <f t="shared" si="44"/>
        <v>38.681722848683513</v>
      </c>
      <c r="Y109" s="372">
        <f t="shared" si="45"/>
        <v>-7.0306748186379373</v>
      </c>
      <c r="AA109" s="371">
        <f t="shared" si="46"/>
        <v>34.956293839267026</v>
      </c>
      <c r="AB109" s="372">
        <f t="shared" si="47"/>
        <v>-109.89218254158256</v>
      </c>
      <c r="AD109">
        <f t="shared" si="52"/>
        <v>0</v>
      </c>
      <c r="AE109">
        <f t="shared" si="53"/>
        <v>0</v>
      </c>
    </row>
    <row r="110" spans="1:31" x14ac:dyDescent="0.3">
      <c r="A110" s="373">
        <v>5559.4</v>
      </c>
      <c r="B110" s="390">
        <f t="shared" si="49"/>
        <v>5.5593999999999992</v>
      </c>
      <c r="C110" s="363">
        <f t="shared" si="27"/>
        <v>41.27256371451405</v>
      </c>
      <c r="D110" s="364">
        <f t="shared" si="28"/>
        <v>1.546564784628178</v>
      </c>
      <c r="E110" s="364">
        <f t="shared" si="29"/>
        <v>1.0008781272140483</v>
      </c>
      <c r="F110" s="365">
        <f t="shared" si="30"/>
        <v>4.1892364595285239E-2</v>
      </c>
      <c r="G110" s="364">
        <f t="shared" si="31"/>
        <v>1.0815716131296436</v>
      </c>
      <c r="H110" s="365">
        <f t="shared" si="32"/>
        <v>-0.39086335172794689</v>
      </c>
      <c r="I110" s="363">
        <f t="shared" si="33"/>
        <v>8411.9231460958345</v>
      </c>
      <c r="J110" s="366">
        <f t="shared" si="34"/>
        <v>1.5706774479148846</v>
      </c>
      <c r="K110" s="374">
        <f t="shared" si="35"/>
        <v>28.562911605251287</v>
      </c>
      <c r="L110" s="375">
        <f t="shared" si="36"/>
        <v>1.5357787342248757</v>
      </c>
      <c r="M110" s="363">
        <f t="shared" si="37"/>
        <v>1.0039214899040954</v>
      </c>
      <c r="N110" s="366">
        <f t="shared" si="38"/>
        <v>8.8416260637242297E-2</v>
      </c>
      <c r="O110" s="367">
        <f t="shared" si="39"/>
        <v>1.0000107081422733</v>
      </c>
      <c r="P110" s="368">
        <f t="shared" si="40"/>
        <v>2.6613363822742864E-2</v>
      </c>
      <c r="Q110" s="369">
        <f t="shared" si="41"/>
        <v>1.510031073410163</v>
      </c>
      <c r="R110" s="370">
        <f t="shared" si="42"/>
        <v>-117.19646077729081</v>
      </c>
      <c r="S110" s="372">
        <f t="shared" si="43"/>
        <v>62.80353922270919</v>
      </c>
      <c r="U110" s="345">
        <f t="shared" si="50"/>
        <v>1000000000</v>
      </c>
      <c r="V110" s="345">
        <f t="shared" si="51"/>
        <v>30906928.359999996</v>
      </c>
      <c r="X110" s="371">
        <f t="shared" si="44"/>
        <v>38.680822909264634</v>
      </c>
      <c r="Y110" s="372">
        <f t="shared" si="45"/>
        <v>-7.0654275877890225</v>
      </c>
      <c r="AA110" s="371">
        <f t="shared" si="46"/>
        <v>34.87040799070477</v>
      </c>
      <c r="AB110" s="372">
        <f t="shared" si="47"/>
        <v>-110.13103318950176</v>
      </c>
      <c r="AD110">
        <f t="shared" si="52"/>
        <v>0</v>
      </c>
      <c r="AE110">
        <f t="shared" si="53"/>
        <v>0</v>
      </c>
    </row>
    <row r="111" spans="1:31" x14ac:dyDescent="0.3">
      <c r="A111" s="373">
        <v>5623.4</v>
      </c>
      <c r="B111" s="390">
        <f t="shared" si="49"/>
        <v>5.6233999999999993</v>
      </c>
      <c r="C111" s="363">
        <f t="shared" si="27"/>
        <v>41.747417517037938</v>
      </c>
      <c r="D111" s="364">
        <f t="shared" si="28"/>
        <v>1.5468404580691124</v>
      </c>
      <c r="E111" s="364">
        <f t="shared" si="29"/>
        <v>1.0008984525230016</v>
      </c>
      <c r="F111" s="365">
        <f t="shared" si="30"/>
        <v>4.2374057099808987E-2</v>
      </c>
      <c r="G111" s="364">
        <f t="shared" si="31"/>
        <v>1.0833877782852852</v>
      </c>
      <c r="H111" s="365">
        <f t="shared" si="32"/>
        <v>-0.39491171269628372</v>
      </c>
      <c r="I111" s="363">
        <f t="shared" si="33"/>
        <v>8508.7614872450904</v>
      </c>
      <c r="J111" s="366">
        <f t="shared" si="34"/>
        <v>1.5706788008771939</v>
      </c>
      <c r="K111" s="374">
        <f t="shared" si="35"/>
        <v>28.891328054848898</v>
      </c>
      <c r="L111" s="375">
        <f t="shared" si="36"/>
        <v>1.5361769497885673</v>
      </c>
      <c r="M111" s="363">
        <f t="shared" si="37"/>
        <v>1.0040121168076275</v>
      </c>
      <c r="N111" s="366">
        <f t="shared" si="38"/>
        <v>8.9428724013526667E-2</v>
      </c>
      <c r="O111" s="367">
        <f t="shared" si="39"/>
        <v>1.0000109575020606</v>
      </c>
      <c r="P111" s="368">
        <f t="shared" si="40"/>
        <v>2.6919804656108087E-2</v>
      </c>
      <c r="Q111" s="369">
        <f t="shared" si="41"/>
        <v>1.4245104105762996</v>
      </c>
      <c r="R111" s="370">
        <f t="shared" si="42"/>
        <v>-117.46943984488016</v>
      </c>
      <c r="S111" s="372">
        <f t="shared" si="43"/>
        <v>62.530560155119844</v>
      </c>
      <c r="U111" s="345">
        <f t="shared" si="50"/>
        <v>1000000000</v>
      </c>
      <c r="V111" s="345">
        <f t="shared" si="51"/>
        <v>31622627.559999995</v>
      </c>
      <c r="X111" s="371">
        <f t="shared" si="44"/>
        <v>38.679918364769541</v>
      </c>
      <c r="Y111" s="372">
        <f t="shared" si="45"/>
        <v>-7.1006989140961974</v>
      </c>
      <c r="AA111" s="371">
        <f t="shared" si="46"/>
        <v>34.785791872366005</v>
      </c>
      <c r="AB111" s="372">
        <f t="shared" si="47"/>
        <v>-110.36874093078399</v>
      </c>
      <c r="AD111">
        <f t="shared" si="52"/>
        <v>0</v>
      </c>
      <c r="AE111">
        <f t="shared" si="53"/>
        <v>0</v>
      </c>
    </row>
    <row r="112" spans="1:31" x14ac:dyDescent="0.3">
      <c r="A112" s="373">
        <v>5688.9</v>
      </c>
      <c r="B112" s="390">
        <f t="shared" si="49"/>
        <v>5.6888999999999994</v>
      </c>
      <c r="C112" s="363">
        <f t="shared" si="27"/>
        <v>42.233403915861061</v>
      </c>
      <c r="D112" s="364">
        <f t="shared" si="28"/>
        <v>1.5471161738434351</v>
      </c>
      <c r="E112" s="364">
        <f t="shared" si="29"/>
        <v>1.000919494660941</v>
      </c>
      <c r="F112" s="365">
        <f t="shared" si="30"/>
        <v>4.2867018898630489E-2</v>
      </c>
      <c r="G112" s="364">
        <f t="shared" si="31"/>
        <v>1.0852648323711489</v>
      </c>
      <c r="H112" s="365">
        <f t="shared" si="32"/>
        <v>-0.39904085787807281</v>
      </c>
      <c r="I112" s="363">
        <f t="shared" si="33"/>
        <v>8607.8694770307957</v>
      </c>
      <c r="J112" s="366">
        <f t="shared" si="34"/>
        <v>1.570680154029392</v>
      </c>
      <c r="K112" s="374">
        <f t="shared" si="35"/>
        <v>29.227446400912374</v>
      </c>
      <c r="L112" s="375">
        <f t="shared" si="36"/>
        <v>1.5365752322284172</v>
      </c>
      <c r="M112" s="363">
        <f t="shared" si="37"/>
        <v>1.0041059332440805</v>
      </c>
      <c r="N112" s="366">
        <f t="shared" si="38"/>
        <v>9.0464726671135878E-2</v>
      </c>
      <c r="O112" s="367">
        <f t="shared" si="39"/>
        <v>1.0000112157281127</v>
      </c>
      <c r="P112" s="368">
        <f t="shared" si="40"/>
        <v>2.7233430074331318E-2</v>
      </c>
      <c r="Q112" s="369">
        <f t="shared" si="41"/>
        <v>1.3382666145692861</v>
      </c>
      <c r="R112" s="370">
        <f t="shared" si="42"/>
        <v>-117.74816077650216</v>
      </c>
      <c r="S112" s="372">
        <f t="shared" si="43"/>
        <v>62.251839223497839</v>
      </c>
      <c r="U112" s="345">
        <f t="shared" si="50"/>
        <v>1000000000</v>
      </c>
      <c r="V112" s="345">
        <f t="shared" si="51"/>
        <v>32363583.209999997</v>
      </c>
      <c r="X112" s="371">
        <f t="shared" si="44"/>
        <v>38.678987659476064</v>
      </c>
      <c r="Y112" s="372">
        <f t="shared" si="45"/>
        <v>-7.1373151210357921</v>
      </c>
      <c r="AA112" s="371">
        <f t="shared" si="46"/>
        <v>34.700478781652471</v>
      </c>
      <c r="AB112" s="372">
        <f t="shared" si="47"/>
        <v>-110.61084565546635</v>
      </c>
      <c r="AD112">
        <f t="shared" si="52"/>
        <v>0</v>
      </c>
      <c r="AE112">
        <f t="shared" si="53"/>
        <v>0</v>
      </c>
    </row>
    <row r="113" spans="1:31" x14ac:dyDescent="0.3">
      <c r="A113" s="373">
        <v>5754.4</v>
      </c>
      <c r="B113" s="390">
        <f t="shared" si="49"/>
        <v>5.7543999999999995</v>
      </c>
      <c r="C113" s="363">
        <f t="shared" si="27"/>
        <v>42.719393452185123</v>
      </c>
      <c r="D113" s="364">
        <f t="shared" si="28"/>
        <v>1.5473856163755022</v>
      </c>
      <c r="E113" s="364">
        <f t="shared" si="29"/>
        <v>1.0009407800234023</v>
      </c>
      <c r="F113" s="365">
        <f t="shared" si="30"/>
        <v>4.3359959851221284E-2</v>
      </c>
      <c r="G113" s="364">
        <f t="shared" si="31"/>
        <v>1.0871603259696792</v>
      </c>
      <c r="H113" s="365">
        <f t="shared" si="32"/>
        <v>-0.40315567446012091</v>
      </c>
      <c r="I113" s="363">
        <f t="shared" si="33"/>
        <v>8706.9774668318987</v>
      </c>
      <c r="J113" s="366">
        <f t="shared" si="34"/>
        <v>1.5706814763768258</v>
      </c>
      <c r="K113" s="374">
        <f t="shared" si="35"/>
        <v>29.563569277869387</v>
      </c>
      <c r="L113" s="375">
        <f t="shared" si="36"/>
        <v>1.536964458187785</v>
      </c>
      <c r="M113" s="363">
        <f t="shared" si="37"/>
        <v>1.0042008271869021</v>
      </c>
      <c r="N113" s="366">
        <f t="shared" si="38"/>
        <v>9.1500534642065812E-2</v>
      </c>
      <c r="O113" s="367">
        <f t="shared" si="39"/>
        <v>1.0000114770133968</v>
      </c>
      <c r="P113" s="368">
        <f t="shared" si="40"/>
        <v>2.7547057925678822E-2</v>
      </c>
      <c r="Q113" s="369">
        <f t="shared" si="41"/>
        <v>1.2532906140188023</v>
      </c>
      <c r="R113" s="370">
        <f t="shared" si="42"/>
        <v>-118.02620862173636</v>
      </c>
      <c r="S113" s="372">
        <f t="shared" si="43"/>
        <v>61.973791378263641</v>
      </c>
      <c r="U113" s="345">
        <f t="shared" si="50"/>
        <v>1000000000</v>
      </c>
      <c r="V113" s="345">
        <f t="shared" si="51"/>
        <v>33113119.359999996</v>
      </c>
      <c r="X113" s="371">
        <f t="shared" si="44"/>
        <v>38.678051751449637</v>
      </c>
      <c r="Y113" s="372">
        <f t="shared" si="45"/>
        <v>-7.1744373063768094</v>
      </c>
      <c r="AA113" s="371">
        <f t="shared" si="46"/>
        <v>34.616438689128415</v>
      </c>
      <c r="AB113" s="372">
        <f t="shared" si="47"/>
        <v>-110.85177131535958</v>
      </c>
      <c r="AD113">
        <f t="shared" si="52"/>
        <v>0</v>
      </c>
      <c r="AE113">
        <f t="shared" si="53"/>
        <v>0</v>
      </c>
    </row>
    <row r="114" spans="1:31" x14ac:dyDescent="0.3">
      <c r="A114" s="373">
        <v>5821.4</v>
      </c>
      <c r="B114" s="390">
        <f t="shared" si="49"/>
        <v>5.8213999999999997</v>
      </c>
      <c r="C114" s="363">
        <f t="shared" si="27"/>
        <v>43.216515655628164</v>
      </c>
      <c r="D114" s="364">
        <f t="shared" si="28"/>
        <v>1.5476549595602302</v>
      </c>
      <c r="E114" s="364">
        <f t="shared" si="29"/>
        <v>1.0009628044640762</v>
      </c>
      <c r="F114" s="365">
        <f t="shared" si="30"/>
        <v>4.3864167711778874E-2</v>
      </c>
      <c r="G114" s="364">
        <f t="shared" si="31"/>
        <v>1.0891182052104706</v>
      </c>
      <c r="H114" s="365">
        <f t="shared" si="32"/>
        <v>-0.40734983204767861</v>
      </c>
      <c r="I114" s="363">
        <f t="shared" si="33"/>
        <v>8808.3551052697985</v>
      </c>
      <c r="J114" s="366">
        <f t="shared" si="34"/>
        <v>1.5706827982200156</v>
      </c>
      <c r="K114" s="374">
        <f t="shared" si="35"/>
        <v>29.907394153754574</v>
      </c>
      <c r="L114" s="375">
        <f t="shared" si="36"/>
        <v>1.537353545974607</v>
      </c>
      <c r="M114" s="363">
        <f t="shared" si="37"/>
        <v>1.0042990087575066</v>
      </c>
      <c r="N114" s="366">
        <f t="shared" si="38"/>
        <v>9.2559859721541737E-2</v>
      </c>
      <c r="O114" s="367">
        <f t="shared" si="39"/>
        <v>1.0000117474499166</v>
      </c>
      <c r="P114" s="368">
        <f t="shared" si="40"/>
        <v>2.7867870640732401E-2</v>
      </c>
      <c r="Q114" s="369">
        <f t="shared" si="41"/>
        <v>1.1676515046384766</v>
      </c>
      <c r="R114" s="370">
        <f t="shared" si="42"/>
        <v>-118.30991811452266</v>
      </c>
      <c r="S114" s="372">
        <f t="shared" si="43"/>
        <v>61.690081885477341</v>
      </c>
      <c r="U114" s="345">
        <f t="shared" si="50"/>
        <v>1000000000</v>
      </c>
      <c r="V114" s="345">
        <f t="shared" si="51"/>
        <v>33888697.959999993</v>
      </c>
      <c r="X114" s="371">
        <f t="shared" si="44"/>
        <v>38.6770888447315</v>
      </c>
      <c r="Y114" s="372">
        <f t="shared" si="45"/>
        <v>-7.2129148105980736</v>
      </c>
      <c r="AA114" s="371">
        <f t="shared" si="46"/>
        <v>34.531762486466228</v>
      </c>
      <c r="AB114" s="372">
        <f t="shared" si="47"/>
        <v>-111.09700330392458</v>
      </c>
      <c r="AD114">
        <f t="shared" si="52"/>
        <v>0</v>
      </c>
      <c r="AE114">
        <f t="shared" si="53"/>
        <v>0</v>
      </c>
    </row>
    <row r="115" spans="1:31" x14ac:dyDescent="0.3">
      <c r="A115" s="373">
        <v>5888.4</v>
      </c>
      <c r="B115" s="390">
        <f t="shared" si="49"/>
        <v>5.8883999999999999</v>
      </c>
      <c r="C115" s="363">
        <f t="shared" si="27"/>
        <v>43.713640922937728</v>
      </c>
      <c r="D115" s="364">
        <f t="shared" si="28"/>
        <v>1.5479181766529471</v>
      </c>
      <c r="E115" s="364">
        <f t="shared" si="29"/>
        <v>1.0009850833638505</v>
      </c>
      <c r="F115" s="365">
        <f t="shared" si="30"/>
        <v>4.4368353256225297E-2</v>
      </c>
      <c r="G115" s="364">
        <f t="shared" si="31"/>
        <v>1.0910951741304049</v>
      </c>
      <c r="H115" s="365">
        <f t="shared" si="32"/>
        <v>-0.4115288640349144</v>
      </c>
      <c r="I115" s="363">
        <f t="shared" si="33"/>
        <v>8909.7327437227359</v>
      </c>
      <c r="J115" s="366">
        <f t="shared" si="34"/>
        <v>1.5706840899825405</v>
      </c>
      <c r="K115" s="374">
        <f t="shared" si="35"/>
        <v>30.251223454379403</v>
      </c>
      <c r="L115" s="375">
        <f t="shared" si="36"/>
        <v>1.537733789231386</v>
      </c>
      <c r="M115" s="363">
        <f t="shared" si="37"/>
        <v>1.0043983171008835</v>
      </c>
      <c r="N115" s="366">
        <f t="shared" si="38"/>
        <v>9.3618976511045948E-2</v>
      </c>
      <c r="O115" s="367">
        <f t="shared" si="39"/>
        <v>1.0000120210924563</v>
      </c>
      <c r="P115" s="368">
        <f t="shared" si="40"/>
        <v>2.8188685960822434E-2</v>
      </c>
      <c r="Q115" s="369">
        <f t="shared" si="41"/>
        <v>1.0832814537373683</v>
      </c>
      <c r="R115" s="370">
        <f t="shared" si="42"/>
        <v>-118.59290449951828</v>
      </c>
      <c r="S115" s="372">
        <f t="shared" si="43"/>
        <v>61.407095500481716</v>
      </c>
      <c r="U115" s="345">
        <f t="shared" si="50"/>
        <v>1000000000</v>
      </c>
      <c r="V115" s="345">
        <f t="shared" si="51"/>
        <v>34673254.559999995</v>
      </c>
      <c r="X115" s="371">
        <f t="shared" si="44"/>
        <v>38.676120133769672</v>
      </c>
      <c r="Y115" s="372">
        <f t="shared" si="45"/>
        <v>-7.251885411431708</v>
      </c>
      <c r="AA115" s="371">
        <f t="shared" si="46"/>
        <v>34.448361146526942</v>
      </c>
      <c r="AB115" s="372">
        <f t="shared" si="47"/>
        <v>-111.34101908808658</v>
      </c>
      <c r="AD115">
        <f t="shared" si="52"/>
        <v>0</v>
      </c>
      <c r="AE115">
        <f t="shared" si="53"/>
        <v>0</v>
      </c>
    </row>
    <row r="116" spans="1:31" x14ac:dyDescent="0.3">
      <c r="A116" s="373">
        <v>5957</v>
      </c>
      <c r="B116" s="390">
        <f t="shared" si="49"/>
        <v>5.9569999999999999</v>
      </c>
      <c r="C116" s="363">
        <f t="shared" si="27"/>
        <v>44.222640905002891</v>
      </c>
      <c r="D116" s="364">
        <f t="shared" si="28"/>
        <v>1.5481815479699195</v>
      </c>
      <c r="E116" s="364">
        <f t="shared" si="29"/>
        <v>1.0010081579259174</v>
      </c>
      <c r="F116" s="365">
        <f t="shared" si="30"/>
        <v>4.4884555664487236E-2</v>
      </c>
      <c r="G116" s="364">
        <f t="shared" si="31"/>
        <v>1.0931390250077155</v>
      </c>
      <c r="H116" s="365">
        <f t="shared" si="32"/>
        <v>-0.41579195577324779</v>
      </c>
      <c r="I116" s="363">
        <f t="shared" si="33"/>
        <v>9013.5313407209487</v>
      </c>
      <c r="J116" s="366">
        <f t="shared" si="34"/>
        <v>1.570685382486362</v>
      </c>
      <c r="K116" s="374">
        <f t="shared" si="35"/>
        <v>30.603268032722532</v>
      </c>
      <c r="L116" s="375">
        <f t="shared" si="36"/>
        <v>1.5381142602686853</v>
      </c>
      <c r="M116" s="363">
        <f t="shared" si="37"/>
        <v>1.0045011640938251</v>
      </c>
      <c r="N116" s="366">
        <f t="shared" si="38"/>
        <v>9.4703167414730047E-2</v>
      </c>
      <c r="O116" s="367">
        <f t="shared" si="39"/>
        <v>1.0000123045942424</v>
      </c>
      <c r="P116" s="368">
        <f t="shared" si="40"/>
        <v>2.8517165272639346E-2</v>
      </c>
      <c r="Q116" s="369">
        <f t="shared" si="41"/>
        <v>0.99818258456056697</v>
      </c>
      <c r="R116" s="370">
        <f t="shared" si="42"/>
        <v>-118.88189022121333</v>
      </c>
      <c r="S116" s="372">
        <f t="shared" si="43"/>
        <v>61.118109778786675</v>
      </c>
      <c r="U116" s="345">
        <f t="shared" si="50"/>
        <v>1000000000</v>
      </c>
      <c r="V116" s="345">
        <f t="shared" si="51"/>
        <v>35485849</v>
      </c>
      <c r="X116" s="371">
        <f t="shared" si="44"/>
        <v>38.67512210160146</v>
      </c>
      <c r="Y116" s="372">
        <f t="shared" si="45"/>
        <v>-7.2922796447952054</v>
      </c>
      <c r="AA116" s="371">
        <f t="shared" si="46"/>
        <v>34.364260309518357</v>
      </c>
      <c r="AB116" s="372">
        <f t="shared" si="47"/>
        <v>-111.58961057641812</v>
      </c>
      <c r="AD116">
        <f t="shared" si="52"/>
        <v>0</v>
      </c>
      <c r="AE116">
        <f t="shared" si="53"/>
        <v>0</v>
      </c>
    </row>
    <row r="117" spans="1:31" x14ac:dyDescent="0.3">
      <c r="A117" s="373">
        <v>6025.6</v>
      </c>
      <c r="B117" s="390">
        <f t="shared" si="49"/>
        <v>6.0256000000000007</v>
      </c>
      <c r="C117" s="363">
        <f t="shared" si="27"/>
        <v>44.731643884737629</v>
      </c>
      <c r="D117" s="364">
        <f t="shared" si="28"/>
        <v>1.5484389254810884</v>
      </c>
      <c r="E117" s="364">
        <f t="shared" si="29"/>
        <v>1.0010314992092111</v>
      </c>
      <c r="F117" s="365">
        <f t="shared" si="30"/>
        <v>4.5400734137465114E-2</v>
      </c>
      <c r="G117" s="364">
        <f t="shared" si="31"/>
        <v>1.0952026681804166</v>
      </c>
      <c r="H117" s="365">
        <f t="shared" si="32"/>
        <v>-0.42003905893709864</v>
      </c>
      <c r="I117" s="363">
        <f t="shared" si="33"/>
        <v>9117.3299377338753</v>
      </c>
      <c r="J117" s="366">
        <f t="shared" si="34"/>
        <v>1.5706866455604964</v>
      </c>
      <c r="K117" s="374">
        <f t="shared" si="35"/>
        <v>30.955316940376065</v>
      </c>
      <c r="L117" s="375">
        <f t="shared" si="36"/>
        <v>1.5384860773099045</v>
      </c>
      <c r="M117" s="363">
        <f t="shared" si="37"/>
        <v>1.0046051916050933</v>
      </c>
      <c r="N117" s="366">
        <f t="shared" si="38"/>
        <v>9.5787135055041259E-2</v>
      </c>
      <c r="O117" s="367">
        <f t="shared" si="39"/>
        <v>1.0000125914625622</v>
      </c>
      <c r="P117" s="368">
        <f t="shared" si="40"/>
        <v>2.8845647378898678E-2</v>
      </c>
      <c r="Q117" s="369">
        <f t="shared" si="41"/>
        <v>0.91435636468007497</v>
      </c>
      <c r="R117" s="370">
        <f t="shared" si="42"/>
        <v>-119.17009933599942</v>
      </c>
      <c r="S117" s="372">
        <f t="shared" si="43"/>
        <v>60.829900664000576</v>
      </c>
      <c r="U117" s="345">
        <f t="shared" si="50"/>
        <v>1000000000</v>
      </c>
      <c r="V117" s="345">
        <f t="shared" si="51"/>
        <v>36307855.360000007</v>
      </c>
      <c r="X117" s="371">
        <f t="shared" si="44"/>
        <v>38.674117641494199</v>
      </c>
      <c r="Y117" s="372">
        <f t="shared" si="45"/>
        <v>-7.3331552373647044</v>
      </c>
      <c r="AA117" s="371">
        <f t="shared" si="46"/>
        <v>34.281438549745125</v>
      </c>
      <c r="AB117" s="372">
        <f t="shared" si="47"/>
        <v>-111.8369440986347</v>
      </c>
      <c r="AD117">
        <f t="shared" si="52"/>
        <v>0</v>
      </c>
      <c r="AE117">
        <f t="shared" si="53"/>
        <v>0</v>
      </c>
    </row>
    <row r="118" spans="1:31" x14ac:dyDescent="0.3">
      <c r="A118" s="373">
        <v>6095.8</v>
      </c>
      <c r="B118" s="390">
        <f t="shared" si="49"/>
        <v>6.0958000000000006</v>
      </c>
      <c r="C118" s="363">
        <f t="shared" si="27"/>
        <v>45.252521651912353</v>
      </c>
      <c r="D118" s="364">
        <f t="shared" si="28"/>
        <v>1.5486963118143309</v>
      </c>
      <c r="E118" s="364">
        <f t="shared" si="29"/>
        <v>1.0010556610012757</v>
      </c>
      <c r="F118" s="365">
        <f t="shared" si="30"/>
        <v>4.5928926694104553E-2</v>
      </c>
      <c r="G118" s="364">
        <f t="shared" si="31"/>
        <v>1.0973348165867804</v>
      </c>
      <c r="H118" s="365">
        <f t="shared" si="32"/>
        <v>-0.42436860234201312</v>
      </c>
      <c r="I118" s="363">
        <f t="shared" si="33"/>
        <v>9223.5494932924303</v>
      </c>
      <c r="J118" s="366">
        <f t="shared" si="34"/>
        <v>1.570687908663386</v>
      </c>
      <c r="K118" s="374">
        <f t="shared" si="35"/>
        <v>31.315581230886934</v>
      </c>
      <c r="L118" s="375">
        <f t="shared" si="36"/>
        <v>1.5388579117530985</v>
      </c>
      <c r="M118" s="363">
        <f t="shared" si="37"/>
        <v>1.0047128671717598</v>
      </c>
      <c r="N118" s="366">
        <f t="shared" si="38"/>
        <v>9.6896151019560714E-2</v>
      </c>
      <c r="O118" s="367">
        <f t="shared" si="39"/>
        <v>1.0000128885099038</v>
      </c>
      <c r="P118" s="368">
        <f t="shared" si="40"/>
        <v>2.9181793801871841E-2</v>
      </c>
      <c r="Q118" s="369">
        <f t="shared" si="41"/>
        <v>0.82986351646887047</v>
      </c>
      <c r="R118" s="370">
        <f t="shared" si="42"/>
        <v>-119.46421737869568</v>
      </c>
      <c r="S118" s="372">
        <f t="shared" si="43"/>
        <v>60.535782621304321</v>
      </c>
      <c r="U118" s="345">
        <f t="shared" si="50"/>
        <v>1000000000</v>
      </c>
      <c r="V118" s="345">
        <f t="shared" si="51"/>
        <v>37158777.640000001</v>
      </c>
      <c r="X118" s="371">
        <f t="shared" si="44"/>
        <v>38.673082933711449</v>
      </c>
      <c r="Y118" s="372">
        <f t="shared" si="45"/>
        <v>-7.375464997784702</v>
      </c>
      <c r="AA118" s="371">
        <f t="shared" si="46"/>
        <v>34.197980409316671</v>
      </c>
      <c r="AB118" s="372">
        <f t="shared" si="47"/>
        <v>-112.088752380911</v>
      </c>
      <c r="AD118">
        <f t="shared" si="52"/>
        <v>0</v>
      </c>
      <c r="AE118">
        <f t="shared" si="53"/>
        <v>0</v>
      </c>
    </row>
    <row r="119" spans="1:31" x14ac:dyDescent="0.3">
      <c r="A119" s="373">
        <v>6166</v>
      </c>
      <c r="B119" s="390">
        <f t="shared" si="49"/>
        <v>6.1660000000000004</v>
      </c>
      <c r="C119" s="363">
        <f t="shared" si="27"/>
        <v>45.773402348734976</v>
      </c>
      <c r="D119" s="364">
        <f t="shared" si="28"/>
        <v>1.5489478402828936</v>
      </c>
      <c r="E119" s="364">
        <f t="shared" si="29"/>
        <v>1.0010801020617066</v>
      </c>
      <c r="F119" s="365">
        <f t="shared" si="30"/>
        <v>4.6457093606774788E-2</v>
      </c>
      <c r="G119" s="364">
        <f t="shared" si="31"/>
        <v>1.0994874544732023</v>
      </c>
      <c r="H119" s="365">
        <f t="shared" si="32"/>
        <v>-0.42868127308194393</v>
      </c>
      <c r="I119" s="363">
        <f t="shared" si="33"/>
        <v>9329.7690488653661</v>
      </c>
      <c r="J119" s="366">
        <f t="shared" si="34"/>
        <v>1.5706891430053862</v>
      </c>
      <c r="K119" s="374">
        <f t="shared" si="35"/>
        <v>31.675849752628594</v>
      </c>
      <c r="L119" s="375">
        <f t="shared" si="36"/>
        <v>1.5392212880513312</v>
      </c>
      <c r="M119" s="363">
        <f t="shared" si="37"/>
        <v>1.0048217781855471</v>
      </c>
      <c r="N119" s="366">
        <f t="shared" si="38"/>
        <v>9.8004927938630415E-2</v>
      </c>
      <c r="O119" s="367">
        <f t="shared" si="39"/>
        <v>1.0000131890887507</v>
      </c>
      <c r="P119" s="368">
        <f t="shared" si="40"/>
        <v>2.9517943219218825E-2</v>
      </c>
      <c r="Q119" s="369">
        <f t="shared" si="41"/>
        <v>0.7466453948497338</v>
      </c>
      <c r="R119" s="370">
        <f t="shared" si="42"/>
        <v>-119.75750397066726</v>
      </c>
      <c r="S119" s="372">
        <f t="shared" si="43"/>
        <v>60.242496029332742</v>
      </c>
      <c r="U119" s="345">
        <f t="shared" si="50"/>
        <v>1000000000</v>
      </c>
      <c r="V119" s="345">
        <f t="shared" si="51"/>
        <v>38019556</v>
      </c>
      <c r="X119" s="371">
        <f t="shared" si="44"/>
        <v>38.672041168492662</v>
      </c>
      <c r="Y119" s="372">
        <f t="shared" si="45"/>
        <v>-7.4182440300410573</v>
      </c>
      <c r="AA119" s="371">
        <f t="shared" si="46"/>
        <v>34.115804052916317</v>
      </c>
      <c r="AB119" s="372">
        <f t="shared" si="47"/>
        <v>-112.33925994062616</v>
      </c>
      <c r="AD119">
        <f t="shared" si="52"/>
        <v>0</v>
      </c>
      <c r="AE119">
        <f t="shared" si="53"/>
        <v>0</v>
      </c>
    </row>
    <row r="120" spans="1:31" x14ac:dyDescent="0.3">
      <c r="A120" s="373">
        <v>6237.8</v>
      </c>
      <c r="B120" s="390">
        <f t="shared" si="49"/>
        <v>6.2378</v>
      </c>
      <c r="C120" s="363">
        <f t="shared" si="27"/>
        <v>46.306157897793085</v>
      </c>
      <c r="D120" s="364">
        <f t="shared" si="28"/>
        <v>1.5491992479483414</v>
      </c>
      <c r="E120" s="364">
        <f t="shared" si="29"/>
        <v>1.0011053890505621</v>
      </c>
      <c r="F120" s="365">
        <f t="shared" si="30"/>
        <v>4.6997271679237375E-2</v>
      </c>
      <c r="G120" s="364">
        <f t="shared" si="31"/>
        <v>1.1017102254368798</v>
      </c>
      <c r="H120" s="365">
        <f t="shared" si="32"/>
        <v>-0.43307472081158171</v>
      </c>
      <c r="I120" s="363">
        <f t="shared" si="33"/>
        <v>9438.4095629842486</v>
      </c>
      <c r="J120" s="366">
        <f t="shared" si="34"/>
        <v>1.5706903767410028</v>
      </c>
      <c r="K120" s="374">
        <f t="shared" si="35"/>
        <v>32.044333750965727</v>
      </c>
      <c r="L120" s="375">
        <f t="shared" si="36"/>
        <v>1.5395844941723007</v>
      </c>
      <c r="M120" s="363">
        <f t="shared" si="37"/>
        <v>1.0049344490884642</v>
      </c>
      <c r="N120" s="366">
        <f t="shared" si="38"/>
        <v>9.9138726086405504E-2</v>
      </c>
      <c r="O120" s="367">
        <f t="shared" si="39"/>
        <v>1.0000135001748274</v>
      </c>
      <c r="P120" s="368">
        <f t="shared" si="40"/>
        <v>2.9861757295145046E-2</v>
      </c>
      <c r="Q120" s="369">
        <f t="shared" si="41"/>
        <v>0.66282009777195516</v>
      </c>
      <c r="R120" s="370">
        <f t="shared" si="42"/>
        <v>-120.05660611205241</v>
      </c>
      <c r="S120" s="372">
        <f t="shared" si="43"/>
        <v>59.943393887947593</v>
      </c>
      <c r="U120" s="345">
        <f t="shared" si="50"/>
        <v>1000000000</v>
      </c>
      <c r="V120" s="345">
        <f t="shared" si="51"/>
        <v>38910148.840000004</v>
      </c>
      <c r="X120" s="371">
        <f t="shared" si="44"/>
        <v>38.670968201817061</v>
      </c>
      <c r="Y120" s="372">
        <f t="shared" si="45"/>
        <v>-7.4624663887978535</v>
      </c>
      <c r="AA120" s="371">
        <f t="shared" si="46"/>
        <v>34.033051722514138</v>
      </c>
      <c r="AB120" s="372">
        <f t="shared" si="47"/>
        <v>-112.59413972325454</v>
      </c>
      <c r="AD120">
        <f t="shared" si="52"/>
        <v>0</v>
      </c>
      <c r="AE120">
        <f t="shared" si="53"/>
        <v>0</v>
      </c>
    </row>
    <row r="121" spans="1:31" x14ac:dyDescent="0.3">
      <c r="A121" s="373">
        <v>6309.6</v>
      </c>
      <c r="B121" s="390">
        <f t="shared" si="49"/>
        <v>6.3096000000000005</v>
      </c>
      <c r="C121" s="363">
        <f t="shared" si="27"/>
        <v>46.838916307089015</v>
      </c>
      <c r="D121" s="364">
        <f t="shared" si="28"/>
        <v>1.5494449364724567</v>
      </c>
      <c r="E121" s="364">
        <f t="shared" si="29"/>
        <v>1.0011309681395053</v>
      </c>
      <c r="F121" s="365">
        <f t="shared" si="30"/>
        <v>4.753742230599764E-2</v>
      </c>
      <c r="G121" s="364">
        <f t="shared" si="31"/>
        <v>1.1039541761592138</v>
      </c>
      <c r="H121" s="365">
        <f t="shared" si="32"/>
        <v>-0.43745039204815928</v>
      </c>
      <c r="I121" s="363">
        <f t="shared" si="33"/>
        <v>9547.0500771171701</v>
      </c>
      <c r="J121" s="366">
        <f t="shared" si="34"/>
        <v>1.5706915823980672</v>
      </c>
      <c r="K121" s="374">
        <f t="shared" si="35"/>
        <v>32.412821880434343</v>
      </c>
      <c r="L121" s="375">
        <f t="shared" si="36"/>
        <v>1.5399394420552135</v>
      </c>
      <c r="M121" s="363">
        <f t="shared" si="37"/>
        <v>1.0050484115422347</v>
      </c>
      <c r="N121" s="366">
        <f t="shared" si="38"/>
        <v>0.10027226856829709</v>
      </c>
      <c r="O121" s="367">
        <f t="shared" si="39"/>
        <v>1.0000138149619058</v>
      </c>
      <c r="P121" s="368">
        <f t="shared" si="40"/>
        <v>3.0205574576324227E-2</v>
      </c>
      <c r="Q121" s="369">
        <f t="shared" si="41"/>
        <v>0.58027015972004881</v>
      </c>
      <c r="R121" s="370">
        <f t="shared" si="42"/>
        <v>-120.35482071374747</v>
      </c>
      <c r="S121" s="372">
        <f t="shared" si="43"/>
        <v>59.645179286252528</v>
      </c>
      <c r="U121" s="345">
        <f t="shared" si="50"/>
        <v>1000000000</v>
      </c>
      <c r="V121" s="345">
        <f t="shared" si="51"/>
        <v>39811052.160000004</v>
      </c>
      <c r="X121" s="371">
        <f t="shared" si="44"/>
        <v>38.669887543085387</v>
      </c>
      <c r="Y121" s="372">
        <f t="shared" si="45"/>
        <v>-7.5071456523833957</v>
      </c>
      <c r="AA121" s="371">
        <f t="shared" si="46"/>
        <v>33.951582443193907</v>
      </c>
      <c r="AB121" s="372">
        <f t="shared" si="47"/>
        <v>-112.84767506136406</v>
      </c>
      <c r="AD121">
        <f t="shared" si="52"/>
        <v>0</v>
      </c>
      <c r="AE121">
        <f t="shared" si="53"/>
        <v>0</v>
      </c>
    </row>
    <row r="122" spans="1:31" x14ac:dyDescent="0.3">
      <c r="A122" s="373">
        <v>6383.05</v>
      </c>
      <c r="B122" s="390">
        <f t="shared" si="49"/>
        <v>6.3830499999999999</v>
      </c>
      <c r="C122" s="363">
        <f t="shared" si="27"/>
        <v>47.383920630746843</v>
      </c>
      <c r="D122" s="364">
        <f t="shared" si="28"/>
        <v>1.5496905543552624</v>
      </c>
      <c r="E122" s="364">
        <f t="shared" si="29"/>
        <v>1.0011574372715186</v>
      </c>
      <c r="F122" s="365">
        <f t="shared" si="30"/>
        <v>4.8089957139533762E-2</v>
      </c>
      <c r="G122" s="364">
        <f t="shared" si="31"/>
        <v>1.1062714750396523</v>
      </c>
      <c r="H122" s="365">
        <f t="shared" si="32"/>
        <v>-0.44190816308772163</v>
      </c>
      <c r="I122" s="363">
        <f t="shared" si="33"/>
        <v>9658.1872047504658</v>
      </c>
      <c r="J122" s="366">
        <f t="shared" si="34"/>
        <v>1.570692787695831</v>
      </c>
      <c r="K122" s="374">
        <f t="shared" si="35"/>
        <v>32.789782181283648</v>
      </c>
      <c r="L122" s="375">
        <f t="shared" si="36"/>
        <v>1.5402942919336011</v>
      </c>
      <c r="M122" s="363">
        <f t="shared" si="37"/>
        <v>1.0051663288648855</v>
      </c>
      <c r="N122" s="366">
        <f t="shared" si="38"/>
        <v>0.1014315929323073</v>
      </c>
      <c r="O122" s="367">
        <f t="shared" si="39"/>
        <v>1.0000141408160874</v>
      </c>
      <c r="P122" s="368">
        <f t="shared" si="40"/>
        <v>3.0557296305990578E-2</v>
      </c>
      <c r="Q122" s="369">
        <f t="shared" si="41"/>
        <v>0.49711365142379627</v>
      </c>
      <c r="R122" s="370">
        <f t="shared" si="42"/>
        <v>-120.65896135665966</v>
      </c>
      <c r="S122" s="372">
        <f t="shared" si="43"/>
        <v>59.34103864334034</v>
      </c>
      <c r="U122" s="345">
        <f t="shared" si="50"/>
        <v>1000000000</v>
      </c>
      <c r="V122" s="345">
        <f t="shared" si="51"/>
        <v>40743327.302500002</v>
      </c>
      <c r="X122" s="371">
        <f t="shared" si="44"/>
        <v>38.66877394228878</v>
      </c>
      <c r="Y122" s="372">
        <f t="shared" si="45"/>
        <v>-7.5533077036631999</v>
      </c>
      <c r="AA122" s="371">
        <f t="shared" si="46"/>
        <v>33.869539535694258</v>
      </c>
      <c r="AB122" s="372">
        <f t="shared" si="47"/>
        <v>-113.10565365299645</v>
      </c>
      <c r="AD122">
        <f t="shared" si="52"/>
        <v>0</v>
      </c>
      <c r="AE122">
        <f t="shared" si="53"/>
        <v>0</v>
      </c>
    </row>
    <row r="123" spans="1:31" x14ac:dyDescent="0.3">
      <c r="A123" s="373">
        <v>6456.5</v>
      </c>
      <c r="B123" s="390">
        <f t="shared" si="49"/>
        <v>6.4565000000000001</v>
      </c>
      <c r="C123" s="363">
        <f t="shared" si="27"/>
        <v>47.928927747978115</v>
      </c>
      <c r="D123" s="364">
        <f t="shared" si="28"/>
        <v>1.549930586335772</v>
      </c>
      <c r="E123" s="364">
        <f t="shared" si="29"/>
        <v>1.0011842120354182</v>
      </c>
      <c r="F123" s="365">
        <f t="shared" si="30"/>
        <v>4.8642462588756985E-2</v>
      </c>
      <c r="G123" s="364">
        <f t="shared" si="31"/>
        <v>1.1086106652826828</v>
      </c>
      <c r="H123" s="365">
        <f t="shared" si="32"/>
        <v>-0.44634721006152961</v>
      </c>
      <c r="I123" s="363">
        <f t="shared" si="33"/>
        <v>9769.324332397473</v>
      </c>
      <c r="J123" s="366">
        <f t="shared" si="34"/>
        <v>1.5706939655703409</v>
      </c>
      <c r="K123" s="374">
        <f t="shared" si="35"/>
        <v>33.166746517117225</v>
      </c>
      <c r="L123" s="375">
        <f t="shared" si="36"/>
        <v>1.5406410755979467</v>
      </c>
      <c r="M123" s="363">
        <f t="shared" si="37"/>
        <v>1.0052855968462429</v>
      </c>
      <c r="N123" s="366">
        <f t="shared" si="38"/>
        <v>0.10259064376725698</v>
      </c>
      <c r="O123" s="367">
        <f t="shared" si="39"/>
        <v>1.0000144705506451</v>
      </c>
      <c r="P123" s="368">
        <f t="shared" si="40"/>
        <v>3.0909021467866678E-2</v>
      </c>
      <c r="Q123" s="369">
        <f t="shared" si="41"/>
        <v>0.41523347469852873</v>
      </c>
      <c r="R123" s="370">
        <f t="shared" si="42"/>
        <v>-120.96215593797345</v>
      </c>
      <c r="S123" s="372">
        <f t="shared" si="43"/>
        <v>59.037844062026551</v>
      </c>
      <c r="U123" s="345">
        <f t="shared" si="50"/>
        <v>1000000000</v>
      </c>
      <c r="V123" s="345">
        <f t="shared" si="51"/>
        <v>41686392.25</v>
      </c>
      <c r="X123" s="371">
        <f t="shared" si="44"/>
        <v>38.667651998826614</v>
      </c>
      <c r="Y123" s="372">
        <f t="shared" si="45"/>
        <v>-7.59991467166732</v>
      </c>
      <c r="AA123" s="371">
        <f t="shared" si="46"/>
        <v>33.788781302431168</v>
      </c>
      <c r="AB123" s="372">
        <f t="shared" si="47"/>
        <v>-113.36224126630611</v>
      </c>
      <c r="AD123">
        <f t="shared" si="52"/>
        <v>0</v>
      </c>
      <c r="AE123">
        <f t="shared" si="53"/>
        <v>0</v>
      </c>
    </row>
    <row r="124" spans="1:31" x14ac:dyDescent="0.3">
      <c r="A124" s="373">
        <v>6531.7</v>
      </c>
      <c r="B124" s="390">
        <f t="shared" si="49"/>
        <v>6.5316999999999998</v>
      </c>
      <c r="C124" s="363">
        <f t="shared" si="27"/>
        <v>48.48692285444293</v>
      </c>
      <c r="D124" s="364">
        <f t="shared" si="28"/>
        <v>1.5501707468019907</v>
      </c>
      <c r="E124" s="364">
        <f t="shared" si="29"/>
        <v>1.0012119413435436</v>
      </c>
      <c r="F124" s="365">
        <f t="shared" si="30"/>
        <v>4.9208101092050899E-2</v>
      </c>
      <c r="G124" s="364">
        <f t="shared" si="31"/>
        <v>1.1110281239889961</v>
      </c>
      <c r="H124" s="365">
        <f t="shared" si="32"/>
        <v>-0.45087256344685728</v>
      </c>
      <c r="I124" s="363">
        <f t="shared" si="33"/>
        <v>9883.1093834534695</v>
      </c>
      <c r="J124" s="366">
        <f t="shared" si="34"/>
        <v>1.5706951440635408</v>
      </c>
      <c r="K124" s="374">
        <f t="shared" si="35"/>
        <v>33.552696342428007</v>
      </c>
      <c r="L124" s="375">
        <f t="shared" si="36"/>
        <v>1.5409880486746259</v>
      </c>
      <c r="M124" s="363">
        <f t="shared" si="37"/>
        <v>1.0054091052852761</v>
      </c>
      <c r="N124" s="366">
        <f t="shared" si="38"/>
        <v>0.10377702330461488</v>
      </c>
      <c r="O124" s="367">
        <f t="shared" si="39"/>
        <v>1.0000148121654582</v>
      </c>
      <c r="P124" s="368">
        <f t="shared" si="40"/>
        <v>3.1269130336116134E-2</v>
      </c>
      <c r="Q124" s="369">
        <f t="shared" si="41"/>
        <v>0.33269541878156184</v>
      </c>
      <c r="R124" s="370">
        <f t="shared" si="42"/>
        <v>-121.27158575875829</v>
      </c>
      <c r="S124" s="372">
        <f t="shared" si="43"/>
        <v>58.728414241241708</v>
      </c>
      <c r="U124" s="345">
        <f t="shared" si="50"/>
        <v>1000000000</v>
      </c>
      <c r="V124" s="345">
        <f t="shared" si="51"/>
        <v>42663104.890000001</v>
      </c>
      <c r="X124" s="371">
        <f t="shared" si="44"/>
        <v>38.666494539995412</v>
      </c>
      <c r="Y124" s="372">
        <f t="shared" si="45"/>
        <v>-7.6480766419017963</v>
      </c>
      <c r="AA124" s="371">
        <f t="shared" si="46"/>
        <v>33.7074007053454</v>
      </c>
      <c r="AB124" s="372">
        <f t="shared" si="47"/>
        <v>-113.6235091168565</v>
      </c>
      <c r="AD124">
        <f t="shared" si="52"/>
        <v>0</v>
      </c>
      <c r="AE124">
        <f t="shared" si="53"/>
        <v>0</v>
      </c>
    </row>
    <row r="125" spans="1:31" x14ac:dyDescent="0.3">
      <c r="A125" s="373">
        <v>6606.9</v>
      </c>
      <c r="B125" s="390">
        <f t="shared" si="49"/>
        <v>6.6068999999999996</v>
      </c>
      <c r="C125" s="363">
        <f t="shared" si="27"/>
        <v>49.044920693855588</v>
      </c>
      <c r="D125" s="364">
        <f t="shared" si="28"/>
        <v>1.5504054425353202</v>
      </c>
      <c r="E125" s="364">
        <f t="shared" si="29"/>
        <v>1.0012399909685392</v>
      </c>
      <c r="F125" s="365">
        <f t="shared" si="30"/>
        <v>4.977370808370335E-2</v>
      </c>
      <c r="G125" s="364">
        <f t="shared" si="31"/>
        <v>1.1134682361763464</v>
      </c>
      <c r="H125" s="365">
        <f t="shared" si="32"/>
        <v>-0.45537817457708391</v>
      </c>
      <c r="I125" s="363">
        <f t="shared" si="33"/>
        <v>9996.8944345228774</v>
      </c>
      <c r="J125" s="366">
        <f t="shared" si="34"/>
        <v>1.5706962957294275</v>
      </c>
      <c r="K125" s="374">
        <f t="shared" si="35"/>
        <v>33.938650115285789</v>
      </c>
      <c r="L125" s="375">
        <f t="shared" si="36"/>
        <v>1.5413271301652867</v>
      </c>
      <c r="M125" s="363">
        <f t="shared" si="37"/>
        <v>1.0055340284852181</v>
      </c>
      <c r="N125" s="366">
        <f t="shared" si="38"/>
        <v>0.10496310972971326</v>
      </c>
      <c r="O125" s="367">
        <f t="shared" si="39"/>
        <v>1.0000151578557894</v>
      </c>
      <c r="P125" s="368">
        <f t="shared" si="40"/>
        <v>3.1629242885680219E-2</v>
      </c>
      <c r="Q125" s="369">
        <f t="shared" si="41"/>
        <v>0.25143660100933585</v>
      </c>
      <c r="R125" s="370">
        <f t="shared" si="42"/>
        <v>-121.58000716530907</v>
      </c>
      <c r="S125" s="372">
        <f t="shared" si="43"/>
        <v>58.41999283469093</v>
      </c>
      <c r="U125" s="345">
        <f t="shared" si="50"/>
        <v>1000000000</v>
      </c>
      <c r="V125" s="345">
        <f t="shared" si="51"/>
        <v>43651127.609999992</v>
      </c>
      <c r="X125" s="371">
        <f t="shared" si="44"/>
        <v>38.665328058289319</v>
      </c>
      <c r="Y125" s="372">
        <f t="shared" si="45"/>
        <v>-7.6966724355220677</v>
      </c>
      <c r="AA125" s="371">
        <f t="shared" si="46"/>
        <v>33.627308369279262</v>
      </c>
      <c r="AB125" s="372">
        <f t="shared" si="47"/>
        <v>-113.88333472978698</v>
      </c>
      <c r="AD125">
        <f t="shared" si="52"/>
        <v>0</v>
      </c>
      <c r="AE125">
        <f t="shared" si="53"/>
        <v>0</v>
      </c>
    </row>
    <row r="126" spans="1:31" x14ac:dyDescent="0.3">
      <c r="A126" s="373">
        <v>6683.85</v>
      </c>
      <c r="B126" s="390">
        <f t="shared" si="49"/>
        <v>6.6838500000000005</v>
      </c>
      <c r="C126" s="363">
        <f t="shared" si="27"/>
        <v>49.61590658822459</v>
      </c>
      <c r="D126" s="364">
        <f t="shared" si="28"/>
        <v>1.5506401352831949</v>
      </c>
      <c r="E126" s="364">
        <f t="shared" si="29"/>
        <v>1.0012690249009095</v>
      </c>
      <c r="F126" s="365">
        <f t="shared" si="30"/>
        <v>5.0352444477209844E-2</v>
      </c>
      <c r="G126" s="364">
        <f t="shared" si="31"/>
        <v>1.1159884282429711</v>
      </c>
      <c r="H126" s="365">
        <f t="shared" si="32"/>
        <v>-0.4599681452034689</v>
      </c>
      <c r="I126" s="363">
        <f t="shared" si="33"/>
        <v>10113.327409001598</v>
      </c>
      <c r="J126" s="366">
        <f t="shared" si="34"/>
        <v>1.5706974473696405</v>
      </c>
      <c r="K126" s="374">
        <f t="shared" si="35"/>
        <v>34.333589472678852</v>
      </c>
      <c r="L126" s="375">
        <f t="shared" si="36"/>
        <v>1.5416662108752117</v>
      </c>
      <c r="M126" s="363">
        <f t="shared" si="37"/>
        <v>1.0056633227863909</v>
      </c>
      <c r="N126" s="366">
        <f t="shared" si="38"/>
        <v>0.10617649111007332</v>
      </c>
      <c r="O126" s="367">
        <f t="shared" si="39"/>
        <v>1.0000155158139747</v>
      </c>
      <c r="P126" s="368">
        <f t="shared" si="40"/>
        <v>3.1997739568923676E-2</v>
      </c>
      <c r="Q126" s="369">
        <f t="shared" si="41"/>
        <v>0.16958154631998051</v>
      </c>
      <c r="R126" s="370">
        <f t="shared" si="42"/>
        <v>-121.89455388906585</v>
      </c>
      <c r="S126" s="372">
        <f t="shared" si="43"/>
        <v>58.105446110934153</v>
      </c>
      <c r="U126" s="345">
        <f t="shared" si="50"/>
        <v>1000000000</v>
      </c>
      <c r="V126" s="345">
        <f t="shared" si="51"/>
        <v>44673850.822500005</v>
      </c>
      <c r="X126" s="371">
        <f t="shared" si="44"/>
        <v>38.664124957193579</v>
      </c>
      <c r="Y126" s="372">
        <f t="shared" si="45"/>
        <v>-7.7468321581444899</v>
      </c>
      <c r="AA126" s="371">
        <f t="shared" si="46"/>
        <v>33.546656415685653</v>
      </c>
      <c r="AB126" s="372">
        <f t="shared" si="47"/>
        <v>-114.14772173092139</v>
      </c>
      <c r="AD126">
        <f t="shared" si="52"/>
        <v>0</v>
      </c>
      <c r="AE126">
        <f t="shared" si="53"/>
        <v>0</v>
      </c>
    </row>
    <row r="127" spans="1:31" x14ac:dyDescent="0.3">
      <c r="A127" s="373">
        <v>6760.8</v>
      </c>
      <c r="B127" s="390">
        <f t="shared" si="49"/>
        <v>6.7608000000000006</v>
      </c>
      <c r="C127" s="363">
        <f t="shared" si="27"/>
        <v>50.186895153286713</v>
      </c>
      <c r="D127" s="364">
        <f t="shared" si="28"/>
        <v>1.5508694877300246</v>
      </c>
      <c r="E127" s="364">
        <f t="shared" si="29"/>
        <v>1.001298394174621</v>
      </c>
      <c r="F127" s="365">
        <f t="shared" si="30"/>
        <v>5.0931147114480595E-2</v>
      </c>
      <c r="G127" s="364">
        <f t="shared" si="31"/>
        <v>1.1185320255278086</v>
      </c>
      <c r="H127" s="365">
        <f t="shared" si="32"/>
        <v>-0.46453733608821957</v>
      </c>
      <c r="I127" s="363">
        <f t="shared" si="33"/>
        <v>10229.760383493425</v>
      </c>
      <c r="J127" s="366">
        <f t="shared" si="34"/>
        <v>1.5706985727944016</v>
      </c>
      <c r="K127" s="374">
        <f t="shared" si="35"/>
        <v>34.728532687817008</v>
      </c>
      <c r="L127" s="375">
        <f t="shared" si="36"/>
        <v>1.5419975793689089</v>
      </c>
      <c r="M127" s="363">
        <f t="shared" si="37"/>
        <v>1.0057940973380755</v>
      </c>
      <c r="N127" s="366">
        <f t="shared" si="38"/>
        <v>0.10738955874544391</v>
      </c>
      <c r="O127" s="367">
        <f t="shared" si="39"/>
        <v>1.0000158780483808</v>
      </c>
      <c r="P127" s="368">
        <f t="shared" si="40"/>
        <v>3.2366240196404321E-2</v>
      </c>
      <c r="Q127" s="369">
        <f t="shared" si="41"/>
        <v>8.9007049126124935E-2</v>
      </c>
      <c r="R127" s="370">
        <f t="shared" si="42"/>
        <v>-122.2080286038353</v>
      </c>
      <c r="S127" s="372">
        <f t="shared" si="43"/>
        <v>57.791971396164698</v>
      </c>
      <c r="U127" s="345">
        <f t="shared" si="50"/>
        <v>1000000000</v>
      </c>
      <c r="V127" s="345">
        <f t="shared" si="51"/>
        <v>45708416.640000001</v>
      </c>
      <c r="X127" s="371">
        <f t="shared" si="44"/>
        <v>38.662912145345004</v>
      </c>
      <c r="Y127" s="372">
        <f t="shared" si="45"/>
        <v>-7.7974142799094528</v>
      </c>
      <c r="AA127" s="371">
        <f t="shared" si="46"/>
        <v>33.46729473034037</v>
      </c>
      <c r="AB127" s="372">
        <f t="shared" si="47"/>
        <v>-114.41061432392586</v>
      </c>
      <c r="AD127">
        <f t="shared" si="52"/>
        <v>0</v>
      </c>
      <c r="AE127">
        <f t="shared" si="53"/>
        <v>0</v>
      </c>
    </row>
    <row r="128" spans="1:31" x14ac:dyDescent="0.3">
      <c r="A128" s="373">
        <v>6839.55</v>
      </c>
      <c r="B128" s="390">
        <f t="shared" si="49"/>
        <v>6.83955</v>
      </c>
      <c r="C128" s="363">
        <f t="shared" si="27"/>
        <v>50.771242847123496</v>
      </c>
      <c r="D128" s="364">
        <f t="shared" si="28"/>
        <v>1.5510988639822298</v>
      </c>
      <c r="E128" s="364">
        <f t="shared" si="29"/>
        <v>1.0013287976175458</v>
      </c>
      <c r="F128" s="365">
        <f t="shared" si="30"/>
        <v>5.1523351304317962E-2</v>
      </c>
      <c r="G128" s="364">
        <f t="shared" si="31"/>
        <v>1.121159188793948</v>
      </c>
      <c r="H128" s="365">
        <f t="shared" si="32"/>
        <v>-0.46919184330187647</v>
      </c>
      <c r="I128" s="363">
        <f t="shared" si="33"/>
        <v>10348.916936349049</v>
      </c>
      <c r="J128" s="366">
        <f t="shared" si="34"/>
        <v>1.5706996983256851</v>
      </c>
      <c r="K128" s="374">
        <f t="shared" si="35"/>
        <v>35.132718199145252</v>
      </c>
      <c r="L128" s="375">
        <f t="shared" si="36"/>
        <v>1.5423289855541398</v>
      </c>
      <c r="M128" s="363">
        <f t="shared" si="37"/>
        <v>1.0059294629352773</v>
      </c>
      <c r="N128" s="366">
        <f t="shared" si="38"/>
        <v>0.10863067379575293</v>
      </c>
      <c r="O128" s="367">
        <f t="shared" si="39"/>
        <v>1.0000162531882697</v>
      </c>
      <c r="P128" s="368">
        <f t="shared" si="40"/>
        <v>3.2743364852587775E-2</v>
      </c>
      <c r="Q128" s="369">
        <f t="shared" si="41"/>
        <v>7.8439880919966565E-3</v>
      </c>
      <c r="R128" s="370">
        <f t="shared" si="42"/>
        <v>-122.52771833163706</v>
      </c>
      <c r="S128" s="372">
        <f t="shared" si="43"/>
        <v>57.472281668362939</v>
      </c>
      <c r="U128" s="345">
        <f t="shared" si="50"/>
        <v>1000000000</v>
      </c>
      <c r="V128" s="345">
        <f t="shared" si="51"/>
        <v>46779444.202500001</v>
      </c>
      <c r="X128" s="371">
        <f t="shared" si="44"/>
        <v>38.661660783201043</v>
      </c>
      <c r="Y128" s="372">
        <f t="shared" si="45"/>
        <v>-7.8496012467159595</v>
      </c>
      <c r="AA128" s="371">
        <f t="shared" si="46"/>
        <v>33.387383031450206</v>
      </c>
      <c r="AB128" s="372">
        <f t="shared" si="47"/>
        <v>-114.67811708492114</v>
      </c>
      <c r="AD128">
        <f t="shared" si="52"/>
        <v>6839.55</v>
      </c>
      <c r="AE128">
        <f t="shared" si="53"/>
        <v>57.472281668362939</v>
      </c>
    </row>
    <row r="129" spans="1:31" x14ac:dyDescent="0.3">
      <c r="A129" s="373">
        <v>6918.3</v>
      </c>
      <c r="B129" s="390">
        <f t="shared" si="49"/>
        <v>6.9183000000000003</v>
      </c>
      <c r="C129" s="363">
        <f t="shared" si="27"/>
        <v>51.355593151421751</v>
      </c>
      <c r="D129" s="364">
        <f t="shared" si="28"/>
        <v>1.5513230203244923</v>
      </c>
      <c r="E129" s="364">
        <f t="shared" si="29"/>
        <v>1.0013595522108936</v>
      </c>
      <c r="F129" s="365">
        <f t="shared" si="30"/>
        <v>5.211551932527924E-2</v>
      </c>
      <c r="G129" s="364">
        <f t="shared" si="31"/>
        <v>1.1238105274735544</v>
      </c>
      <c r="H129" s="365">
        <f t="shared" si="32"/>
        <v>-0.47382448828790708</v>
      </c>
      <c r="I129" s="363">
        <f t="shared" si="33"/>
        <v>10468.073489217484</v>
      </c>
      <c r="J129" s="366">
        <f t="shared" si="34"/>
        <v>1.570700798233452</v>
      </c>
      <c r="K129" s="374">
        <f t="shared" si="35"/>
        <v>35.536907481328157</v>
      </c>
      <c r="L129" s="375">
        <f t="shared" si="36"/>
        <v>1.5426528530863191</v>
      </c>
      <c r="M129" s="363">
        <f t="shared" si="37"/>
        <v>1.0060663776142331</v>
      </c>
      <c r="N129" s="366">
        <f t="shared" si="38"/>
        <v>0.10987145295239766</v>
      </c>
      <c r="O129" s="367">
        <f t="shared" si="39"/>
        <v>1.0000166328164393</v>
      </c>
      <c r="P129" s="368">
        <f t="shared" si="40"/>
        <v>3.3120493735698281E-2</v>
      </c>
      <c r="Q129" s="369">
        <f t="shared" si="41"/>
        <v>-7.2037106349196078E-2</v>
      </c>
      <c r="R129" s="370">
        <f t="shared" si="42"/>
        <v>-122.84626990135811</v>
      </c>
      <c r="S129" s="372">
        <f t="shared" si="43"/>
        <v>57.153730098641887</v>
      </c>
      <c r="U129" s="345">
        <f t="shared" si="50"/>
        <v>6918.3</v>
      </c>
      <c r="V129" s="345">
        <f t="shared" si="51"/>
        <v>47862874.890000001</v>
      </c>
      <c r="X129" s="371">
        <f t="shared" si="44"/>
        <v>38.660399002098401</v>
      </c>
      <c r="Y129" s="372">
        <f t="shared" si="45"/>
        <v>-7.9021994331173078</v>
      </c>
      <c r="AA129" s="371">
        <f t="shared" si="46"/>
        <v>33.308763718111656</v>
      </c>
      <c r="AB129" s="372">
        <f t="shared" si="47"/>
        <v>-114.94407046824077</v>
      </c>
      <c r="AD129">
        <f t="shared" si="52"/>
        <v>0</v>
      </c>
      <c r="AE129">
        <f t="shared" si="53"/>
        <v>0</v>
      </c>
    </row>
    <row r="130" spans="1:31" x14ac:dyDescent="0.3">
      <c r="A130" s="373">
        <v>6998.9</v>
      </c>
      <c r="B130" s="390">
        <f t="shared" si="49"/>
        <v>6.9988999999999999</v>
      </c>
      <c r="C130" s="363">
        <f t="shared" si="27"/>
        <v>51.953673661413511</v>
      </c>
      <c r="D130" s="364">
        <f t="shared" si="28"/>
        <v>1.5515472210653249</v>
      </c>
      <c r="E130" s="364">
        <f t="shared" si="29"/>
        <v>1.0013913928805249</v>
      </c>
      <c r="F130" s="365">
        <f t="shared" si="30"/>
        <v>5.2721560711687585E-2</v>
      </c>
      <c r="G130" s="364">
        <f t="shared" si="31"/>
        <v>1.1265490074032682</v>
      </c>
      <c r="H130" s="365">
        <f t="shared" si="32"/>
        <v>-0.47854327936157987</v>
      </c>
      <c r="I130" s="363">
        <f t="shared" si="33"/>
        <v>10590.029275404215</v>
      </c>
      <c r="J130" s="366">
        <f t="shared" si="34"/>
        <v>1.5707018983494712</v>
      </c>
      <c r="K130" s="374">
        <f t="shared" si="35"/>
        <v>35.95059577582947</v>
      </c>
      <c r="L130" s="375">
        <f t="shared" si="36"/>
        <v>1.5429767878455287</v>
      </c>
      <c r="M130" s="363">
        <f t="shared" si="37"/>
        <v>1.0062081121374367</v>
      </c>
      <c r="N130" s="366">
        <f t="shared" si="38"/>
        <v>0.11114102890602363</v>
      </c>
      <c r="O130" s="367">
        <f t="shared" si="39"/>
        <v>1.0000170260157242</v>
      </c>
      <c r="P130" s="368">
        <f t="shared" si="40"/>
        <v>3.35064865821878E-2</v>
      </c>
      <c r="Q130" s="369">
        <f t="shared" si="41"/>
        <v>-0.15249705397056115</v>
      </c>
      <c r="R130" s="370">
        <f t="shared" si="42"/>
        <v>-123.17111889962143</v>
      </c>
      <c r="S130" s="372">
        <f t="shared" si="43"/>
        <v>56.828881100378567</v>
      </c>
      <c r="U130" s="345">
        <f t="shared" si="50"/>
        <v>6998.9</v>
      </c>
      <c r="V130" s="345">
        <f t="shared" si="51"/>
        <v>48984601.209999993</v>
      </c>
      <c r="X130" s="371">
        <f t="shared" si="44"/>
        <v>38.659096670949936</v>
      </c>
      <c r="Y130" s="372">
        <f t="shared" si="45"/>
        <v>-7.9564437145579356</v>
      </c>
      <c r="AA130" s="371">
        <f t="shared" si="46"/>
        <v>33.229606101638751</v>
      </c>
      <c r="AB130" s="372">
        <f t="shared" si="47"/>
        <v>-115.21467518506348</v>
      </c>
      <c r="AD130">
        <f t="shared" si="52"/>
        <v>0</v>
      </c>
      <c r="AE130">
        <f t="shared" si="53"/>
        <v>0</v>
      </c>
    </row>
    <row r="131" spans="1:31" x14ac:dyDescent="0.3">
      <c r="A131" s="373">
        <v>7079.5</v>
      </c>
      <c r="B131" s="390">
        <f t="shared" si="49"/>
        <v>7.0795000000000003</v>
      </c>
      <c r="C131" s="363">
        <f t="shared" si="27"/>
        <v>52.551756723465196</v>
      </c>
      <c r="D131" s="364">
        <f t="shared" si="28"/>
        <v>1.5517663186320665</v>
      </c>
      <c r="E131" s="364">
        <f t="shared" si="29"/>
        <v>1.0014236013238904</v>
      </c>
      <c r="F131" s="365">
        <f t="shared" si="30"/>
        <v>5.3327563336858494E-2</v>
      </c>
      <c r="G131" s="364">
        <f t="shared" si="31"/>
        <v>1.1293124502056682</v>
      </c>
      <c r="H131" s="365">
        <f t="shared" si="32"/>
        <v>-0.4832390806814702</v>
      </c>
      <c r="I131" s="363">
        <f t="shared" si="33"/>
        <v>10711.985061603473</v>
      </c>
      <c r="J131" s="366">
        <f t="shared" si="34"/>
        <v>1.5707029734158822</v>
      </c>
      <c r="K131" s="374">
        <f t="shared" si="35"/>
        <v>36.364287756928576</v>
      </c>
      <c r="L131" s="375">
        <f t="shared" si="36"/>
        <v>1.5432933522626817</v>
      </c>
      <c r="M131" s="363">
        <f t="shared" si="37"/>
        <v>1.0063514680317591</v>
      </c>
      <c r="N131" s="366">
        <f t="shared" si="38"/>
        <v>0.11241024519988406</v>
      </c>
      <c r="O131" s="367">
        <f t="shared" si="39"/>
        <v>1.0000174239272448</v>
      </c>
      <c r="P131" s="368">
        <f t="shared" si="40"/>
        <v>3.3892483959446107E-2</v>
      </c>
      <c r="Q131" s="369">
        <f t="shared" si="41"/>
        <v>-0.23167361388894031</v>
      </c>
      <c r="R131" s="370">
        <f t="shared" si="42"/>
        <v>-123.49476101940127</v>
      </c>
      <c r="S131" s="372">
        <f t="shared" si="43"/>
        <v>56.505238980598733</v>
      </c>
      <c r="U131" s="345">
        <f t="shared" si="50"/>
        <v>7079.5</v>
      </c>
      <c r="V131" s="345">
        <f t="shared" si="51"/>
        <v>50119320.25</v>
      </c>
      <c r="X131" s="371">
        <f t="shared" si="44"/>
        <v>38.657783190975159</v>
      </c>
      <c r="Y131" s="372">
        <f t="shared" si="45"/>
        <v>-8.0110882432689703</v>
      </c>
      <c r="AA131" s="371">
        <f t="shared" si="46"/>
        <v>33.151743021695154</v>
      </c>
      <c r="AB131" s="372">
        <f t="shared" si="47"/>
        <v>-115.48367277613229</v>
      </c>
      <c r="AD131">
        <f t="shared" si="52"/>
        <v>0</v>
      </c>
      <c r="AE131">
        <f t="shared" si="53"/>
        <v>0</v>
      </c>
    </row>
    <row r="132" spans="1:31" x14ac:dyDescent="0.3">
      <c r="A132" s="373">
        <v>7161.95</v>
      </c>
      <c r="B132" s="390">
        <f t="shared" si="49"/>
        <v>7.16195</v>
      </c>
      <c r="C132" s="363">
        <f t="shared" si="27"/>
        <v>53.163570049276423</v>
      </c>
      <c r="D132" s="364">
        <f t="shared" si="28"/>
        <v>1.55198534444331</v>
      </c>
      <c r="E132" s="364">
        <f t="shared" si="29"/>
        <v>1.0014569295387388</v>
      </c>
      <c r="F132" s="365">
        <f t="shared" si="30"/>
        <v>5.3947434885457564E-2</v>
      </c>
      <c r="G132" s="364">
        <f t="shared" si="31"/>
        <v>1.1321649602180064</v>
      </c>
      <c r="H132" s="365">
        <f t="shared" si="32"/>
        <v>-0.4880188371427211</v>
      </c>
      <c r="I132" s="363">
        <f t="shared" si="33"/>
        <v>10836.740081121308</v>
      </c>
      <c r="J132" s="366">
        <f t="shared" si="34"/>
        <v>1.5707040481212426</v>
      </c>
      <c r="K132" s="374">
        <f t="shared" si="35"/>
        <v>36.787478834328525</v>
      </c>
      <c r="L132" s="375">
        <f t="shared" si="36"/>
        <v>1.5436098158757079</v>
      </c>
      <c r="M132" s="363">
        <f t="shared" si="37"/>
        <v>1.0064997912514302</v>
      </c>
      <c r="N132" s="366">
        <f t="shared" si="38"/>
        <v>0.11370821738995428</v>
      </c>
      <c r="O132" s="367">
        <f t="shared" si="39"/>
        <v>1.000017835853374</v>
      </c>
      <c r="P132" s="368">
        <f t="shared" si="40"/>
        <v>3.4287345820210882E-2</v>
      </c>
      <c r="Q132" s="369">
        <f t="shared" si="41"/>
        <v>-0.31136950160618321</v>
      </c>
      <c r="R132" s="370">
        <f t="shared" si="42"/>
        <v>-123.82457591633633</v>
      </c>
      <c r="S132" s="372">
        <f t="shared" si="43"/>
        <v>56.175424083663671</v>
      </c>
      <c r="U132" s="345">
        <f t="shared" si="50"/>
        <v>7161.95</v>
      </c>
      <c r="V132" s="345">
        <f t="shared" si="51"/>
        <v>51293527.802499995</v>
      </c>
      <c r="X132" s="371">
        <f t="shared" si="44"/>
        <v>38.656427915035692</v>
      </c>
      <c r="Y132" s="372">
        <f t="shared" si="45"/>
        <v>-8.0673861184351843</v>
      </c>
      <c r="AA132" s="371">
        <f t="shared" si="46"/>
        <v>33.073402409917364</v>
      </c>
      <c r="AB132" s="372">
        <f t="shared" si="47"/>
        <v>-115.75718979790113</v>
      </c>
      <c r="AD132">
        <f t="shared" si="52"/>
        <v>0</v>
      </c>
      <c r="AE132">
        <f t="shared" si="53"/>
        <v>0</v>
      </c>
    </row>
    <row r="133" spans="1:31" x14ac:dyDescent="0.3">
      <c r="A133" s="373">
        <v>7244.4</v>
      </c>
      <c r="B133" s="390">
        <f t="shared" si="49"/>
        <v>7.2443999999999997</v>
      </c>
      <c r="C133" s="363">
        <f t="shared" si="27"/>
        <v>53.775385867434281</v>
      </c>
      <c r="D133" s="364">
        <f t="shared" si="28"/>
        <v>1.5521993864433594</v>
      </c>
      <c r="E133" s="364">
        <f t="shared" si="29"/>
        <v>1.0014906425284382</v>
      </c>
      <c r="F133" s="365">
        <f t="shared" si="30"/>
        <v>5.4567264938970357E-2</v>
      </c>
      <c r="G133" s="364">
        <f t="shared" si="31"/>
        <v>1.1350432054018591</v>
      </c>
      <c r="H133" s="365">
        <f t="shared" si="32"/>
        <v>-0.4927744607594528</v>
      </c>
      <c r="I133" s="363">
        <f t="shared" si="33"/>
        <v>10961.495100651375</v>
      </c>
      <c r="J133" s="366">
        <f t="shared" si="34"/>
        <v>1.5707050983637196</v>
      </c>
      <c r="K133" s="374">
        <f t="shared" si="35"/>
        <v>37.210673512165023</v>
      </c>
      <c r="L133" s="375">
        <f t="shared" si="36"/>
        <v>1.543919081277106</v>
      </c>
      <c r="M133" s="363">
        <f t="shared" si="37"/>
        <v>1.0066498096519509</v>
      </c>
      <c r="N133" s="366">
        <f t="shared" si="38"/>
        <v>0.1150058048987383</v>
      </c>
      <c r="O133" s="367">
        <f t="shared" si="39"/>
        <v>1.0000182527221548</v>
      </c>
      <c r="P133" s="368">
        <f t="shared" si="40"/>
        <v>3.4682212532290112E-2</v>
      </c>
      <c r="Q133" s="369">
        <f t="shared" si="41"/>
        <v>-0.38978218239488949</v>
      </c>
      <c r="R133" s="370">
        <f t="shared" si="42"/>
        <v>-124.15311419214935</v>
      </c>
      <c r="S133" s="372">
        <f t="shared" si="43"/>
        <v>55.846885807850654</v>
      </c>
      <c r="U133" s="345">
        <f t="shared" si="50"/>
        <v>7244.4</v>
      </c>
      <c r="V133" s="345">
        <f t="shared" si="51"/>
        <v>52481331.359999992</v>
      </c>
      <c r="X133" s="371">
        <f t="shared" si="44"/>
        <v>38.655060751944816</v>
      </c>
      <c r="Y133" s="372">
        <f t="shared" si="45"/>
        <v>-8.1240729785140537</v>
      </c>
      <c r="AA133" s="371">
        <f t="shared" si="46"/>
        <v>32.996356892219545</v>
      </c>
      <c r="AB133" s="372">
        <f t="shared" si="47"/>
        <v>-116.02904121363528</v>
      </c>
      <c r="AD133">
        <f t="shared" si="52"/>
        <v>0</v>
      </c>
      <c r="AE133">
        <f t="shared" si="53"/>
        <v>0</v>
      </c>
    </row>
    <row r="134" spans="1:31" x14ac:dyDescent="0.3">
      <c r="A134" s="373">
        <v>7328.75</v>
      </c>
      <c r="B134" s="390">
        <f t="shared" si="49"/>
        <v>7.3287500000000003</v>
      </c>
      <c r="C134" s="363">
        <f t="shared" si="27"/>
        <v>54.401303025512753</v>
      </c>
      <c r="D134" s="364">
        <f t="shared" si="28"/>
        <v>1.5524133788004137</v>
      </c>
      <c r="E134" s="364">
        <f t="shared" si="29"/>
        <v>1.0015255305461273</v>
      </c>
      <c r="F134" s="365">
        <f t="shared" si="30"/>
        <v>5.5201335090445135E-2</v>
      </c>
      <c r="G134" s="364">
        <f t="shared" si="31"/>
        <v>1.1380142055887679</v>
      </c>
      <c r="H134" s="365">
        <f t="shared" si="32"/>
        <v>-0.49761466833592771</v>
      </c>
      <c r="I134" s="363">
        <f t="shared" si="33"/>
        <v>11089.125008454521</v>
      </c>
      <c r="J134" s="366">
        <f t="shared" si="34"/>
        <v>1.5707061483542539</v>
      </c>
      <c r="K134" s="374">
        <f t="shared" si="35"/>
        <v>37.643624001326508</v>
      </c>
      <c r="L134" s="375">
        <f t="shared" si="36"/>
        <v>1.5442282776295748</v>
      </c>
      <c r="M134" s="363">
        <f t="shared" si="37"/>
        <v>1.0068050385539073</v>
      </c>
      <c r="N134" s="366">
        <f t="shared" si="38"/>
        <v>0.11633289190685187</v>
      </c>
      <c r="O134" s="367">
        <f t="shared" si="39"/>
        <v>1.0000186843184169</v>
      </c>
      <c r="P134" s="368">
        <f t="shared" si="40"/>
        <v>3.5086183737582939E-2</v>
      </c>
      <c r="Q134" s="369">
        <f t="shared" si="41"/>
        <v>-0.46870396247663321</v>
      </c>
      <c r="R134" s="370">
        <f t="shared" si="42"/>
        <v>-124.48789581765216</v>
      </c>
      <c r="S134" s="372">
        <f t="shared" si="43"/>
        <v>55.512104182347841</v>
      </c>
      <c r="U134" s="345">
        <f t="shared" si="50"/>
        <v>7328.75</v>
      </c>
      <c r="V134" s="345">
        <f t="shared" si="51"/>
        <v>53710576.5625</v>
      </c>
      <c r="X134" s="371">
        <f t="shared" si="44"/>
        <v>38.653649676994526</v>
      </c>
      <c r="Y134" s="372">
        <f t="shared" si="45"/>
        <v>-8.1824539771811473</v>
      </c>
      <c r="AA134" s="371">
        <f t="shared" si="46"/>
        <v>32.918846187088093</v>
      </c>
      <c r="AB134" s="372">
        <f t="shared" si="47"/>
        <v>-116.30544184047102</v>
      </c>
      <c r="AD134">
        <f t="shared" si="52"/>
        <v>0</v>
      </c>
      <c r="AE134">
        <f t="shared" si="53"/>
        <v>0</v>
      </c>
    </row>
    <row r="135" spans="1:31" x14ac:dyDescent="0.3">
      <c r="A135" s="373">
        <v>7413.1</v>
      </c>
      <c r="B135" s="390">
        <f t="shared" si="49"/>
        <v>7.4131</v>
      </c>
      <c r="C135" s="363">
        <f t="shared" si="27"/>
        <v>55.027222618102428</v>
      </c>
      <c r="D135" s="364">
        <f t="shared" si="28"/>
        <v>1.5526225029579093</v>
      </c>
      <c r="E135" s="364">
        <f t="shared" si="29"/>
        <v>1.0015608211939584</v>
      </c>
      <c r="F135" s="365">
        <f t="shared" si="30"/>
        <v>5.5835360813062375E-2</v>
      </c>
      <c r="G135" s="364">
        <f t="shared" si="31"/>
        <v>1.1410117275235507</v>
      </c>
      <c r="H135" s="365">
        <f t="shared" si="32"/>
        <v>-0.50242955705797632</v>
      </c>
      <c r="I135" s="363">
        <f t="shared" si="33"/>
        <v>11216.754916269616</v>
      </c>
      <c r="J135" s="366">
        <f t="shared" si="34"/>
        <v>1.570707174450142</v>
      </c>
      <c r="K135" s="374">
        <f t="shared" si="35"/>
        <v>38.076578007467091</v>
      </c>
      <c r="L135" s="375">
        <f t="shared" si="36"/>
        <v>1.5445304425066908</v>
      </c>
      <c r="M135" s="363">
        <f t="shared" si="37"/>
        <v>1.0069620400520503</v>
      </c>
      <c r="N135" s="366">
        <f t="shared" si="38"/>
        <v>0.11765956742264085</v>
      </c>
      <c r="O135" s="367">
        <f t="shared" si="39"/>
        <v>1.0000191211004805</v>
      </c>
      <c r="P135" s="368">
        <f t="shared" si="40"/>
        <v>3.5490160138293966E-2</v>
      </c>
      <c r="Q135" s="369">
        <f t="shared" si="41"/>
        <v>-0.54634274695261409</v>
      </c>
      <c r="R135" s="370">
        <f t="shared" si="42"/>
        <v>-124.82132862365134</v>
      </c>
      <c r="S135" s="372">
        <f t="shared" si="43"/>
        <v>55.17867137634866</v>
      </c>
      <c r="U135" s="345">
        <f t="shared" si="50"/>
        <v>7413.1</v>
      </c>
      <c r="V135" s="345">
        <f t="shared" si="51"/>
        <v>54954051.610000007</v>
      </c>
      <c r="X135" s="371">
        <f t="shared" si="44"/>
        <v>38.652225953665102</v>
      </c>
      <c r="Y135" s="372">
        <f t="shared" si="45"/>
        <v>-8.241212903874267</v>
      </c>
      <c r="AA135" s="371">
        <f t="shared" si="46"/>
        <v>32.84263112594153</v>
      </c>
      <c r="AB135" s="372">
        <f t="shared" si="47"/>
        <v>-116.58011571977706</v>
      </c>
      <c r="AD135">
        <f t="shared" si="52"/>
        <v>0</v>
      </c>
      <c r="AE135">
        <f t="shared" si="53"/>
        <v>0</v>
      </c>
    </row>
    <row r="136" spans="1:31" x14ac:dyDescent="0.3">
      <c r="A136" s="373">
        <v>7499.45</v>
      </c>
      <c r="B136" s="390">
        <f t="shared" si="49"/>
        <v>7.4994499999999995</v>
      </c>
      <c r="C136" s="363">
        <f t="shared" si="27"/>
        <v>55.667985656639523</v>
      </c>
      <c r="D136" s="364">
        <f t="shared" si="28"/>
        <v>1.5528317143140857</v>
      </c>
      <c r="E136" s="364">
        <f t="shared" si="29"/>
        <v>1.0015973656276467</v>
      </c>
      <c r="F136" s="365">
        <f t="shared" si="30"/>
        <v>5.6484373199071285E-2</v>
      </c>
      <c r="G136" s="364">
        <f t="shared" si="31"/>
        <v>1.1441075777181824</v>
      </c>
      <c r="H136" s="365">
        <f t="shared" si="32"/>
        <v>-0.50733235948665401</v>
      </c>
      <c r="I136" s="363">
        <f t="shared" si="33"/>
        <v>11347.411022266553</v>
      </c>
      <c r="J136" s="366">
        <f t="shared" si="34"/>
        <v>1.5707082009660769</v>
      </c>
      <c r="K136" s="374">
        <f t="shared" si="35"/>
        <v>38.519801188002887</v>
      </c>
      <c r="L136" s="375">
        <f t="shared" si="36"/>
        <v>1.5448327358797314</v>
      </c>
      <c r="M136" s="363">
        <f t="shared" si="37"/>
        <v>1.0071245994434124</v>
      </c>
      <c r="N136" s="366">
        <f t="shared" si="38"/>
        <v>0.11901726846542722</v>
      </c>
      <c r="O136" s="367">
        <f t="shared" si="39"/>
        <v>1.0000195736174986</v>
      </c>
      <c r="P136" s="368">
        <f t="shared" si="40"/>
        <v>3.5903720557924408E-2</v>
      </c>
      <c r="Q136" s="369">
        <f t="shared" si="41"/>
        <v>-0.62452362903338021</v>
      </c>
      <c r="R136" s="370">
        <f t="shared" si="42"/>
        <v>-125.16126425494589</v>
      </c>
      <c r="S136" s="372">
        <f t="shared" si="43"/>
        <v>54.838735745054109</v>
      </c>
      <c r="U136" s="345">
        <f t="shared" si="50"/>
        <v>7499.45</v>
      </c>
      <c r="V136" s="345">
        <f t="shared" si="51"/>
        <v>56241750.302499995</v>
      </c>
      <c r="X136" s="371">
        <f t="shared" si="44"/>
        <v>38.650755272224309</v>
      </c>
      <c r="Y136" s="372">
        <f t="shared" si="45"/>
        <v>-8.3017421241162754</v>
      </c>
      <c r="AA136" s="371">
        <f t="shared" si="46"/>
        <v>32.765920925301558</v>
      </c>
      <c r="AB136" s="372">
        <f t="shared" si="47"/>
        <v>-116.85952213082962</v>
      </c>
      <c r="AD136">
        <f t="shared" si="52"/>
        <v>0</v>
      </c>
      <c r="AE136">
        <f t="shared" si="53"/>
        <v>0</v>
      </c>
    </row>
    <row r="137" spans="1:31" x14ac:dyDescent="0.3">
      <c r="A137" s="373">
        <v>7585.8</v>
      </c>
      <c r="B137" s="390">
        <f t="shared" si="49"/>
        <v>7.5857999999999999</v>
      </c>
      <c r="C137" s="363">
        <f t="shared" si="27"/>
        <v>56.308751076277105</v>
      </c>
      <c r="D137" s="364">
        <f t="shared" si="28"/>
        <v>1.5530361642378852</v>
      </c>
      <c r="E137" s="364">
        <f t="shared" si="29"/>
        <v>1.0016343319203611</v>
      </c>
      <c r="F137" s="365">
        <f t="shared" si="30"/>
        <v>5.7133337953547296E-2</v>
      </c>
      <c r="G137" s="364">
        <f t="shared" si="31"/>
        <v>1.1472307805542274</v>
      </c>
      <c r="H137" s="365">
        <f t="shared" si="32"/>
        <v>-0.51220858397552549</v>
      </c>
      <c r="I137" s="363">
        <f t="shared" si="33"/>
        <v>11478.067128275175</v>
      </c>
      <c r="J137" s="366">
        <f t="shared" si="34"/>
        <v>1.5707092041121236</v>
      </c>
      <c r="K137" s="374">
        <f t="shared" si="35"/>
        <v>38.963027808444231</v>
      </c>
      <c r="L137" s="375">
        <f t="shared" si="36"/>
        <v>1.5451281517608693</v>
      </c>
      <c r="M137" s="363">
        <f t="shared" si="37"/>
        <v>1.0072890147188349</v>
      </c>
      <c r="N137" s="366">
        <f t="shared" si="38"/>
        <v>0.12037452878652181</v>
      </c>
      <c r="O137" s="367">
        <f t="shared" si="39"/>
        <v>1.0000200315831178</v>
      </c>
      <c r="P137" s="368">
        <f t="shared" si="40"/>
        <v>3.6317286548730981E-2</v>
      </c>
      <c r="Q137" s="369">
        <f t="shared" si="41"/>
        <v>-0.70142036014338882</v>
      </c>
      <c r="R137" s="370">
        <f t="shared" si="42"/>
        <v>-125.49977478154165</v>
      </c>
      <c r="S137" s="372">
        <f t="shared" si="43"/>
        <v>54.500225218458354</v>
      </c>
      <c r="U137" s="345">
        <f t="shared" si="50"/>
        <v>7585.8</v>
      </c>
      <c r="V137" s="345">
        <f t="shared" si="51"/>
        <v>57544361.640000001</v>
      </c>
      <c r="X137" s="371">
        <f t="shared" si="44"/>
        <v>38.649271141417579</v>
      </c>
      <c r="Y137" s="372">
        <f t="shared" si="45"/>
        <v>-8.362638805129528</v>
      </c>
      <c r="AA137" s="371">
        <f t="shared" si="46"/>
        <v>32.690508324998284</v>
      </c>
      <c r="AB137" s="372">
        <f t="shared" si="47"/>
        <v>-117.13713597641213</v>
      </c>
      <c r="AD137">
        <f t="shared" si="52"/>
        <v>0</v>
      </c>
      <c r="AE137">
        <f t="shared" si="53"/>
        <v>0</v>
      </c>
    </row>
    <row r="138" spans="1:31" x14ac:dyDescent="0.3">
      <c r="A138" s="373">
        <v>7674.15</v>
      </c>
      <c r="B138" s="390">
        <f t="shared" si="49"/>
        <v>7.67415</v>
      </c>
      <c r="C138" s="363">
        <f t="shared" si="27"/>
        <v>56.964359998045872</v>
      </c>
      <c r="D138" s="364">
        <f t="shared" si="28"/>
        <v>1.553240588975616</v>
      </c>
      <c r="E138" s="364">
        <f t="shared" si="29"/>
        <v>1.001672590989608</v>
      </c>
      <c r="F138" s="365">
        <f t="shared" si="30"/>
        <v>5.7797283875074539E-2</v>
      </c>
      <c r="G138" s="364">
        <f t="shared" si="31"/>
        <v>1.1504543995289389</v>
      </c>
      <c r="H138" s="365">
        <f t="shared" si="32"/>
        <v>-0.51717022587951178</v>
      </c>
      <c r="I138" s="363">
        <f t="shared" si="33"/>
        <v>11611.749432465916</v>
      </c>
      <c r="J138" s="366">
        <f t="shared" si="34"/>
        <v>1.5707102071273089</v>
      </c>
      <c r="K138" s="374">
        <f t="shared" si="35"/>
        <v>39.416523684531249</v>
      </c>
      <c r="L138" s="375">
        <f t="shared" si="36"/>
        <v>1.5454235335850528</v>
      </c>
      <c r="M138" s="363">
        <f t="shared" si="37"/>
        <v>1.0074591580190106</v>
      </c>
      <c r="N138" s="366">
        <f t="shared" si="38"/>
        <v>0.12176276422207881</v>
      </c>
      <c r="O138" s="367">
        <f t="shared" si="39"/>
        <v>1.0000205058027871</v>
      </c>
      <c r="P138" s="368">
        <f t="shared" si="40"/>
        <v>3.6740437202605739E-2</v>
      </c>
      <c r="Q138" s="369">
        <f t="shared" si="41"/>
        <v>-0.77879941259162933</v>
      </c>
      <c r="R138" s="370">
        <f t="shared" si="42"/>
        <v>-125.84464541272047</v>
      </c>
      <c r="S138" s="372">
        <f t="shared" si="43"/>
        <v>54.155354587279533</v>
      </c>
      <c r="U138" s="345">
        <f t="shared" si="50"/>
        <v>7674.15</v>
      </c>
      <c r="V138" s="345">
        <f t="shared" si="51"/>
        <v>58892578.222499996</v>
      </c>
      <c r="X138" s="371">
        <f t="shared" si="44"/>
        <v>38.647738623282123</v>
      </c>
      <c r="Y138" s="372">
        <f t="shared" si="45"/>
        <v>-8.4253121732953815</v>
      </c>
      <c r="AA138" s="371">
        <f t="shared" si="46"/>
        <v>32.614661790685503</v>
      </c>
      <c r="AB138" s="372">
        <f t="shared" si="47"/>
        <v>-117.41933323942509</v>
      </c>
      <c r="AD138">
        <f t="shared" si="52"/>
        <v>0</v>
      </c>
      <c r="AE138">
        <f t="shared" si="53"/>
        <v>0</v>
      </c>
    </row>
    <row r="139" spans="1:31" x14ac:dyDescent="0.3">
      <c r="A139" s="373">
        <v>7762.5</v>
      </c>
      <c r="B139" s="390">
        <f t="shared" si="49"/>
        <v>7.7625000000000002</v>
      </c>
      <c r="C139" s="363">
        <f t="shared" si="27"/>
        <v>57.619971246153561</v>
      </c>
      <c r="D139" s="364">
        <f t="shared" si="28"/>
        <v>1.5534403617526265</v>
      </c>
      <c r="E139" s="364">
        <f t="shared" si="29"/>
        <v>1.0017112915865169</v>
      </c>
      <c r="F139" s="365">
        <f t="shared" si="30"/>
        <v>5.8461178786830416E-2</v>
      </c>
      <c r="G139" s="364">
        <f t="shared" si="31"/>
        <v>1.1537061815885123</v>
      </c>
      <c r="H139" s="365">
        <f t="shared" si="32"/>
        <v>-0.52210401937368389</v>
      </c>
      <c r="I139" s="363">
        <f t="shared" si="33"/>
        <v>11745.431736668073</v>
      </c>
      <c r="J139" s="366">
        <f t="shared" si="34"/>
        <v>1.5707111873105739</v>
      </c>
      <c r="K139" s="374">
        <f t="shared" si="35"/>
        <v>39.870022921491135</v>
      </c>
      <c r="L139" s="375">
        <f t="shared" si="36"/>
        <v>1.5457121958274824</v>
      </c>
      <c r="M139" s="363">
        <f t="shared" si="37"/>
        <v>1.0076312422342124</v>
      </c>
      <c r="N139" s="366">
        <f t="shared" si="38"/>
        <v>0.12315052816305624</v>
      </c>
      <c r="O139" s="367">
        <f t="shared" si="39"/>
        <v>1.000020985741688</v>
      </c>
      <c r="P139" s="368">
        <f t="shared" si="40"/>
        <v>3.7163593824183896E-2</v>
      </c>
      <c r="Q139" s="369">
        <f t="shared" si="41"/>
        <v>-0.85489486838381812</v>
      </c>
      <c r="R139" s="370">
        <f t="shared" si="42"/>
        <v>-126.18801385525465</v>
      </c>
      <c r="S139" s="372">
        <f t="shared" si="43"/>
        <v>53.811986144745347</v>
      </c>
      <c r="U139" s="345">
        <f t="shared" si="50"/>
        <v>7762.5</v>
      </c>
      <c r="V139" s="345">
        <f t="shared" si="51"/>
        <v>60256406.25</v>
      </c>
      <c r="X139" s="371">
        <f t="shared" si="44"/>
        <v>38.646191844440295</v>
      </c>
      <c r="Y139" s="372">
        <f t="shared" si="45"/>
        <v>-8.4883422223140848</v>
      </c>
      <c r="AA139" s="371">
        <f t="shared" si="46"/>
        <v>32.540113113735138</v>
      </c>
      <c r="AB139" s="372">
        <f t="shared" si="47"/>
        <v>-117.69967163294052</v>
      </c>
      <c r="AD139">
        <f t="shared" si="52"/>
        <v>0</v>
      </c>
      <c r="AE139">
        <f t="shared" si="53"/>
        <v>0</v>
      </c>
    </row>
    <row r="140" spans="1:31" x14ac:dyDescent="0.3">
      <c r="A140" s="373">
        <v>7852.9</v>
      </c>
      <c r="B140" s="390">
        <f t="shared" si="49"/>
        <v>7.8529</v>
      </c>
      <c r="C140" s="363">
        <f t="shared" si="27"/>
        <v>58.290797079045795</v>
      </c>
      <c r="D140" s="364">
        <f t="shared" si="28"/>
        <v>1.5536401184788149</v>
      </c>
      <c r="E140" s="364">
        <f t="shared" si="29"/>
        <v>1.0017513471203241</v>
      </c>
      <c r="F140" s="365">
        <f t="shared" si="30"/>
        <v>5.9140424761438742E-2</v>
      </c>
      <c r="G140" s="364">
        <f t="shared" si="31"/>
        <v>1.1570623184846363</v>
      </c>
      <c r="H140" s="365">
        <f t="shared" si="32"/>
        <v>-0.52712346281743439</v>
      </c>
      <c r="I140" s="363">
        <f t="shared" si="33"/>
        <v>11882.21589400688</v>
      </c>
      <c r="J140" s="366">
        <f t="shared" si="34"/>
        <v>1.5707121674082889</v>
      </c>
      <c r="K140" s="374">
        <f t="shared" si="35"/>
        <v>40.334048138487788</v>
      </c>
      <c r="L140" s="375">
        <f t="shared" si="36"/>
        <v>1.5460008370562566</v>
      </c>
      <c r="M140" s="363">
        <f t="shared" si="37"/>
        <v>1.007809327302019</v>
      </c>
      <c r="N140" s="366">
        <f t="shared" si="38"/>
        <v>0.12456999927163129</v>
      </c>
      <c r="O140" s="367">
        <f t="shared" si="39"/>
        <v>1.0000214827447367</v>
      </c>
      <c r="P140" s="368">
        <f t="shared" si="40"/>
        <v>3.7596575268918617E-2</v>
      </c>
      <c r="Q140" s="369">
        <f t="shared" si="41"/>
        <v>-0.93145790460183886</v>
      </c>
      <c r="R140" s="370">
        <f t="shared" si="42"/>
        <v>-126.53779001454268</v>
      </c>
      <c r="S140" s="372">
        <f t="shared" si="43"/>
        <v>53.462209985457321</v>
      </c>
      <c r="U140" s="345">
        <f t="shared" si="50"/>
        <v>7852.9</v>
      </c>
      <c r="V140" s="345">
        <f t="shared" si="51"/>
        <v>61668038.409999996</v>
      </c>
      <c r="X140" s="371">
        <f t="shared" si="44"/>
        <v>38.644594328657618</v>
      </c>
      <c r="Y140" s="372">
        <f t="shared" si="45"/>
        <v>-8.5531901573106435</v>
      </c>
      <c r="AA140" s="371">
        <f t="shared" si="46"/>
        <v>32.46514759329979</v>
      </c>
      <c r="AB140" s="372">
        <f t="shared" si="47"/>
        <v>-117.98459985723204</v>
      </c>
      <c r="AD140">
        <f t="shared" si="52"/>
        <v>0</v>
      </c>
      <c r="AE140">
        <f t="shared" si="53"/>
        <v>0</v>
      </c>
    </row>
    <row r="141" spans="1:31" x14ac:dyDescent="0.3">
      <c r="A141" s="373">
        <v>7943.3</v>
      </c>
      <c r="B141" s="390">
        <f t="shared" si="49"/>
        <v>7.9432999999999998</v>
      </c>
      <c r="C141" s="363">
        <f t="shared" ref="C141:C204" si="54">SQRT(1+(A141/pole1)^2)</f>
        <v>58.961625184974558</v>
      </c>
      <c r="D141" s="364">
        <f t="shared" ref="D141:D204" si="55">ATAN(A141/pole1)</f>
        <v>1.5538353298010887</v>
      </c>
      <c r="E141" s="364">
        <f t="shared" ref="E141:E204" si="56">SQRT(1+(A141/Zero1)^2)</f>
        <v>1.0017918648001689</v>
      </c>
      <c r="F141" s="365">
        <f t="shared" ref="F141:F204" si="57">ATAN(A141/Zero1)</f>
        <v>5.9819616104899248E-2</v>
      </c>
      <c r="G141" s="364">
        <f t="shared" ref="G141:G204" si="58">IF(VIN_nom&gt;Vout, 1, SQRT(1+(A141/z_RHP)^2))</f>
        <v>1.1604474383007426</v>
      </c>
      <c r="H141" s="365">
        <f t="shared" ref="H141:H204" si="59">IF(VIN_nom&gt;Vout, 0, -ATAN(A141/z_RHP))</f>
        <v>-0.53211374713049375</v>
      </c>
      <c r="I141" s="363">
        <f t="shared" ref="I141:I204" si="60">SQRT(1+(A141/Pole2)^2)</f>
        <v>12019.000051356841</v>
      </c>
      <c r="J141" s="366">
        <f t="shared" ref="J141:J204" si="61">ATAN(A141/Pole2)</f>
        <v>1.5707131251976856</v>
      </c>
      <c r="K141" s="374">
        <f t="shared" ref="K141:K147" si="62">SQRT(1+(A141/Zero2)^2)</f>
        <v>40.798076639425496</v>
      </c>
      <c r="L141" s="375">
        <f t="shared" ref="L141:L147" si="63">ATAN(A141/Zero2)</f>
        <v>1.5462829124222557</v>
      </c>
      <c r="M141" s="363">
        <f t="shared" ref="M141:M204" si="64">SQRT(1+(A141/pole4)^2)</f>
        <v>1.0079894422831488</v>
      </c>
      <c r="N141" s="366">
        <f t="shared" ref="N141:N204" si="65">ATAN(A141/pole4)</f>
        <v>0.12598896595531803</v>
      </c>
      <c r="O141" s="367">
        <f t="shared" ref="O141:O204" si="66">SQRT((1-(V141/pterm2))^2+(A141/pterm1)^2)</f>
        <v>1.0000219857522881</v>
      </c>
      <c r="P141" s="368">
        <f t="shared" ref="P141:P204" si="67">IF((ATAN((A141/pterm1)/(1-A141^2/pterm2))&gt;0),ATAN((A141/pterm1)/(1-A141^2/pterm2)),PI()+ATAN((A141/pterm1)/(1-A141^2/pterm2)))</f>
        <v>3.8029563106590732E-2</v>
      </c>
      <c r="Q141" s="369">
        <f t="shared" ref="Q141:Q204" si="68">20*LOG10(((E141*K141*G141)/(C141*I141*O141*M141))*Adc)</f>
        <v>-1.0067381355905438</v>
      </c>
      <c r="R141" s="370">
        <f t="shared" ref="R141:R204" si="69">((F141+L141+H141)-(D141+J141+P141+N141))*radconv</f>
        <v>-126.8859845593043</v>
      </c>
      <c r="S141" s="372">
        <f t="shared" ref="S141:S204" si="70">IF(R141&gt;0,R141,R141+180)</f>
        <v>53.114015440695695</v>
      </c>
      <c r="U141" s="345">
        <f t="shared" si="50"/>
        <v>7943.3</v>
      </c>
      <c r="V141" s="345">
        <f t="shared" si="51"/>
        <v>63096014.890000001</v>
      </c>
      <c r="X141" s="371">
        <f t="shared" ref="X141:X204" si="71">20*LOG10((K141/(I141*M141))*AEA)</f>
        <v>38.642981714395027</v>
      </c>
      <c r="Y141" s="372">
        <f t="shared" ref="Y141:Y204" si="72">(L141-(J141+N141))*radconv</f>
        <v>-8.6183841089437898</v>
      </c>
      <c r="AA141" s="371">
        <f t="shared" ref="AA141:AA204" si="73">20*LOG10((E141*G141/(C141*O141))*Acs*Am)</f>
        <v>32.391479976573677</v>
      </c>
      <c r="AB141" s="372">
        <f t="shared" ref="AB141:AB204" si="74">(F141+H141-(D141+P141))*radconv</f>
        <v>-118.26760045036052</v>
      </c>
      <c r="AD141">
        <f t="shared" si="52"/>
        <v>0</v>
      </c>
      <c r="AE141">
        <f t="shared" si="53"/>
        <v>0</v>
      </c>
    </row>
    <row r="142" spans="1:31" x14ac:dyDescent="0.3">
      <c r="A142" s="373">
        <v>8035.8</v>
      </c>
      <c r="B142" s="390">
        <f t="shared" ref="B142:B205" si="75">A142/1000</f>
        <v>8.0358000000000001</v>
      </c>
      <c r="C142" s="363">
        <f t="shared" si="54"/>
        <v>59.648038960025069</v>
      </c>
      <c r="D142" s="364">
        <f t="shared" si="55"/>
        <v>1.5540305308420919</v>
      </c>
      <c r="E142" s="364">
        <f t="shared" si="56"/>
        <v>1.001833802025081</v>
      </c>
      <c r="F142" s="365">
        <f t="shared" si="57"/>
        <v>6.0514527927162526E-2</v>
      </c>
      <c r="G142" s="364">
        <f t="shared" si="58"/>
        <v>1.1639409316085436</v>
      </c>
      <c r="H142" s="365">
        <f t="shared" si="59"/>
        <v>-0.53718978044310595</v>
      </c>
      <c r="I142" s="363">
        <f t="shared" si="60"/>
        <v>12158.961716797987</v>
      </c>
      <c r="J142" s="366">
        <f t="shared" si="61"/>
        <v>1.5707140829302955</v>
      </c>
      <c r="K142" s="374">
        <f t="shared" si="62"/>
        <v>41.27288784722024</v>
      </c>
      <c r="L142" s="375">
        <f t="shared" si="63"/>
        <v>1.5465649749655483</v>
      </c>
      <c r="M142" s="363">
        <f t="shared" si="64"/>
        <v>1.0081758414099038</v>
      </c>
      <c r="N142" s="366">
        <f t="shared" si="65"/>
        <v>0.12744036754606169</v>
      </c>
      <c r="O142" s="367">
        <f t="shared" si="66"/>
        <v>1.0000225066691075</v>
      </c>
      <c r="P142" s="368">
        <f t="shared" si="67"/>
        <v>3.8472615983999724E-2</v>
      </c>
      <c r="Q142" s="369">
        <f t="shared" si="68"/>
        <v>-1.0824699901314832</v>
      </c>
      <c r="R142" s="370">
        <f t="shared" si="69"/>
        <v>-127.24062665269854</v>
      </c>
      <c r="S142" s="372">
        <f t="shared" si="70"/>
        <v>52.759373347301462</v>
      </c>
      <c r="U142" s="345">
        <f t="shared" ref="U142:U205" si="76">IF(Q142&lt;0,A142,1000000000)</f>
        <v>8035.8</v>
      </c>
      <c r="V142" s="345">
        <f t="shared" ref="V142:V205" si="77">A142^2</f>
        <v>64574081.640000001</v>
      </c>
      <c r="X142" s="371">
        <f t="shared" si="71"/>
        <v>38.641315930760541</v>
      </c>
      <c r="Y142" s="372">
        <f t="shared" si="72"/>
        <v>-8.6854371752956592</v>
      </c>
      <c r="AA142" s="371">
        <f t="shared" si="73"/>
        <v>32.317413905667216</v>
      </c>
      <c r="AB142" s="372">
        <f t="shared" si="74"/>
        <v>-118.55518947740289</v>
      </c>
      <c r="AD142">
        <f t="shared" ref="AD142:AD205" si="78">SUM((Q143&lt;0)*(Q142&gt;0))*A142</f>
        <v>0</v>
      </c>
      <c r="AE142">
        <f t="shared" si="53"/>
        <v>0</v>
      </c>
    </row>
    <row r="143" spans="1:31" x14ac:dyDescent="0.3">
      <c r="A143" s="373">
        <v>8128.3</v>
      </c>
      <c r="B143" s="390">
        <f t="shared" si="75"/>
        <v>8.1282999999999994</v>
      </c>
      <c r="C143" s="363">
        <f t="shared" si="54"/>
        <v>60.334454956157039</v>
      </c>
      <c r="D143" s="364">
        <f t="shared" si="55"/>
        <v>1.5542212903446089</v>
      </c>
      <c r="E143" s="364">
        <f t="shared" si="56"/>
        <v>1.0018762229973435</v>
      </c>
      <c r="F143" s="365">
        <f t="shared" si="57"/>
        <v>6.120938123768891E-2</v>
      </c>
      <c r="G143" s="364">
        <f t="shared" si="58"/>
        <v>1.1674642352179188</v>
      </c>
      <c r="H143" s="365">
        <f t="shared" si="59"/>
        <v>-0.54223530507118312</v>
      </c>
      <c r="I143" s="363">
        <f t="shared" si="60"/>
        <v>12298.923382250034</v>
      </c>
      <c r="J143" s="366">
        <f t="shared" si="61"/>
        <v>1.5707150188649242</v>
      </c>
      <c r="K143" s="374">
        <f t="shared" si="62"/>
        <v>41.747702263964008</v>
      </c>
      <c r="L143" s="375">
        <f t="shared" si="63"/>
        <v>1.5468406214952362</v>
      </c>
      <c r="M143" s="363">
        <f t="shared" si="64"/>
        <v>1.0083643635384036</v>
      </c>
      <c r="N143" s="366">
        <f t="shared" si="65"/>
        <v>0.12889122948892826</v>
      </c>
      <c r="O143" s="367">
        <f t="shared" si="66"/>
        <v>1.000023033891039</v>
      </c>
      <c r="P143" s="368">
        <f t="shared" si="67"/>
        <v>3.8915675710206779E-2</v>
      </c>
      <c r="Q143" s="369">
        <f t="shared" si="68"/>
        <v>-1.1569201314193998</v>
      </c>
      <c r="R143" s="370">
        <f t="shared" si="69"/>
        <v>-127.59360543272427</v>
      </c>
      <c r="S143" s="372">
        <f t="shared" si="70"/>
        <v>52.406394567275726</v>
      </c>
      <c r="U143" s="345">
        <f t="shared" si="76"/>
        <v>8128.3</v>
      </c>
      <c r="V143" s="345">
        <f t="shared" si="77"/>
        <v>66069260.890000001</v>
      </c>
      <c r="X143" s="371">
        <f t="shared" si="71"/>
        <v>38.639634183346516</v>
      </c>
      <c r="Y143" s="372">
        <f t="shared" si="72"/>
        <v>-8.7528256836706397</v>
      </c>
      <c r="AA143" s="371">
        <f t="shared" si="73"/>
        <v>32.24464551179333</v>
      </c>
      <c r="AB143" s="372">
        <f t="shared" si="74"/>
        <v>-118.84077974905364</v>
      </c>
      <c r="AD143">
        <f t="shared" si="78"/>
        <v>0</v>
      </c>
      <c r="AE143">
        <f t="shared" si="53"/>
        <v>0</v>
      </c>
    </row>
    <row r="144" spans="1:31" x14ac:dyDescent="0.3">
      <c r="A144" s="373">
        <v>8222.9500000000007</v>
      </c>
      <c r="B144" s="390">
        <f t="shared" si="75"/>
        <v>8.2229500000000009</v>
      </c>
      <c r="C144" s="363">
        <f t="shared" si="54"/>
        <v>61.036827707204118</v>
      </c>
      <c r="D144" s="364">
        <f t="shared" si="55"/>
        <v>1.5544120424249057</v>
      </c>
      <c r="E144" s="364">
        <f t="shared" si="56"/>
        <v>1.0019201306502901</v>
      </c>
      <c r="F144" s="365">
        <f t="shared" si="57"/>
        <v>6.1920323933048083E-2</v>
      </c>
      <c r="G144" s="364">
        <f t="shared" si="58"/>
        <v>1.1711000088347707</v>
      </c>
      <c r="H144" s="365">
        <f t="shared" si="59"/>
        <v>-0.54736654398142937</v>
      </c>
      <c r="I144" s="363">
        <f t="shared" si="60"/>
        <v>12442.138210747809</v>
      </c>
      <c r="J144" s="366">
        <f t="shared" si="61"/>
        <v>1.570715954757218</v>
      </c>
      <c r="K144" s="374">
        <f t="shared" si="62"/>
        <v>42.233556116485602</v>
      </c>
      <c r="L144" s="375">
        <f t="shared" si="63"/>
        <v>1.547116259197552</v>
      </c>
      <c r="M144" s="363">
        <f t="shared" si="64"/>
        <v>1.0085594638840156</v>
      </c>
      <c r="N144" s="366">
        <f t="shared" si="65"/>
        <v>0.13037524950628171</v>
      </c>
      <c r="O144" s="367">
        <f t="shared" si="66"/>
        <v>1.0000235799038355</v>
      </c>
      <c r="P144" s="368">
        <f t="shared" si="67"/>
        <v>3.9369040752798609E-2</v>
      </c>
      <c r="Q144" s="369">
        <f t="shared" si="68"/>
        <v>-1.2318048685097267</v>
      </c>
      <c r="R144" s="370">
        <f t="shared" si="69"/>
        <v>-127.95306377246773</v>
      </c>
      <c r="S144" s="372">
        <f t="shared" si="70"/>
        <v>52.046936227532271</v>
      </c>
      <c r="U144" s="345">
        <f t="shared" si="76"/>
        <v>8222.9500000000007</v>
      </c>
      <c r="V144" s="345">
        <f t="shared" si="77"/>
        <v>67616906.702500015</v>
      </c>
      <c r="X144" s="371">
        <f t="shared" si="71"/>
        <v>38.63789674874851</v>
      </c>
      <c r="Y144" s="372">
        <f t="shared" si="72"/>
        <v>-8.8221145131182421</v>
      </c>
      <c r="AA144" s="371">
        <f t="shared" si="73"/>
        <v>32.171498209301014</v>
      </c>
      <c r="AB144" s="372">
        <f t="shared" si="74"/>
        <v>-119.13094925934951</v>
      </c>
      <c r="AD144">
        <f t="shared" si="78"/>
        <v>0</v>
      </c>
      <c r="AE144">
        <f t="shared" si="53"/>
        <v>0</v>
      </c>
    </row>
    <row r="145" spans="1:31" x14ac:dyDescent="0.3">
      <c r="A145" s="373">
        <v>8270.2750000000015</v>
      </c>
      <c r="B145" s="390">
        <f t="shared" si="75"/>
        <v>8.2702750000000016</v>
      </c>
      <c r="C145" s="363">
        <f t="shared" si="54"/>
        <v>61.388014901274609</v>
      </c>
      <c r="D145" s="364">
        <f t="shared" si="55"/>
        <v>1.5545057815917611</v>
      </c>
      <c r="E145" s="364">
        <f t="shared" si="56"/>
        <v>1.0019422743680142</v>
      </c>
      <c r="F145" s="365">
        <f t="shared" si="57"/>
        <v>6.2275771824414725E-2</v>
      </c>
      <c r="G145" s="364">
        <f t="shared" si="58"/>
        <v>1.1729294047762957</v>
      </c>
      <c r="H145" s="365">
        <f t="shared" si="59"/>
        <v>-0.54992020070982084</v>
      </c>
      <c r="I145" s="363">
        <f t="shared" si="60"/>
        <v>12513.745625000714</v>
      </c>
      <c r="J145" s="366">
        <f t="shared" si="61"/>
        <v>1.5707164146701795</v>
      </c>
      <c r="K145" s="374">
        <f t="shared" si="62"/>
        <v>42.476484225379913</v>
      </c>
      <c r="L145" s="375">
        <f t="shared" si="63"/>
        <v>1.5472517134474546</v>
      </c>
      <c r="M145" s="363">
        <f t="shared" si="64"/>
        <v>1.0086578467519267</v>
      </c>
      <c r="N145" s="366">
        <f t="shared" si="65"/>
        <v>0.13111704341244304</v>
      </c>
      <c r="O145" s="367">
        <f t="shared" si="66"/>
        <v>1.0000238553927601</v>
      </c>
      <c r="P145" s="368">
        <f t="shared" si="67"/>
        <v>3.9595726020328778E-2</v>
      </c>
      <c r="Q145" s="369">
        <f t="shared" si="68"/>
        <v>-1.2687652565501786</v>
      </c>
      <c r="R145" s="370">
        <f t="shared" si="69"/>
        <v>-128.13213788359209</v>
      </c>
      <c r="S145" s="372">
        <f t="shared" si="70"/>
        <v>51.867862116407906</v>
      </c>
      <c r="U145" s="345">
        <f t="shared" si="76"/>
        <v>8270.2750000000015</v>
      </c>
      <c r="V145" s="345">
        <f t="shared" si="77"/>
        <v>68397448.575625017</v>
      </c>
      <c r="X145" s="371">
        <f t="shared" si="71"/>
        <v>38.637021713967158</v>
      </c>
      <c r="Y145" s="372">
        <f t="shared" si="72"/>
        <v>-8.8568815674846473</v>
      </c>
      <c r="AA145" s="371">
        <f t="shared" si="73"/>
        <v>32.13541285604191</v>
      </c>
      <c r="AB145" s="372">
        <f t="shared" si="74"/>
        <v>-119.27525631610746</v>
      </c>
      <c r="AD145">
        <f t="shared" si="78"/>
        <v>0</v>
      </c>
      <c r="AE145">
        <f t="shared" si="53"/>
        <v>0</v>
      </c>
    </row>
    <row r="146" spans="1:31" x14ac:dyDescent="0.3">
      <c r="A146" s="373">
        <v>8317.6</v>
      </c>
      <c r="B146" s="390">
        <f t="shared" si="75"/>
        <v>8.3176000000000005</v>
      </c>
      <c r="C146" s="363">
        <f t="shared" si="54"/>
        <v>61.739202628626813</v>
      </c>
      <c r="D146" s="364">
        <f t="shared" si="55"/>
        <v>1.5545984543366782</v>
      </c>
      <c r="E146" s="364">
        <f t="shared" si="56"/>
        <v>1.0019645446687302</v>
      </c>
      <c r="F146" s="365">
        <f t="shared" si="57"/>
        <v>6.2631203959864698E-2</v>
      </c>
      <c r="G146" s="364">
        <f t="shared" si="58"/>
        <v>1.1747664257299777</v>
      </c>
      <c r="H146" s="365">
        <f t="shared" si="59"/>
        <v>-0.55246588752161818</v>
      </c>
      <c r="I146" s="363">
        <f t="shared" si="60"/>
        <v>12585.353039256232</v>
      </c>
      <c r="J146" s="366">
        <f t="shared" si="61"/>
        <v>1.5707168693495686</v>
      </c>
      <c r="K146" s="374">
        <f t="shared" si="62"/>
        <v>42.719413104762801</v>
      </c>
      <c r="L146" s="375">
        <f t="shared" si="63"/>
        <v>1.5473856271472999</v>
      </c>
      <c r="M146" s="363">
        <f t="shared" si="64"/>
        <v>1.0087567845336487</v>
      </c>
      <c r="N146" s="366">
        <f t="shared" si="65"/>
        <v>0.13185869221793731</v>
      </c>
      <c r="O146" s="367">
        <f t="shared" si="66"/>
        <v>1.000024132538424</v>
      </c>
      <c r="P146" s="368">
        <f t="shared" si="67"/>
        <v>3.9822413132709678E-2</v>
      </c>
      <c r="Q146" s="369">
        <f t="shared" si="68"/>
        <v>-1.3054093452573619</v>
      </c>
      <c r="R146" s="370">
        <f t="shared" si="69"/>
        <v>-128.31077491260444</v>
      </c>
      <c r="S146" s="372">
        <f t="shared" si="70"/>
        <v>51.689225087395556</v>
      </c>
      <c r="U146" s="345">
        <f t="shared" si="76"/>
        <v>8317.6</v>
      </c>
      <c r="V146" s="345">
        <f t="shared" si="77"/>
        <v>69182469.760000005</v>
      </c>
      <c r="X146" s="371">
        <f t="shared" si="71"/>
        <v>38.636142456497261</v>
      </c>
      <c r="Y146" s="372">
        <f t="shared" si="72"/>
        <v>-8.8917282753501024</v>
      </c>
      <c r="AA146" s="371">
        <f t="shared" si="73"/>
        <v>32.09964802480463</v>
      </c>
      <c r="AB146" s="372">
        <f t="shared" si="74"/>
        <v>-119.41904663725433</v>
      </c>
      <c r="AD146">
        <f t="shared" si="78"/>
        <v>0</v>
      </c>
      <c r="AE146">
        <f t="shared" si="53"/>
        <v>0</v>
      </c>
    </row>
    <row r="147" spans="1:31" x14ac:dyDescent="0.3">
      <c r="A147" s="373">
        <v>8366.0499999999993</v>
      </c>
      <c r="B147" s="390">
        <f t="shared" si="75"/>
        <v>8.3660499999999995</v>
      </c>
      <c r="C147" s="363">
        <f t="shared" si="54"/>
        <v>62.098739260169005</v>
      </c>
      <c r="D147" s="364">
        <f t="shared" si="55"/>
        <v>1.5546922442192856</v>
      </c>
      <c r="E147" s="364">
        <f t="shared" si="56"/>
        <v>1.0019874754979774</v>
      </c>
      <c r="F147" s="365">
        <f t="shared" si="57"/>
        <v>6.2995068938827656E-2</v>
      </c>
      <c r="G147" s="364">
        <f t="shared" si="58"/>
        <v>1.1766549777277202</v>
      </c>
      <c r="H147" s="365">
        <f t="shared" si="59"/>
        <v>-0.5550638381200701</v>
      </c>
      <c r="I147" s="363">
        <f t="shared" si="60"/>
        <v>12658.662689986417</v>
      </c>
      <c r="J147" s="366">
        <f t="shared" si="61"/>
        <v>1.5707173295085695</v>
      </c>
      <c r="K147" s="374">
        <f t="shared" si="62"/>
        <v>42.968117623182494</v>
      </c>
      <c r="L147" s="375">
        <f t="shared" si="63"/>
        <v>1.5475211555758586</v>
      </c>
      <c r="M147" s="363">
        <f t="shared" si="64"/>
        <v>1.0088586489306917</v>
      </c>
      <c r="N147" s="366">
        <f t="shared" si="65"/>
        <v>0.13261782022087851</v>
      </c>
      <c r="O147" s="367">
        <f t="shared" si="66"/>
        <v>1.0000244179899784</v>
      </c>
      <c r="P147" s="368">
        <f t="shared" si="67"/>
        <v>4.0054490925844718E-2</v>
      </c>
      <c r="Q147" s="369">
        <f t="shared" si="68"/>
        <v>-1.342600717316023</v>
      </c>
      <c r="R147" s="370">
        <f t="shared" si="69"/>
        <v>-128.49320542126719</v>
      </c>
      <c r="S147" s="372">
        <f t="shared" si="70"/>
        <v>51.506794578732809</v>
      </c>
      <c r="U147" s="345">
        <f t="shared" si="76"/>
        <v>8366.0499999999993</v>
      </c>
      <c r="V147" s="345">
        <f t="shared" si="77"/>
        <v>69990792.602499992</v>
      </c>
      <c r="X147" s="371">
        <f t="shared" si="71"/>
        <v>38.635237914836139</v>
      </c>
      <c r="Y147" s="372">
        <f t="shared" si="72"/>
        <v>-8.9274842642778953</v>
      </c>
      <c r="AA147" s="371">
        <f t="shared" si="73"/>
        <v>32.063361194407094</v>
      </c>
      <c r="AB147" s="372">
        <f t="shared" si="74"/>
        <v>-119.56572115698928</v>
      </c>
      <c r="AD147">
        <f t="shared" si="78"/>
        <v>0</v>
      </c>
      <c r="AE147">
        <f t="shared" si="53"/>
        <v>0</v>
      </c>
    </row>
    <row r="148" spans="1:31" x14ac:dyDescent="0.3">
      <c r="A148" s="376">
        <v>8414.5</v>
      </c>
      <c r="B148" s="390">
        <f t="shared" si="75"/>
        <v>8.4145000000000003</v>
      </c>
      <c r="C148" s="363">
        <f t="shared" si="54"/>
        <v>62.458276431676417</v>
      </c>
      <c r="D148" s="364">
        <f t="shared" si="55"/>
        <v>1.5547849543114853</v>
      </c>
      <c r="E148" s="364">
        <f t="shared" si="56"/>
        <v>1.0020105389820027</v>
      </c>
      <c r="F148" s="365">
        <f t="shared" si="57"/>
        <v>6.3358917215650359E-2</v>
      </c>
      <c r="G148" s="364">
        <f t="shared" si="58"/>
        <v>1.1785514458953998</v>
      </c>
      <c r="H148" s="365">
        <f t="shared" si="59"/>
        <v>-0.55765344515621562</v>
      </c>
      <c r="I148" s="363">
        <f t="shared" si="60"/>
        <v>12731.972340719254</v>
      </c>
      <c r="J148" s="366">
        <f t="shared" si="61"/>
        <v>1.570717784368455</v>
      </c>
      <c r="K148" s="374">
        <f t="shared" ref="K148:K157" si="79">SQRT(1+(A148/Zero2)^2)</f>
        <v>43.216822921754833</v>
      </c>
      <c r="L148" s="375">
        <f t="shared" ref="L148:L157" si="80">ATAN(A148/Zero2)</f>
        <v>1.5476551241217908</v>
      </c>
      <c r="M148" s="363">
        <f t="shared" si="64"/>
        <v>1.008961094590493</v>
      </c>
      <c r="N148" s="366">
        <f t="shared" si="65"/>
        <v>0.13337679450380413</v>
      </c>
      <c r="O148" s="367">
        <f t="shared" si="66"/>
        <v>1.0000247051807438</v>
      </c>
      <c r="P148" s="368">
        <f t="shared" si="67"/>
        <v>4.028657067489777E-2</v>
      </c>
      <c r="Q148" s="369">
        <f t="shared" si="68"/>
        <v>-1.3794683427394805</v>
      </c>
      <c r="R148" s="370">
        <f t="shared" si="69"/>
        <v>-128.67517734418396</v>
      </c>
      <c r="S148" s="372">
        <f t="shared" si="70"/>
        <v>51.324822655816035</v>
      </c>
      <c r="U148" s="345">
        <f t="shared" si="76"/>
        <v>8414.5</v>
      </c>
      <c r="V148" s="345">
        <f t="shared" si="77"/>
        <v>70803810.25</v>
      </c>
      <c r="X148" s="371">
        <f t="shared" si="71"/>
        <v>38.634328930990101</v>
      </c>
      <c r="Y148" s="372">
        <f t="shared" si="72"/>
        <v>-8.9633205167717289</v>
      </c>
      <c r="AA148" s="371">
        <f t="shared" si="73"/>
        <v>32.02740255282967</v>
      </c>
      <c r="AB148" s="372">
        <f t="shared" si="74"/>
        <v>-119.71185682741225</v>
      </c>
      <c r="AD148">
        <f t="shared" si="78"/>
        <v>0</v>
      </c>
      <c r="AE148">
        <f t="shared" si="53"/>
        <v>0</v>
      </c>
    </row>
    <row r="149" spans="1:31" x14ac:dyDescent="0.3">
      <c r="A149" s="376">
        <v>8462.9500000000007</v>
      </c>
      <c r="B149" s="390">
        <f t="shared" si="75"/>
        <v>8.4629500000000011</v>
      </c>
      <c r="C149" s="363">
        <f t="shared" si="54"/>
        <v>62.817814133877611</v>
      </c>
      <c r="D149" s="364">
        <f t="shared" si="55"/>
        <v>1.5548766031522081</v>
      </c>
      <c r="E149" s="364">
        <f t="shared" si="56"/>
        <v>1.002033735111646</v>
      </c>
      <c r="F149" s="365">
        <f t="shared" si="57"/>
        <v>6.3722748695152903E-2</v>
      </c>
      <c r="G149" s="364">
        <f t="shared" si="58"/>
        <v>1.1804557920797094</v>
      </c>
      <c r="H149" s="365">
        <f t="shared" si="59"/>
        <v>-0.56023471419482607</v>
      </c>
      <c r="I149" s="363">
        <f t="shared" si="60"/>
        <v>12805.281991454694</v>
      </c>
      <c r="J149" s="366">
        <f t="shared" si="61"/>
        <v>1.5707182340202366</v>
      </c>
      <c r="K149" s="374">
        <f t="shared" si="79"/>
        <v>43.465528987087943</v>
      </c>
      <c r="L149" s="375">
        <f t="shared" si="80"/>
        <v>1.5477875595567936</v>
      </c>
      <c r="M149" s="363">
        <f t="shared" si="64"/>
        <v>1.0090641213360134</v>
      </c>
      <c r="N149" s="366">
        <f t="shared" si="65"/>
        <v>0.13413561423926532</v>
      </c>
      <c r="O149" s="367">
        <f t="shared" si="66"/>
        <v>1.0000249941121317</v>
      </c>
      <c r="P149" s="368">
        <f t="shared" si="67"/>
        <v>4.0518652391155825E-2</v>
      </c>
      <c r="Q149" s="369">
        <f t="shared" si="68"/>
        <v>-1.4160160597439806</v>
      </c>
      <c r="R149" s="370">
        <f t="shared" si="69"/>
        <v>-128.85669049239536</v>
      </c>
      <c r="S149" s="372">
        <f t="shared" si="70"/>
        <v>51.143309507604641</v>
      </c>
      <c r="U149" s="345">
        <f t="shared" si="76"/>
        <v>8462.9500000000007</v>
      </c>
      <c r="V149" s="345">
        <f t="shared" si="77"/>
        <v>71621522.702500015</v>
      </c>
      <c r="X149" s="371">
        <f t="shared" si="71"/>
        <v>38.6334154971888</v>
      </c>
      <c r="Y149" s="372">
        <f t="shared" si="72"/>
        <v>-8.9992354567316344</v>
      </c>
      <c r="AA149" s="371">
        <f t="shared" si="73"/>
        <v>31.991768269626473</v>
      </c>
      <c r="AB149" s="372">
        <f t="shared" si="74"/>
        <v>-119.85745503566372</v>
      </c>
      <c r="AD149">
        <f t="shared" si="78"/>
        <v>0</v>
      </c>
      <c r="AE149">
        <f t="shared" si="53"/>
        <v>0</v>
      </c>
    </row>
    <row r="150" spans="1:31" x14ac:dyDescent="0.3">
      <c r="A150" s="376">
        <v>8511.4</v>
      </c>
      <c r="B150" s="390">
        <f t="shared" si="75"/>
        <v>8.5114000000000001</v>
      </c>
      <c r="C150" s="363">
        <f t="shared" si="54"/>
        <v>63.177352357712131</v>
      </c>
      <c r="D150" s="364">
        <f t="shared" si="55"/>
        <v>1.5549672088584414</v>
      </c>
      <c r="E150" s="364">
        <f t="shared" si="56"/>
        <v>1.002057063877696</v>
      </c>
      <c r="F150" s="365">
        <f t="shared" si="57"/>
        <v>6.408656328218193E-2</v>
      </c>
      <c r="G150" s="364">
        <f t="shared" si="58"/>
        <v>1.1823679782151628</v>
      </c>
      <c r="H150" s="365">
        <f t="shared" si="59"/>
        <v>-0.56280765120933918</v>
      </c>
      <c r="I150" s="363">
        <f t="shared" si="60"/>
        <v>12878.591642192692</v>
      </c>
      <c r="J150" s="366">
        <f t="shared" si="61"/>
        <v>1.5707186785528537</v>
      </c>
      <c r="K150" s="374">
        <f t="shared" si="79"/>
        <v>43.714235806094678</v>
      </c>
      <c r="L150" s="375">
        <f t="shared" si="80"/>
        <v>1.5479184880435246</v>
      </c>
      <c r="M150" s="363">
        <f t="shared" si="64"/>
        <v>1.0091677289892831</v>
      </c>
      <c r="N150" s="366">
        <f t="shared" si="65"/>
        <v>0.13489427860086201</v>
      </c>
      <c r="O150" s="367">
        <f t="shared" si="66"/>
        <v>1.0000252847855631</v>
      </c>
      <c r="P150" s="368">
        <f t="shared" si="67"/>
        <v>4.0750736085905161E-2</v>
      </c>
      <c r="Q150" s="369">
        <f t="shared" si="68"/>
        <v>-1.4522476463284881</v>
      </c>
      <c r="R150" s="370">
        <f t="shared" si="69"/>
        <v>-129.03774471101627</v>
      </c>
      <c r="S150" s="372">
        <f t="shared" si="70"/>
        <v>50.962255288983727</v>
      </c>
      <c r="U150" s="345">
        <f t="shared" si="76"/>
        <v>8511.4</v>
      </c>
      <c r="V150" s="345">
        <f t="shared" si="77"/>
        <v>72443929.959999993</v>
      </c>
      <c r="X150" s="371">
        <f t="shared" si="71"/>
        <v>38.63249760598363</v>
      </c>
      <c r="Y150" s="372">
        <f t="shared" si="72"/>
        <v>-9.0352275428943347</v>
      </c>
      <c r="AA150" s="371">
        <f t="shared" si="73"/>
        <v>31.956454574247136</v>
      </c>
      <c r="AB150" s="372">
        <f t="shared" si="74"/>
        <v>-120.00251716812191</v>
      </c>
      <c r="AD150">
        <f t="shared" si="78"/>
        <v>0</v>
      </c>
      <c r="AE150">
        <f t="shared" si="53"/>
        <v>0</v>
      </c>
    </row>
    <row r="151" spans="1:31" x14ac:dyDescent="0.3">
      <c r="A151" s="376">
        <v>8560.9500000000007</v>
      </c>
      <c r="B151" s="390">
        <f t="shared" si="75"/>
        <v>8.5609500000000001</v>
      </c>
      <c r="C151" s="363">
        <f t="shared" si="54"/>
        <v>63.545054002382535</v>
      </c>
      <c r="D151" s="364">
        <f t="shared" si="55"/>
        <v>1.5550588111829309</v>
      </c>
      <c r="E151" s="364">
        <f t="shared" si="56"/>
        <v>1.0020810594737797</v>
      </c>
      <c r="F151" s="365">
        <f t="shared" si="57"/>
        <v>6.4458620278267195E-2</v>
      </c>
      <c r="G151" s="364">
        <f t="shared" si="58"/>
        <v>1.1843316476686621</v>
      </c>
      <c r="H151" s="365">
        <f t="shared" si="59"/>
        <v>-0.56543039244109417</v>
      </c>
      <c r="I151" s="363">
        <f t="shared" si="60"/>
        <v>12953.565701928379</v>
      </c>
      <c r="J151" s="366">
        <f t="shared" si="61"/>
        <v>1.5707191279738149</v>
      </c>
      <c r="K151" s="374">
        <f t="shared" si="79"/>
        <v>43.968589985753837</v>
      </c>
      <c r="L151" s="375">
        <f t="shared" si="80"/>
        <v>1.5480508570949567</v>
      </c>
      <c r="M151" s="363">
        <f t="shared" si="64"/>
        <v>1.0092742895861522</v>
      </c>
      <c r="N151" s="366">
        <f t="shared" si="65"/>
        <v>0.13567000597492776</v>
      </c>
      <c r="O151" s="367">
        <f t="shared" si="66"/>
        <v>1.0000255838616987</v>
      </c>
      <c r="P151" s="368">
        <f t="shared" si="67"/>
        <v>4.0988091024847934E-2</v>
      </c>
      <c r="Q151" s="369">
        <f t="shared" si="68"/>
        <v>-1.4889787257781126</v>
      </c>
      <c r="R151" s="370">
        <f t="shared" si="69"/>
        <v>-129.22243474830844</v>
      </c>
      <c r="S151" s="372">
        <f t="shared" si="70"/>
        <v>50.777565251691556</v>
      </c>
      <c r="U151" s="345">
        <f t="shared" si="76"/>
        <v>8560.9500000000007</v>
      </c>
      <c r="V151" s="345">
        <f t="shared" si="77"/>
        <v>73289864.902500018</v>
      </c>
      <c r="X151" s="371">
        <f t="shared" si="71"/>
        <v>38.631554257354274</v>
      </c>
      <c r="Y151" s="372">
        <f t="shared" si="72"/>
        <v>-9.0721150094623102</v>
      </c>
      <c r="AA151" s="371">
        <f t="shared" si="73"/>
        <v>31.920666843426858</v>
      </c>
      <c r="AB151" s="372">
        <f t="shared" si="74"/>
        <v>-120.15031973884615</v>
      </c>
      <c r="AD151">
        <f t="shared" si="78"/>
        <v>0</v>
      </c>
      <c r="AE151">
        <f t="shared" si="53"/>
        <v>0</v>
      </c>
    </row>
    <row r="152" spans="1:31" x14ac:dyDescent="0.3">
      <c r="A152" s="376">
        <v>8610.5</v>
      </c>
      <c r="B152" s="390">
        <f t="shared" si="75"/>
        <v>8.6105</v>
      </c>
      <c r="C152" s="363">
        <f t="shared" si="54"/>
        <v>63.912756174123317</v>
      </c>
      <c r="D152" s="364">
        <f t="shared" si="55"/>
        <v>1.5551493594971848</v>
      </c>
      <c r="E152" s="364">
        <f t="shared" si="56"/>
        <v>1.002105193777691</v>
      </c>
      <c r="F152" s="365">
        <f t="shared" si="57"/>
        <v>6.4830659404904248E-2</v>
      </c>
      <c r="G152" s="364">
        <f t="shared" si="58"/>
        <v>1.1863034368660355</v>
      </c>
      <c r="H152" s="365">
        <f t="shared" si="59"/>
        <v>-0.56804443293668161</v>
      </c>
      <c r="I152" s="363">
        <f t="shared" si="60"/>
        <v>13028.539761666651</v>
      </c>
      <c r="J152" s="366">
        <f t="shared" si="61"/>
        <v>1.5707195722222986</v>
      </c>
      <c r="K152" s="374">
        <f t="shared" si="79"/>
        <v>44.222944926949424</v>
      </c>
      <c r="L152" s="375">
        <f t="shared" si="80"/>
        <v>1.5481817034675105</v>
      </c>
      <c r="M152" s="363">
        <f t="shared" si="64"/>
        <v>1.0093814573883655</v>
      </c>
      <c r="N152" s="366">
        <f t="shared" si="65"/>
        <v>0.13644556909493288</v>
      </c>
      <c r="O152" s="367">
        <f t="shared" si="66"/>
        <v>1.0000258847629082</v>
      </c>
      <c r="P152" s="368">
        <f t="shared" si="67"/>
        <v>4.1225448057015418E-2</v>
      </c>
      <c r="Q152" s="369">
        <f t="shared" si="68"/>
        <v>-1.5253869625418548</v>
      </c>
      <c r="R152" s="370">
        <f t="shared" si="69"/>
        <v>-129.40664455922564</v>
      </c>
      <c r="S152" s="372">
        <f t="shared" si="70"/>
        <v>50.59335544077436</v>
      </c>
      <c r="U152" s="345">
        <f t="shared" si="76"/>
        <v>8610.5</v>
      </c>
      <c r="V152" s="345">
        <f t="shared" si="77"/>
        <v>74140710.25</v>
      </c>
      <c r="X152" s="371">
        <f t="shared" si="71"/>
        <v>38.63060623185099</v>
      </c>
      <c r="Y152" s="372">
        <f t="shared" si="72"/>
        <v>-9.109080011678083</v>
      </c>
      <c r="AA152" s="371">
        <f t="shared" si="73"/>
        <v>31.885206632166401</v>
      </c>
      <c r="AB152" s="372">
        <f t="shared" si="74"/>
        <v>-120.29756454754752</v>
      </c>
      <c r="AD152">
        <f t="shared" si="78"/>
        <v>0</v>
      </c>
      <c r="AE152">
        <f t="shared" si="53"/>
        <v>0</v>
      </c>
    </row>
    <row r="153" spans="1:31" x14ac:dyDescent="0.3">
      <c r="A153" s="376">
        <v>8660.0499999999993</v>
      </c>
      <c r="B153" s="390">
        <f t="shared" si="75"/>
        <v>8.66005</v>
      </c>
      <c r="C153" s="363">
        <f t="shared" si="54"/>
        <v>64.280458863889521</v>
      </c>
      <c r="D153" s="364">
        <f t="shared" si="55"/>
        <v>1.5552388718874288</v>
      </c>
      <c r="E153" s="364">
        <f t="shared" si="56"/>
        <v>1.0021294667794083</v>
      </c>
      <c r="F153" s="365">
        <f t="shared" si="57"/>
        <v>6.5202680560397727E-2</v>
      </c>
      <c r="G153" s="364">
        <f t="shared" si="58"/>
        <v>1.1882833053865611</v>
      </c>
      <c r="H153" s="365">
        <f t="shared" si="59"/>
        <v>-0.57064978037341352</v>
      </c>
      <c r="I153" s="363">
        <f t="shared" si="60"/>
        <v>13103.513821407463</v>
      </c>
      <c r="J153" s="366">
        <f t="shared" si="61"/>
        <v>1.5707200113870907</v>
      </c>
      <c r="K153" s="374">
        <f t="shared" si="79"/>
        <v>44.477300616616311</v>
      </c>
      <c r="L153" s="375">
        <f t="shared" si="80"/>
        <v>1.548311053280242</v>
      </c>
      <c r="M153" s="363">
        <f t="shared" si="64"/>
        <v>1.0094892322025395</v>
      </c>
      <c r="N153" s="366">
        <f t="shared" si="65"/>
        <v>0.13722096708033896</v>
      </c>
      <c r="O153" s="367">
        <f t="shared" si="66"/>
        <v>1.0000261874907379</v>
      </c>
      <c r="P153" s="368">
        <f t="shared" si="67"/>
        <v>4.1462807194477883E-2</v>
      </c>
      <c r="Q153" s="369">
        <f t="shared" si="68"/>
        <v>-1.5614762106763176</v>
      </c>
      <c r="R153" s="370">
        <f t="shared" si="69"/>
        <v>-129.59037408455225</v>
      </c>
      <c r="S153" s="372">
        <f t="shared" si="70"/>
        <v>50.409625915447748</v>
      </c>
      <c r="U153" s="345">
        <f t="shared" si="76"/>
        <v>8660.0499999999993</v>
      </c>
      <c r="V153" s="345">
        <f t="shared" si="77"/>
        <v>74996466.002499983</v>
      </c>
      <c r="X153" s="371">
        <f t="shared" si="71"/>
        <v>38.629653522484226</v>
      </c>
      <c r="Y153" s="372">
        <f t="shared" si="72"/>
        <v>-9.1461210076659025</v>
      </c>
      <c r="AA153" s="371">
        <f t="shared" si="73"/>
        <v>31.850070093398703</v>
      </c>
      <c r="AB153" s="372">
        <f t="shared" si="74"/>
        <v>-120.44425307688634</v>
      </c>
      <c r="AD153">
        <f t="shared" si="78"/>
        <v>0</v>
      </c>
      <c r="AE153">
        <f t="shared" si="53"/>
        <v>0</v>
      </c>
    </row>
    <row r="154" spans="1:31" x14ac:dyDescent="0.3">
      <c r="A154" s="376">
        <v>8709.6</v>
      </c>
      <c r="B154" s="390">
        <f t="shared" si="75"/>
        <v>8.7096</v>
      </c>
      <c r="C154" s="363">
        <f t="shared" si="54"/>
        <v>64.648162062841948</v>
      </c>
      <c r="D154" s="364">
        <f t="shared" si="55"/>
        <v>1.5553273660284765</v>
      </c>
      <c r="E154" s="364">
        <f t="shared" si="56"/>
        <v>1.0021538784688537</v>
      </c>
      <c r="F154" s="365">
        <f t="shared" si="57"/>
        <v>6.5574683643081944E-2</v>
      </c>
      <c r="G154" s="364">
        <f t="shared" si="58"/>
        <v>1.1902712129133841</v>
      </c>
      <c r="H154" s="365">
        <f t="shared" si="59"/>
        <v>-0.57324644284968007</v>
      </c>
      <c r="I154" s="363">
        <f t="shared" si="60"/>
        <v>13178.487881150775</v>
      </c>
      <c r="J154" s="366">
        <f t="shared" si="61"/>
        <v>1.5707204455549564</v>
      </c>
      <c r="K154" s="374">
        <f t="shared" si="79"/>
        <v>44.731657041986516</v>
      </c>
      <c r="L154" s="375">
        <f t="shared" si="80"/>
        <v>1.5484389320583301</v>
      </c>
      <c r="M154" s="363">
        <f t="shared" si="64"/>
        <v>1.0095976138342782</v>
      </c>
      <c r="N154" s="366">
        <f t="shared" si="65"/>
        <v>0.13799619905177679</v>
      </c>
      <c r="O154" s="367">
        <f t="shared" si="66"/>
        <v>1.0000264920467419</v>
      </c>
      <c r="P154" s="368">
        <f t="shared" si="67"/>
        <v>4.1700168449304902E-2</v>
      </c>
      <c r="Q154" s="369">
        <f t="shared" si="68"/>
        <v>-1.5972502638235875</v>
      </c>
      <c r="R154" s="370">
        <f t="shared" si="69"/>
        <v>-129.77362329960278</v>
      </c>
      <c r="S154" s="372">
        <f t="shared" si="70"/>
        <v>50.226376700397225</v>
      </c>
      <c r="U154" s="345">
        <f t="shared" si="76"/>
        <v>8709.6</v>
      </c>
      <c r="V154" s="345">
        <f t="shared" si="77"/>
        <v>75857132.160000011</v>
      </c>
      <c r="X154" s="371">
        <f t="shared" si="71"/>
        <v>38.628696122573082</v>
      </c>
      <c r="Y154" s="372">
        <f t="shared" si="72"/>
        <v>-9.1832364895278733</v>
      </c>
      <c r="AA154" s="371">
        <f t="shared" si="73"/>
        <v>31.815253440162579</v>
      </c>
      <c r="AB154" s="372">
        <f t="shared" si="74"/>
        <v>-120.5903868100749</v>
      </c>
      <c r="AD154">
        <f t="shared" si="78"/>
        <v>0</v>
      </c>
      <c r="AE154">
        <f t="shared" ref="AE154:AE217" si="81">IF(AD154&gt;0,S154,0)</f>
        <v>0</v>
      </c>
    </row>
    <row r="155" spans="1:31" x14ac:dyDescent="0.3">
      <c r="A155" s="376">
        <v>8760.3250000000007</v>
      </c>
      <c r="B155" s="390">
        <f t="shared" si="75"/>
        <v>8.7603249999999999</v>
      </c>
      <c r="C155" s="363">
        <f t="shared" si="54"/>
        <v>65.024585280898592</v>
      </c>
      <c r="D155" s="364">
        <f t="shared" si="55"/>
        <v>1.5554169219469709</v>
      </c>
      <c r="E155" s="364">
        <f t="shared" si="56"/>
        <v>1.0021790126922443</v>
      </c>
      <c r="F155" s="365">
        <f t="shared" si="57"/>
        <v>6.5955489364545525E-2</v>
      </c>
      <c r="G155" s="364">
        <f t="shared" si="58"/>
        <v>1.1923145457616291</v>
      </c>
      <c r="H155" s="365">
        <f t="shared" si="59"/>
        <v>-0.57589569363875071</v>
      </c>
      <c r="I155" s="363">
        <f t="shared" si="60"/>
        <v>13255.239832323443</v>
      </c>
      <c r="J155" s="366">
        <f t="shared" si="61"/>
        <v>1.5707208849308791</v>
      </c>
      <c r="K155" s="374">
        <f t="shared" si="79"/>
        <v>44.99204587735354</v>
      </c>
      <c r="L155" s="375">
        <f t="shared" si="80"/>
        <v>1.5485683455498367</v>
      </c>
      <c r="M155" s="363">
        <f t="shared" si="64"/>
        <v>1.0097091939339966</v>
      </c>
      <c r="N155" s="366">
        <f t="shared" si="65"/>
        <v>0.13878964154251469</v>
      </c>
      <c r="O155" s="367">
        <f t="shared" si="66"/>
        <v>1.00002680572016</v>
      </c>
      <c r="P155" s="368">
        <f t="shared" si="67"/>
        <v>4.194316055732121E-2</v>
      </c>
      <c r="Q155" s="369">
        <f t="shared" si="68"/>
        <v>-1.6335500456286387</v>
      </c>
      <c r="R155" s="370">
        <f t="shared" si="69"/>
        <v>-129.9607204601684</v>
      </c>
      <c r="S155" s="372">
        <f t="shared" si="70"/>
        <v>50.039279539831597</v>
      </c>
      <c r="U155" s="345">
        <f t="shared" si="76"/>
        <v>8760.3250000000007</v>
      </c>
      <c r="V155" s="345">
        <f t="shared" si="77"/>
        <v>76743294.105625018</v>
      </c>
      <c r="X155" s="371">
        <f t="shared" si="71"/>
        <v>38.627711154067086</v>
      </c>
      <c r="Y155" s="372">
        <f t="shared" si="72"/>
        <v>-9.2213077230876141</v>
      </c>
      <c r="AA155" s="371">
        <f t="shared" si="73"/>
        <v>31.779938626863526</v>
      </c>
      <c r="AB155" s="372">
        <f t="shared" si="74"/>
        <v>-120.73941273708081</v>
      </c>
      <c r="AD155">
        <f t="shared" si="78"/>
        <v>0</v>
      </c>
      <c r="AE155">
        <f t="shared" si="81"/>
        <v>0</v>
      </c>
    </row>
    <row r="156" spans="1:31" x14ac:dyDescent="0.3">
      <c r="A156" s="376">
        <v>8811.0499999999993</v>
      </c>
      <c r="B156" s="390">
        <f t="shared" si="75"/>
        <v>8.8110499999999998</v>
      </c>
      <c r="C156" s="363">
        <f t="shared" si="54"/>
        <v>65.401009014466212</v>
      </c>
      <c r="D156" s="364">
        <f t="shared" si="55"/>
        <v>1.5555054469654617</v>
      </c>
      <c r="E156" s="364">
        <f t="shared" si="56"/>
        <v>1.0022042922373156</v>
      </c>
      <c r="F156" s="365">
        <f t="shared" si="57"/>
        <v>6.6336275930381272E-2</v>
      </c>
      <c r="G156" s="364">
        <f t="shared" si="58"/>
        <v>1.1943662182376693</v>
      </c>
      <c r="H156" s="365">
        <f t="shared" si="59"/>
        <v>-0.57853586118252232</v>
      </c>
      <c r="I156" s="363">
        <f t="shared" si="60"/>
        <v>13331.991783498634</v>
      </c>
      <c r="J156" s="366">
        <f t="shared" si="61"/>
        <v>1.5707213192478491</v>
      </c>
      <c r="K156" s="374">
        <f t="shared" si="79"/>
        <v>45.252435457568936</v>
      </c>
      <c r="L156" s="375">
        <f t="shared" si="80"/>
        <v>1.5486962697125866</v>
      </c>
      <c r="M156" s="363">
        <f t="shared" si="64"/>
        <v>1.0098214095564255</v>
      </c>
      <c r="N156" s="366">
        <f t="shared" si="65"/>
        <v>0.13958290819119698</v>
      </c>
      <c r="O156" s="367">
        <f t="shared" si="66"/>
        <v>1.0000271213128107</v>
      </c>
      <c r="P156" s="368">
        <f t="shared" si="67"/>
        <v>4.21861549099075E-2</v>
      </c>
      <c r="Q156" s="369">
        <f t="shared" si="68"/>
        <v>-1.6695273637073753</v>
      </c>
      <c r="R156" s="370">
        <f t="shared" si="69"/>
        <v>-130.14731431642304</v>
      </c>
      <c r="S156" s="372">
        <f t="shared" si="70"/>
        <v>49.852685683576965</v>
      </c>
      <c r="U156" s="345">
        <f t="shared" si="76"/>
        <v>8811.0499999999993</v>
      </c>
      <c r="V156" s="345">
        <f t="shared" si="77"/>
        <v>77634602.102499992</v>
      </c>
      <c r="X156" s="371">
        <f t="shared" si="71"/>
        <v>38.626721256700939</v>
      </c>
      <c r="Y156" s="372">
        <f t="shared" si="72"/>
        <v>-9.2594539240352223</v>
      </c>
      <c r="AA156" s="371">
        <f t="shared" si="73"/>
        <v>31.744951206150937</v>
      </c>
      <c r="AB156" s="372">
        <f t="shared" si="74"/>
        <v>-120.88786039238785</v>
      </c>
      <c r="AD156">
        <f t="shared" si="78"/>
        <v>0</v>
      </c>
      <c r="AE156">
        <f t="shared" si="81"/>
        <v>0</v>
      </c>
    </row>
    <row r="157" spans="1:31" x14ac:dyDescent="0.3">
      <c r="A157" s="376">
        <v>8861.7749999999996</v>
      </c>
      <c r="B157" s="390">
        <f t="shared" si="75"/>
        <v>8.8617749999999997</v>
      </c>
      <c r="C157" s="363">
        <f t="shared" si="54"/>
        <v>65.777433254694458</v>
      </c>
      <c r="D157" s="364">
        <f t="shared" si="55"/>
        <v>1.5555929587811308</v>
      </c>
      <c r="E157" s="364">
        <f t="shared" si="56"/>
        <v>1.0022297170930716</v>
      </c>
      <c r="F157" s="365">
        <f t="shared" si="57"/>
        <v>6.6717043231616077E-2</v>
      </c>
      <c r="G157" s="364">
        <f t="shared" si="58"/>
        <v>1.1964261874382698</v>
      </c>
      <c r="H157" s="365">
        <f t="shared" si="59"/>
        <v>-0.58116695549794695</v>
      </c>
      <c r="I157" s="363">
        <f t="shared" si="60"/>
        <v>13408.743734676314</v>
      </c>
      <c r="J157" s="366">
        <f t="shared" si="61"/>
        <v>1.5707217485927387</v>
      </c>
      <c r="K157" s="374">
        <f t="shared" si="79"/>
        <v>45.512825769848376</v>
      </c>
      <c r="L157" s="375">
        <f t="shared" si="80"/>
        <v>1.548822730104829</v>
      </c>
      <c r="M157" s="363">
        <f t="shared" si="64"/>
        <v>1.0099342604897223</v>
      </c>
      <c r="N157" s="366">
        <f t="shared" si="65"/>
        <v>0.14037599805824427</v>
      </c>
      <c r="O157" s="367">
        <f t="shared" si="66"/>
        <v>1.0000274388263912</v>
      </c>
      <c r="P157" s="368">
        <f t="shared" si="67"/>
        <v>4.2429151520009888E-2</v>
      </c>
      <c r="Q157" s="369">
        <f t="shared" si="68"/>
        <v>-1.7051860995754375</v>
      </c>
      <c r="R157" s="370">
        <f t="shared" si="69"/>
        <v>-130.33340495001875</v>
      </c>
      <c r="S157" s="372">
        <f t="shared" si="70"/>
        <v>49.666595049981254</v>
      </c>
      <c r="U157" s="345">
        <f t="shared" si="76"/>
        <v>8861.7749999999996</v>
      </c>
      <c r="V157" s="345">
        <f t="shared" si="77"/>
        <v>78531056.15062499</v>
      </c>
      <c r="X157" s="371">
        <f t="shared" si="71"/>
        <v>38.625726424248782</v>
      </c>
      <c r="Y157" s="372">
        <f t="shared" si="72"/>
        <v>-9.2976735791343632</v>
      </c>
      <c r="AA157" s="371">
        <f t="shared" si="73"/>
        <v>31.710287302735033</v>
      </c>
      <c r="AB157" s="372">
        <f t="shared" si="74"/>
        <v>-121.03573137088441</v>
      </c>
      <c r="AD157">
        <f t="shared" si="78"/>
        <v>0</v>
      </c>
      <c r="AE157">
        <f t="shared" si="81"/>
        <v>0</v>
      </c>
    </row>
    <row r="158" spans="1:31" x14ac:dyDescent="0.3">
      <c r="A158" s="373">
        <v>8912.5</v>
      </c>
      <c r="B158" s="390">
        <f t="shared" si="75"/>
        <v>8.9124999999999996</v>
      </c>
      <c r="C158" s="363">
        <f t="shared" si="54"/>
        <v>66.153857992934462</v>
      </c>
      <c r="D158" s="364">
        <f t="shared" si="55"/>
        <v>1.5556794746884253</v>
      </c>
      <c r="E158" s="364">
        <f t="shared" si="56"/>
        <v>1.0022552872484534</v>
      </c>
      <c r="F158" s="365">
        <f t="shared" si="57"/>
        <v>6.7097791159310055E-2</v>
      </c>
      <c r="G158" s="364">
        <f t="shared" si="58"/>
        <v>1.1984944105822632</v>
      </c>
      <c r="H158" s="365">
        <f t="shared" si="59"/>
        <v>-0.58378898703573201</v>
      </c>
      <c r="I158" s="363">
        <f t="shared" si="60"/>
        <v>13485.495685856438</v>
      </c>
      <c r="J158" s="366">
        <f t="shared" si="61"/>
        <v>1.5707221730504433</v>
      </c>
      <c r="K158" s="374">
        <f t="shared" ref="K158:K214" si="82">SQRT(1+(A158/Zero2)^2)</f>
        <v>45.773216801698361</v>
      </c>
      <c r="L158" s="375">
        <f t="shared" ref="L158:L214" si="83">ATAN(A158/Zero2)</f>
        <v>1.5489477517034274</v>
      </c>
      <c r="M158" s="363">
        <f t="shared" si="64"/>
        <v>1.0100477465209408</v>
      </c>
      <c r="N158" s="366">
        <f t="shared" si="65"/>
        <v>0.14116891020538541</v>
      </c>
      <c r="O158" s="367">
        <f t="shared" si="66"/>
        <v>1.0000277582626083</v>
      </c>
      <c r="P158" s="368">
        <f t="shared" si="67"/>
        <v>4.2672150400573601E-2</v>
      </c>
      <c r="Q158" s="369">
        <f t="shared" si="68"/>
        <v>-1.7405300738708021</v>
      </c>
      <c r="R158" s="370">
        <f t="shared" si="69"/>
        <v>-130.51899247765553</v>
      </c>
      <c r="S158" s="372">
        <f t="shared" si="70"/>
        <v>49.48100752234447</v>
      </c>
      <c r="U158" s="345">
        <f t="shared" si="76"/>
        <v>8912.5</v>
      </c>
      <c r="V158" s="345">
        <f t="shared" si="77"/>
        <v>79432656.25</v>
      </c>
      <c r="X158" s="371">
        <f t="shared" si="71"/>
        <v>38.6247266507822</v>
      </c>
      <c r="Y158" s="372">
        <f t="shared" si="72"/>
        <v>-9.3359652084213547</v>
      </c>
      <c r="AA158" s="371">
        <f t="shared" si="73"/>
        <v>31.675943101906245</v>
      </c>
      <c r="AB158" s="372">
        <f t="shared" si="74"/>
        <v>-121.18302726923419</v>
      </c>
      <c r="AD158">
        <f t="shared" si="78"/>
        <v>0</v>
      </c>
      <c r="AE158">
        <f t="shared" si="81"/>
        <v>0</v>
      </c>
    </row>
    <row r="159" spans="1:31" x14ac:dyDescent="0.3">
      <c r="A159" s="373">
        <v>8964.4</v>
      </c>
      <c r="B159" s="390">
        <f t="shared" si="75"/>
        <v>8.9643999999999995</v>
      </c>
      <c r="C159" s="363">
        <f t="shared" si="54"/>
        <v>66.539002785712299</v>
      </c>
      <c r="D159" s="364">
        <f t="shared" si="55"/>
        <v>1.555766981508754</v>
      </c>
      <c r="E159" s="364">
        <f t="shared" si="56"/>
        <v>1.0022816000896053</v>
      </c>
      <c r="F159" s="365">
        <f t="shared" si="57"/>
        <v>6.7487338612303716E-2</v>
      </c>
      <c r="G159" s="364">
        <f t="shared" si="58"/>
        <v>1.2006190407557504</v>
      </c>
      <c r="H159" s="365">
        <f t="shared" si="59"/>
        <v>-0.58646238686901664</v>
      </c>
      <c r="I159" s="363">
        <f t="shared" si="60"/>
        <v>13564.025528466089</v>
      </c>
      <c r="J159" s="366">
        <f t="shared" si="61"/>
        <v>1.5707226023685597</v>
      </c>
      <c r="K159" s="374">
        <f t="shared" si="82"/>
        <v>46.039640294755372</v>
      </c>
      <c r="L159" s="375">
        <f t="shared" si="83"/>
        <v>1.5490742056035745</v>
      </c>
      <c r="M159" s="363">
        <f t="shared" si="64"/>
        <v>1.0101645184685097</v>
      </c>
      <c r="N159" s="366">
        <f t="shared" si="65"/>
        <v>0.14198000454493756</v>
      </c>
      <c r="O159" s="367">
        <f t="shared" si="66"/>
        <v>1.0000280870900313</v>
      </c>
      <c r="P159" s="368">
        <f t="shared" si="67"/>
        <v>4.2920780499890177E-2</v>
      </c>
      <c r="Q159" s="369">
        <f t="shared" si="68"/>
        <v>-1.7763708998993855</v>
      </c>
      <c r="R159" s="370">
        <f t="shared" si="69"/>
        <v>-130.70835841290577</v>
      </c>
      <c r="S159" s="372">
        <f t="shared" si="70"/>
        <v>49.291641587094233</v>
      </c>
      <c r="U159" s="345">
        <f t="shared" si="76"/>
        <v>8964.4</v>
      </c>
      <c r="V159" s="345">
        <f t="shared" si="77"/>
        <v>80360467.359999999</v>
      </c>
      <c r="X159" s="371">
        <f t="shared" si="71"/>
        <v>38.623698598540088</v>
      </c>
      <c r="Y159" s="372">
        <f t="shared" si="72"/>
        <v>-9.3752168142442294</v>
      </c>
      <c r="AA159" s="371">
        <f t="shared" si="73"/>
        <v>31.641130328119772</v>
      </c>
      <c r="AB159" s="372">
        <f t="shared" si="74"/>
        <v>-121.33314159866151</v>
      </c>
      <c r="AD159">
        <f t="shared" si="78"/>
        <v>0</v>
      </c>
      <c r="AE159">
        <f t="shared" si="81"/>
        <v>0</v>
      </c>
    </row>
    <row r="160" spans="1:31" x14ac:dyDescent="0.3">
      <c r="A160" s="373">
        <v>9016.2999999999993</v>
      </c>
      <c r="B160" s="390">
        <f t="shared" si="75"/>
        <v>9.0162999999999993</v>
      </c>
      <c r="C160" s="363">
        <f t="shared" si="54"/>
        <v>66.924148082144299</v>
      </c>
      <c r="D160" s="364">
        <f t="shared" si="55"/>
        <v>1.5558534811345417</v>
      </c>
      <c r="E160" s="364">
        <f t="shared" si="56"/>
        <v>1.0023080650162028</v>
      </c>
      <c r="F160" s="365">
        <f t="shared" si="57"/>
        <v>6.787686555319461E-2</v>
      </c>
      <c r="G160" s="364">
        <f t="shared" si="58"/>
        <v>1.2027522214819795</v>
      </c>
      <c r="H160" s="365">
        <f t="shared" si="59"/>
        <v>-0.58912632269323895</v>
      </c>
      <c r="I160" s="363">
        <f t="shared" si="60"/>
        <v>13642.555371078211</v>
      </c>
      <c r="J160" s="366">
        <f t="shared" si="61"/>
        <v>1.5707230267441588</v>
      </c>
      <c r="K160" s="374">
        <f t="shared" si="82"/>
        <v>46.306064515541827</v>
      </c>
      <c r="L160" s="375">
        <f t="shared" si="83"/>
        <v>1.549199204388227</v>
      </c>
      <c r="M160" s="363">
        <f t="shared" si="64"/>
        <v>1.0102819548231996</v>
      </c>
      <c r="N160" s="366">
        <f t="shared" si="65"/>
        <v>0.14279091085275367</v>
      </c>
      <c r="O160" s="367">
        <f t="shared" si="66"/>
        <v>1.0000284179338408</v>
      </c>
      <c r="P160" s="368">
        <f t="shared" si="67"/>
        <v>4.3169413003487721E-2</v>
      </c>
      <c r="Q160" s="369">
        <f t="shared" si="68"/>
        <v>-1.8118901155066978</v>
      </c>
      <c r="R160" s="370">
        <f t="shared" si="69"/>
        <v>-130.89719802076078</v>
      </c>
      <c r="S160" s="372">
        <f t="shared" si="70"/>
        <v>49.102801979239217</v>
      </c>
      <c r="U160" s="345">
        <f t="shared" si="76"/>
        <v>9016.2999999999993</v>
      </c>
      <c r="V160" s="345">
        <f t="shared" si="77"/>
        <v>81293665.689999983</v>
      </c>
      <c r="X160" s="371">
        <f t="shared" si="71"/>
        <v>38.62266536208066</v>
      </c>
      <c r="Y160" s="372">
        <f t="shared" si="72"/>
        <v>-9.414540735433464</v>
      </c>
      <c r="AA160" s="371">
        <f t="shared" si="73"/>
        <v>31.606644348971894</v>
      </c>
      <c r="AB160" s="372">
        <f t="shared" si="74"/>
        <v>-121.48265728532731</v>
      </c>
      <c r="AD160">
        <f t="shared" si="78"/>
        <v>0</v>
      </c>
      <c r="AE160">
        <f t="shared" si="81"/>
        <v>0</v>
      </c>
    </row>
    <row r="161" spans="1:31" x14ac:dyDescent="0.3">
      <c r="A161" s="373">
        <v>9068.2000000000007</v>
      </c>
      <c r="B161" s="390">
        <f t="shared" si="75"/>
        <v>9.0682000000000009</v>
      </c>
      <c r="C161" s="363">
        <f t="shared" si="54"/>
        <v>67.309293873584693</v>
      </c>
      <c r="D161" s="364">
        <f t="shared" si="55"/>
        <v>1.5559389908540746</v>
      </c>
      <c r="E161" s="364">
        <f t="shared" si="56"/>
        <v>1.0023346820161994</v>
      </c>
      <c r="F161" s="365">
        <f t="shared" si="57"/>
        <v>6.8266371865405392E-2</v>
      </c>
      <c r="G161" s="364">
        <f t="shared" si="58"/>
        <v>1.2048939073464779</v>
      </c>
      <c r="H161" s="365">
        <f t="shared" si="59"/>
        <v>-0.59178080706536207</v>
      </c>
      <c r="I161" s="363">
        <f t="shared" si="60"/>
        <v>13721.085213692762</v>
      </c>
      <c r="J161" s="366">
        <f t="shared" si="61"/>
        <v>1.5707234462621027</v>
      </c>
      <c r="K161" s="374">
        <f t="shared" si="82"/>
        <v>46.572489451568501</v>
      </c>
      <c r="L161" s="375">
        <f t="shared" si="83"/>
        <v>1.5493227730260672</v>
      </c>
      <c r="M161" s="363">
        <f t="shared" si="64"/>
        <v>1.010400055353343</v>
      </c>
      <c r="N161" s="366">
        <f t="shared" si="65"/>
        <v>0.14360162812813013</v>
      </c>
      <c r="O161" s="367">
        <f t="shared" si="66"/>
        <v>1.0000287507958967</v>
      </c>
      <c r="P161" s="368">
        <f t="shared" si="67"/>
        <v>4.3418047925229179E-2</v>
      </c>
      <c r="Q161" s="369">
        <f t="shared" si="68"/>
        <v>-1.8470916234505439</v>
      </c>
      <c r="R161" s="370">
        <f t="shared" si="69"/>
        <v>-131.08551153562721</v>
      </c>
      <c r="S161" s="372">
        <f t="shared" si="70"/>
        <v>48.914488464372795</v>
      </c>
      <c r="U161" s="345">
        <f t="shared" si="76"/>
        <v>9068.2000000000007</v>
      </c>
      <c r="V161" s="345">
        <f t="shared" si="77"/>
        <v>82232251.24000001</v>
      </c>
      <c r="X161" s="371">
        <f t="shared" si="71"/>
        <v>38.621626935960137</v>
      </c>
      <c r="Y161" s="372">
        <f t="shared" si="72"/>
        <v>-9.453935488915084</v>
      </c>
      <c r="AA161" s="371">
        <f t="shared" si="73"/>
        <v>31.572481267148564</v>
      </c>
      <c r="AB161" s="372">
        <f t="shared" si="74"/>
        <v>-121.6315760467121</v>
      </c>
      <c r="AD161">
        <f t="shared" si="78"/>
        <v>0</v>
      </c>
      <c r="AE161">
        <f t="shared" si="81"/>
        <v>0</v>
      </c>
    </row>
    <row r="162" spans="1:31" x14ac:dyDescent="0.3">
      <c r="A162" s="373">
        <v>9120.1</v>
      </c>
      <c r="B162" s="390">
        <f t="shared" si="75"/>
        <v>9.1201000000000008</v>
      </c>
      <c r="C162" s="363">
        <f t="shared" si="54"/>
        <v>67.694440151584459</v>
      </c>
      <c r="D162" s="364">
        <f t="shared" si="55"/>
        <v>1.556023527562252</v>
      </c>
      <c r="E162" s="364">
        <f t="shared" si="56"/>
        <v>1.0023614510774799</v>
      </c>
      <c r="F162" s="365">
        <f t="shared" si="57"/>
        <v>6.8655857432396092E-2</v>
      </c>
      <c r="G162" s="364">
        <f t="shared" si="58"/>
        <v>1.2070440530766626</v>
      </c>
      <c r="H162" s="365">
        <f t="shared" si="59"/>
        <v>-0.59442585298618511</v>
      </c>
      <c r="I162" s="363">
        <f t="shared" si="60"/>
        <v>13799.615056309702</v>
      </c>
      <c r="J162" s="366">
        <f t="shared" si="61"/>
        <v>1.5707238610053225</v>
      </c>
      <c r="K162" s="374">
        <f t="shared" si="82"/>
        <v>46.838915090630287</v>
      </c>
      <c r="L162" s="375">
        <f t="shared" si="83"/>
        <v>1.549444935917853</v>
      </c>
      <c r="M162" s="363">
        <f t="shared" si="64"/>
        <v>1.0105188198260708</v>
      </c>
      <c r="N162" s="366">
        <f t="shared" si="65"/>
        <v>0.14441215537182381</v>
      </c>
      <c r="O162" s="367">
        <f t="shared" si="66"/>
        <v>1.00002908567807</v>
      </c>
      <c r="P162" s="368">
        <f t="shared" si="67"/>
        <v>4.3666685278976471E-2</v>
      </c>
      <c r="Q162" s="369">
        <f t="shared" si="68"/>
        <v>-1.8819792652512566</v>
      </c>
      <c r="R162" s="370">
        <f t="shared" si="69"/>
        <v>-131.27329922731258</v>
      </c>
      <c r="S162" s="372">
        <f t="shared" si="70"/>
        <v>48.726700772687423</v>
      </c>
      <c r="U162" s="345">
        <f t="shared" si="76"/>
        <v>9120.1</v>
      </c>
      <c r="V162" s="345">
        <f t="shared" si="77"/>
        <v>83176224.010000005</v>
      </c>
      <c r="X162" s="371">
        <f t="shared" si="71"/>
        <v>38.620583315021101</v>
      </c>
      <c r="Y162" s="372">
        <f t="shared" si="72"/>
        <v>-9.4933996241278393</v>
      </c>
      <c r="AA162" s="371">
        <f t="shared" si="73"/>
        <v>31.538637246286893</v>
      </c>
      <c r="AB162" s="372">
        <f t="shared" si="74"/>
        <v>-121.77989960318475</v>
      </c>
      <c r="AD162">
        <f t="shared" si="78"/>
        <v>0</v>
      </c>
      <c r="AE162">
        <f t="shared" si="81"/>
        <v>0</v>
      </c>
    </row>
    <row r="163" spans="1:31" x14ac:dyDescent="0.3">
      <c r="A163" s="373">
        <v>9173.2000000000007</v>
      </c>
      <c r="B163" s="390">
        <f t="shared" si="75"/>
        <v>9.1732000000000014</v>
      </c>
      <c r="C163" s="363">
        <f t="shared" si="54"/>
        <v>68.088492040791721</v>
      </c>
      <c r="D163" s="364">
        <f t="shared" si="55"/>
        <v>1.5561090290781043</v>
      </c>
      <c r="E163" s="364">
        <f t="shared" si="56"/>
        <v>1.0023889964396198</v>
      </c>
      <c r="F163" s="365">
        <f t="shared" si="57"/>
        <v>6.9054326854266629E-2</v>
      </c>
      <c r="G163" s="364">
        <f t="shared" si="58"/>
        <v>1.2092526216266488</v>
      </c>
      <c r="H163" s="365">
        <f t="shared" si="59"/>
        <v>-0.59712230173496084</v>
      </c>
      <c r="I163" s="363">
        <f t="shared" si="60"/>
        <v>13879.960617833505</v>
      </c>
      <c r="J163" s="366">
        <f t="shared" si="61"/>
        <v>1.570724280480905</v>
      </c>
      <c r="K163" s="374">
        <f t="shared" si="82"/>
        <v>47.111501575241334</v>
      </c>
      <c r="L163" s="375">
        <f t="shared" si="83"/>
        <v>1.5495684933785363</v>
      </c>
      <c r="M163" s="363">
        <f t="shared" si="64"/>
        <v>1.0106410172010114</v>
      </c>
      <c r="N163" s="366">
        <f t="shared" si="65"/>
        <v>0.14524122541605267</v>
      </c>
      <c r="O163" s="367">
        <f t="shared" si="66"/>
        <v>1.000029430395865</v>
      </c>
      <c r="P163" s="368">
        <f t="shared" si="67"/>
        <v>4.3921074004731719E-2</v>
      </c>
      <c r="Q163" s="369">
        <f t="shared" si="68"/>
        <v>-1.9173526657045867</v>
      </c>
      <c r="R163" s="370">
        <f t="shared" si="69"/>
        <v>-131.46488494832431</v>
      </c>
      <c r="S163" s="372">
        <f t="shared" si="70"/>
        <v>48.535115051675689</v>
      </c>
      <c r="U163" s="345">
        <f t="shared" si="76"/>
        <v>9173.2000000000007</v>
      </c>
      <c r="V163" s="345">
        <f t="shared" si="77"/>
        <v>84147598.24000001</v>
      </c>
      <c r="X163" s="371">
        <f t="shared" si="71"/>
        <v>38.619510182655901</v>
      </c>
      <c r="Y163" s="372">
        <f t="shared" si="72"/>
        <v>-9.533846551785075</v>
      </c>
      <c r="AA163" s="371">
        <f t="shared" si="73"/>
        <v>31.504336978198765</v>
      </c>
      <c r="AB163" s="372">
        <f t="shared" si="74"/>
        <v>-121.93103839653922</v>
      </c>
      <c r="AD163">
        <f t="shared" si="78"/>
        <v>0</v>
      </c>
      <c r="AE163">
        <f t="shared" si="81"/>
        <v>0</v>
      </c>
    </row>
    <row r="164" spans="1:31" x14ac:dyDescent="0.3">
      <c r="A164" s="373">
        <v>9226.2999999999993</v>
      </c>
      <c r="B164" s="390">
        <f t="shared" si="75"/>
        <v>9.2262999999999984</v>
      </c>
      <c r="C164" s="363">
        <f t="shared" si="54"/>
        <v>68.482544422032234</v>
      </c>
      <c r="D164" s="364">
        <f t="shared" si="55"/>
        <v>1.5561935466335839</v>
      </c>
      <c r="E164" s="364">
        <f t="shared" si="56"/>
        <v>1.0024167009501976</v>
      </c>
      <c r="F164" s="365">
        <f t="shared" si="57"/>
        <v>6.9452774313827487E-2</v>
      </c>
      <c r="G164" s="364">
        <f t="shared" si="58"/>
        <v>1.2114699503592441</v>
      </c>
      <c r="H164" s="365">
        <f t="shared" si="59"/>
        <v>-0.59980889944785054</v>
      </c>
      <c r="I164" s="363">
        <f t="shared" si="60"/>
        <v>13960.306179359721</v>
      </c>
      <c r="J164" s="366">
        <f t="shared" si="61"/>
        <v>1.5707246951280831</v>
      </c>
      <c r="K164" s="374">
        <f t="shared" si="82"/>
        <v>47.384088770802585</v>
      </c>
      <c r="L164" s="375">
        <f t="shared" si="83"/>
        <v>1.5496906292591566</v>
      </c>
      <c r="M164" s="363">
        <f t="shared" si="64"/>
        <v>1.0107639090790248</v>
      </c>
      <c r="N164" s="366">
        <f t="shared" si="65"/>
        <v>0.14607009442797073</v>
      </c>
      <c r="O164" s="367">
        <f t="shared" si="66"/>
        <v>1.0000297772322688</v>
      </c>
      <c r="P164" s="368">
        <f t="shared" si="67"/>
        <v>4.417546530560873E-2</v>
      </c>
      <c r="Q164" s="369">
        <f t="shared" si="68"/>
        <v>-1.952405462828235</v>
      </c>
      <c r="R164" s="370">
        <f t="shared" si="69"/>
        <v>-131.65592093125767</v>
      </c>
      <c r="S164" s="372">
        <f t="shared" si="70"/>
        <v>48.344079068742332</v>
      </c>
      <c r="U164" s="345">
        <f t="shared" si="76"/>
        <v>9226.2999999999993</v>
      </c>
      <c r="V164" s="345">
        <f t="shared" si="77"/>
        <v>85124611.689999983</v>
      </c>
      <c r="X164" s="371">
        <f t="shared" si="71"/>
        <v>38.618431602429069</v>
      </c>
      <c r="Y164" s="372">
        <f t="shared" si="72"/>
        <v>-9.5743631350300937</v>
      </c>
      <c r="AA164" s="371">
        <f t="shared" si="73"/>
        <v>31.470362761301942</v>
      </c>
      <c r="AB164" s="372">
        <f t="shared" si="74"/>
        <v>-122.0815577962276</v>
      </c>
      <c r="AD164">
        <f t="shared" si="78"/>
        <v>0</v>
      </c>
      <c r="AE164">
        <f t="shared" si="81"/>
        <v>0</v>
      </c>
    </row>
    <row r="165" spans="1:31" x14ac:dyDescent="0.3">
      <c r="A165" s="373">
        <v>9279.4</v>
      </c>
      <c r="B165" s="390">
        <f t="shared" si="75"/>
        <v>9.279399999999999</v>
      </c>
      <c r="C165" s="363">
        <f t="shared" si="54"/>
        <v>68.876597286861042</v>
      </c>
      <c r="D165" s="364">
        <f t="shared" si="55"/>
        <v>1.556277097115607</v>
      </c>
      <c r="E165" s="364">
        <f t="shared" si="56"/>
        <v>1.0024445645960189</v>
      </c>
      <c r="F165" s="365">
        <f t="shared" si="57"/>
        <v>6.9851199686389545E-2</v>
      </c>
      <c r="G165" s="364">
        <f t="shared" si="58"/>
        <v>1.213695991261921</v>
      </c>
      <c r="H165" s="365">
        <f t="shared" si="59"/>
        <v>-0.60248566143964633</v>
      </c>
      <c r="I165" s="363">
        <f t="shared" si="60"/>
        <v>14040.651740888314</v>
      </c>
      <c r="J165" s="366">
        <f t="shared" si="61"/>
        <v>1.5707251050297464</v>
      </c>
      <c r="K165" s="374">
        <f t="shared" si="82"/>
        <v>47.656676665114553</v>
      </c>
      <c r="L165" s="375">
        <f t="shared" si="83"/>
        <v>1.5498113679496102</v>
      </c>
      <c r="M165" s="363">
        <f t="shared" si="64"/>
        <v>1.0108874952068223</v>
      </c>
      <c r="N165" s="366">
        <f t="shared" si="65"/>
        <v>0.14689876134219851</v>
      </c>
      <c r="O165" s="367">
        <f t="shared" si="66"/>
        <v>1.0000301261893203</v>
      </c>
      <c r="P165" s="368">
        <f t="shared" si="67"/>
        <v>4.4429859196450129E-2</v>
      </c>
      <c r="Q165" s="369">
        <f t="shared" si="68"/>
        <v>-1.9871415800989571</v>
      </c>
      <c r="R165" s="370">
        <f t="shared" si="69"/>
        <v>-131.84640757539864</v>
      </c>
      <c r="S165" s="372">
        <f t="shared" si="70"/>
        <v>48.153592424601356</v>
      </c>
      <c r="U165" s="345">
        <f t="shared" si="76"/>
        <v>9279.4</v>
      </c>
      <c r="V165" s="345">
        <f t="shared" si="77"/>
        <v>86107264.359999999</v>
      </c>
      <c r="X165" s="371">
        <f t="shared" si="71"/>
        <v>38.617347569689706</v>
      </c>
      <c r="Y165" s="372">
        <f t="shared" si="72"/>
        <v>-9.6149479201322503</v>
      </c>
      <c r="AA165" s="371">
        <f t="shared" si="73"/>
        <v>31.436710676770581</v>
      </c>
      <c r="AB165" s="372">
        <f t="shared" si="74"/>
        <v>-122.23145965526638</v>
      </c>
      <c r="AD165">
        <f t="shared" si="78"/>
        <v>0</v>
      </c>
      <c r="AE165">
        <f t="shared" si="81"/>
        <v>0</v>
      </c>
    </row>
    <row r="166" spans="1:31" x14ac:dyDescent="0.3">
      <c r="A166" s="373">
        <v>9332.5</v>
      </c>
      <c r="B166" s="390">
        <f t="shared" si="75"/>
        <v>9.3324999999999996</v>
      </c>
      <c r="C166" s="363">
        <f t="shared" si="54"/>
        <v>69.270650627025304</v>
      </c>
      <c r="D166" s="364">
        <f t="shared" si="55"/>
        <v>1.5563596970268923</v>
      </c>
      <c r="E166" s="364">
        <f t="shared" si="56"/>
        <v>1.0024725873638138</v>
      </c>
      <c r="F166" s="365">
        <f t="shared" si="57"/>
        <v>7.0249602847305484E-2</v>
      </c>
      <c r="G166" s="364">
        <f t="shared" si="58"/>
        <v>1.2159306964857848</v>
      </c>
      <c r="H166" s="365">
        <f t="shared" si="59"/>
        <v>-0.60515260347699706</v>
      </c>
      <c r="I166" s="363">
        <f t="shared" si="60"/>
        <v>14120.997302419239</v>
      </c>
      <c r="J166" s="366">
        <f t="shared" si="61"/>
        <v>1.570725510266898</v>
      </c>
      <c r="K166" s="374">
        <f t="shared" si="82"/>
        <v>47.929265246255248</v>
      </c>
      <c r="L166" s="375">
        <f t="shared" si="83"/>
        <v>1.5499307332851064</v>
      </c>
      <c r="M166" s="363">
        <f t="shared" si="64"/>
        <v>1.0110117753298087</v>
      </c>
      <c r="N166" s="366">
        <f t="shared" si="65"/>
        <v>0.14772722509498629</v>
      </c>
      <c r="O166" s="367">
        <f t="shared" si="66"/>
        <v>1.0000304772690687</v>
      </c>
      <c r="P166" s="368">
        <f t="shared" si="67"/>
        <v>4.4684255692097434E-2</v>
      </c>
      <c r="Q166" s="369">
        <f t="shared" si="68"/>
        <v>-2.0215648793782304</v>
      </c>
      <c r="R166" s="370">
        <f t="shared" si="69"/>
        <v>-132.03634531567374</v>
      </c>
      <c r="S166" s="372">
        <f t="shared" si="70"/>
        <v>47.963654684326258</v>
      </c>
      <c r="U166" s="345">
        <f t="shared" si="76"/>
        <v>9332.5</v>
      </c>
      <c r="V166" s="345">
        <f t="shared" si="77"/>
        <v>87095556.25</v>
      </c>
      <c r="X166" s="371">
        <f t="shared" si="71"/>
        <v>38.61625808006275</v>
      </c>
      <c r="Y166" s="372">
        <f t="shared" si="72"/>
        <v>-9.6555994851274001</v>
      </c>
      <c r="AA166" s="371">
        <f t="shared" si="73"/>
        <v>31.403376867118268</v>
      </c>
      <c r="AB166" s="372">
        <f t="shared" si="74"/>
        <v>-122.38074583054637</v>
      </c>
      <c r="AD166">
        <f t="shared" si="78"/>
        <v>0</v>
      </c>
      <c r="AE166">
        <f t="shared" si="81"/>
        <v>0</v>
      </c>
    </row>
    <row r="167" spans="1:31" x14ac:dyDescent="0.3">
      <c r="A167" s="373">
        <v>9386.85</v>
      </c>
      <c r="B167" s="390">
        <f t="shared" si="75"/>
        <v>9.3868500000000008</v>
      </c>
      <c r="C167" s="363">
        <f t="shared" si="54"/>
        <v>69.673980659596225</v>
      </c>
      <c r="D167" s="364">
        <f t="shared" si="55"/>
        <v>1.5564432738132861</v>
      </c>
      <c r="E167" s="364">
        <f t="shared" si="56"/>
        <v>1.0025014345721326</v>
      </c>
      <c r="F167" s="365">
        <f t="shared" si="57"/>
        <v>7.0657361481542488E-2</v>
      </c>
      <c r="G167" s="364">
        <f t="shared" si="58"/>
        <v>1.2182269306635003</v>
      </c>
      <c r="H167" s="365">
        <f t="shared" si="59"/>
        <v>-0.60787217413184014</v>
      </c>
      <c r="I167" s="363">
        <f t="shared" si="60"/>
        <v>14203.23423781155</v>
      </c>
      <c r="J167" s="366">
        <f t="shared" si="61"/>
        <v>1.5707259202956385</v>
      </c>
      <c r="K167" s="374">
        <f t="shared" si="82"/>
        <v>48.208271395178187</v>
      </c>
      <c r="L167" s="375">
        <f t="shared" si="83"/>
        <v>1.5500515106207238</v>
      </c>
      <c r="M167" s="363">
        <f t="shared" si="64"/>
        <v>1.0111396994936077</v>
      </c>
      <c r="N167" s="366">
        <f t="shared" si="65"/>
        <v>0.1485749797901226</v>
      </c>
      <c r="O167" s="367">
        <f t="shared" si="66"/>
        <v>1.0000308388137982</v>
      </c>
      <c r="P167" s="368">
        <f t="shared" si="67"/>
        <v>4.4944643518809953E-2</v>
      </c>
      <c r="Q167" s="369">
        <f t="shared" si="68"/>
        <v>-2.0564785368325649</v>
      </c>
      <c r="R167" s="370">
        <f t="shared" si="69"/>
        <v>-132.23018633575478</v>
      </c>
      <c r="S167" s="372">
        <f t="shared" si="70"/>
        <v>47.76981366424522</v>
      </c>
      <c r="U167" s="345">
        <f t="shared" si="76"/>
        <v>9386.85</v>
      </c>
      <c r="V167" s="345">
        <f t="shared" si="77"/>
        <v>88112952.922499999</v>
      </c>
      <c r="X167" s="371">
        <f t="shared" si="71"/>
        <v>38.615137287944378</v>
      </c>
      <c r="Y167" s="372">
        <f t="shared" si="72"/>
        <v>-9.6972757125933278</v>
      </c>
      <c r="AA167" s="371">
        <f t="shared" si="73"/>
        <v>31.369584001782304</v>
      </c>
      <c r="AB167" s="372">
        <f t="shared" si="74"/>
        <v>-122.53291062316141</v>
      </c>
      <c r="AD167">
        <f t="shared" si="78"/>
        <v>0</v>
      </c>
      <c r="AE167">
        <f t="shared" si="81"/>
        <v>0</v>
      </c>
    </row>
    <row r="168" spans="1:31" x14ac:dyDescent="0.3">
      <c r="A168" s="373">
        <v>9441.2000000000007</v>
      </c>
      <c r="B168" s="390">
        <f t="shared" si="75"/>
        <v>9.4412000000000003</v>
      </c>
      <c r="C168" s="363">
        <f t="shared" si="54"/>
        <v>70.077311173243274</v>
      </c>
      <c r="D168" s="364">
        <f t="shared" si="55"/>
        <v>1.5565258885465534</v>
      </c>
      <c r="E168" s="364">
        <f t="shared" si="56"/>
        <v>1.0025304484538533</v>
      </c>
      <c r="F168" s="365">
        <f t="shared" si="57"/>
        <v>7.106509658197023E-2</v>
      </c>
      <c r="G168" s="364">
        <f t="shared" si="58"/>
        <v>1.2205321409853986</v>
      </c>
      <c r="H168" s="365">
        <f t="shared" si="59"/>
        <v>-0.61058149189477817</v>
      </c>
      <c r="I168" s="363">
        <f t="shared" si="60"/>
        <v>14285.471173206222</v>
      </c>
      <c r="J168" s="366">
        <f t="shared" si="61"/>
        <v>1.570726325603568</v>
      </c>
      <c r="K168" s="374">
        <f t="shared" si="82"/>
        <v>48.487278239230136</v>
      </c>
      <c r="L168" s="375">
        <f t="shared" si="83"/>
        <v>1.5501708979974633</v>
      </c>
      <c r="M168" s="363">
        <f t="shared" si="64"/>
        <v>1.0112683501672424</v>
      </c>
      <c r="N168" s="366">
        <f t="shared" si="65"/>
        <v>0.14942251939638057</v>
      </c>
      <c r="O168" s="367">
        <f t="shared" si="66"/>
        <v>1.000031202586724</v>
      </c>
      <c r="P168" s="368">
        <f t="shared" si="67"/>
        <v>4.5205034105868125E-2</v>
      </c>
      <c r="Q168" s="369">
        <f t="shared" si="68"/>
        <v>-2.0910724698594798</v>
      </c>
      <c r="R168" s="370">
        <f t="shared" si="69"/>
        <v>-132.42345333797127</v>
      </c>
      <c r="S168" s="372">
        <f t="shared" si="70"/>
        <v>47.576546662028733</v>
      </c>
      <c r="U168" s="345">
        <f t="shared" si="76"/>
        <v>9441.2000000000007</v>
      </c>
      <c r="V168" s="345">
        <f t="shared" si="77"/>
        <v>89136257.440000013</v>
      </c>
      <c r="X168" s="371">
        <f t="shared" si="71"/>
        <v>38.6140107705722</v>
      </c>
      <c r="Y168" s="372">
        <f t="shared" si="72"/>
        <v>-9.7390189846692312</v>
      </c>
      <c r="AA168" s="371">
        <f t="shared" si="73"/>
        <v>31.336116586127567</v>
      </c>
      <c r="AB168" s="372">
        <f t="shared" si="74"/>
        <v>-122.68443435330204</v>
      </c>
      <c r="AD168">
        <f t="shared" si="78"/>
        <v>0</v>
      </c>
      <c r="AE168">
        <f t="shared" si="81"/>
        <v>0</v>
      </c>
    </row>
    <row r="169" spans="1:31" x14ac:dyDescent="0.3">
      <c r="A169" s="373">
        <v>9495.5499999999993</v>
      </c>
      <c r="B169" s="390">
        <f t="shared" si="75"/>
        <v>9.4955499999999997</v>
      </c>
      <c r="C169" s="363">
        <f t="shared" si="54"/>
        <v>70.480642159707443</v>
      </c>
      <c r="D169" s="364">
        <f t="shared" si="55"/>
        <v>1.5566075577418292</v>
      </c>
      <c r="E169" s="364">
        <f t="shared" si="56"/>
        <v>1.0025596289945047</v>
      </c>
      <c r="F169" s="365">
        <f t="shared" si="57"/>
        <v>7.1472808015067571E-2</v>
      </c>
      <c r="G169" s="364">
        <f t="shared" si="58"/>
        <v>1.22284627668819</v>
      </c>
      <c r="H169" s="365">
        <f t="shared" si="59"/>
        <v>-0.6132805750870054</v>
      </c>
      <c r="I169" s="363">
        <f t="shared" si="60"/>
        <v>14367.708108603212</v>
      </c>
      <c r="J169" s="366">
        <f t="shared" si="61"/>
        <v>1.5707267262717479</v>
      </c>
      <c r="K169" s="374">
        <f t="shared" si="82"/>
        <v>48.76628576647996</v>
      </c>
      <c r="L169" s="375">
        <f t="shared" si="83"/>
        <v>1.5502889192690907</v>
      </c>
      <c r="M169" s="363">
        <f t="shared" si="64"/>
        <v>1.0113977270734744</v>
      </c>
      <c r="N169" s="366">
        <f t="shared" si="65"/>
        <v>0.1502698427784569</v>
      </c>
      <c r="O169" s="367">
        <f t="shared" si="66"/>
        <v>1.0000315685900822</v>
      </c>
      <c r="P169" s="368">
        <f t="shared" si="67"/>
        <v>4.546542746918282E-2</v>
      </c>
      <c r="Q169" s="369">
        <f t="shared" si="68"/>
        <v>-2.1253506273144112</v>
      </c>
      <c r="R169" s="370">
        <f t="shared" si="69"/>
        <v>-132.61614689973621</v>
      </c>
      <c r="S169" s="372">
        <f t="shared" si="70"/>
        <v>47.383853100263792</v>
      </c>
      <c r="U169" s="345">
        <f t="shared" si="76"/>
        <v>9495.5499999999993</v>
      </c>
      <c r="V169" s="345">
        <f t="shared" si="77"/>
        <v>90165469.80249998</v>
      </c>
      <c r="X169" s="371">
        <f t="shared" si="71"/>
        <v>38.612878524097184</v>
      </c>
      <c r="Y169" s="372">
        <f t="shared" si="72"/>
        <v>-9.7808278742314059</v>
      </c>
      <c r="AA169" s="371">
        <f t="shared" si="73"/>
        <v>31.302970675147648</v>
      </c>
      <c r="AB169" s="372">
        <f t="shared" si="74"/>
        <v>-122.83531902550477</v>
      </c>
      <c r="AD169">
        <f t="shared" si="78"/>
        <v>0</v>
      </c>
      <c r="AE169">
        <f t="shared" si="81"/>
        <v>0</v>
      </c>
    </row>
    <row r="170" spans="1:31" x14ac:dyDescent="0.3">
      <c r="A170" s="373">
        <v>9549.9</v>
      </c>
      <c r="B170" s="390">
        <f t="shared" si="75"/>
        <v>9.5498999999999992</v>
      </c>
      <c r="C170" s="363">
        <f t="shared" si="54"/>
        <v>70.883973610917749</v>
      </c>
      <c r="D170" s="364">
        <f t="shared" si="55"/>
        <v>1.556688297538414</v>
      </c>
      <c r="E170" s="364">
        <f t="shared" si="56"/>
        <v>1.0025889761795352</v>
      </c>
      <c r="F170" s="365">
        <f t="shared" si="57"/>
        <v>7.1880495647360404E-2</v>
      </c>
      <c r="G170" s="364">
        <f t="shared" si="58"/>
        <v>1.2251692871963116</v>
      </c>
      <c r="H170" s="365">
        <f t="shared" si="59"/>
        <v>-0.61596944248803587</v>
      </c>
      <c r="I170" s="363">
        <f t="shared" si="60"/>
        <v>14449.945044002487</v>
      </c>
      <c r="J170" s="366">
        <f t="shared" si="61"/>
        <v>1.5707271223793953</v>
      </c>
      <c r="K170" s="374">
        <f t="shared" si="82"/>
        <v>49.045293965268009</v>
      </c>
      <c r="L170" s="375">
        <f t="shared" si="83"/>
        <v>1.5504055977467301</v>
      </c>
      <c r="M170" s="363">
        <f t="shared" si="64"/>
        <v>1.0115278299336428</v>
      </c>
      <c r="N170" s="366">
        <f t="shared" si="65"/>
        <v>0.15111694880286961</v>
      </c>
      <c r="O170" s="367">
        <f t="shared" si="66"/>
        <v>1.0000319368261228</v>
      </c>
      <c r="P170" s="368">
        <f t="shared" si="67"/>
        <v>4.5725823624663701E-2</v>
      </c>
      <c r="Q170" s="369">
        <f t="shared" si="68"/>
        <v>-2.1593168959308877</v>
      </c>
      <c r="R170" s="370">
        <f t="shared" si="69"/>
        <v>-132.80826763427515</v>
      </c>
      <c r="S170" s="372">
        <f t="shared" si="70"/>
        <v>47.191732365724846</v>
      </c>
      <c r="U170" s="345">
        <f t="shared" si="76"/>
        <v>9549.9</v>
      </c>
      <c r="V170" s="345">
        <f t="shared" si="77"/>
        <v>91200590.00999999</v>
      </c>
      <c r="X170" s="371">
        <f t="shared" si="71"/>
        <v>38.611740544936772</v>
      </c>
      <c r="Y170" s="372">
        <f t="shared" si="72"/>
        <v>-9.8227009852458913</v>
      </c>
      <c r="AA170" s="371">
        <f t="shared" si="73"/>
        <v>31.270142385691592</v>
      </c>
      <c r="AB170" s="372">
        <f t="shared" si="74"/>
        <v>-122.98556664902927</v>
      </c>
      <c r="AD170">
        <f t="shared" si="78"/>
        <v>0</v>
      </c>
      <c r="AE170">
        <f t="shared" si="81"/>
        <v>0</v>
      </c>
    </row>
    <row r="171" spans="1:31" x14ac:dyDescent="0.3">
      <c r="A171" s="373">
        <v>9605.5249999999996</v>
      </c>
      <c r="B171" s="390">
        <f t="shared" si="75"/>
        <v>9.6055250000000001</v>
      </c>
      <c r="C171" s="363">
        <f t="shared" si="54"/>
        <v>71.296767312499242</v>
      </c>
      <c r="D171" s="364">
        <f t="shared" si="55"/>
        <v>1.5567699855152466</v>
      </c>
      <c r="E171" s="364">
        <f t="shared" si="56"/>
        <v>1.0026191843609316</v>
      </c>
      <c r="F171" s="365">
        <f t="shared" si="57"/>
        <v>7.2297722464838815E-2</v>
      </c>
      <c r="G171" s="364">
        <f t="shared" si="58"/>
        <v>1.2275559303107717</v>
      </c>
      <c r="H171" s="365">
        <f t="shared" si="59"/>
        <v>-0.61871083018245598</v>
      </c>
      <c r="I171" s="363">
        <f t="shared" si="60"/>
        <v>14534.111180740492</v>
      </c>
      <c r="J171" s="366">
        <f t="shared" si="61"/>
        <v>1.5707275231378752</v>
      </c>
      <c r="K171" s="374">
        <f t="shared" si="82"/>
        <v>49.330848118051549</v>
      </c>
      <c r="L171" s="375">
        <f t="shared" si="83"/>
        <v>1.5505236467506121</v>
      </c>
      <c r="M171" s="363">
        <f t="shared" si="64"/>
        <v>1.0116617362915272</v>
      </c>
      <c r="N171" s="366">
        <f t="shared" si="65"/>
        <v>0.15198370089280241</v>
      </c>
      <c r="O171" s="367">
        <f t="shared" si="66"/>
        <v>1.0000323160148581</v>
      </c>
      <c r="P171" s="368">
        <f t="shared" si="67"/>
        <v>4.5992331337394464E-2</v>
      </c>
      <c r="Q171" s="369">
        <f t="shared" si="68"/>
        <v>-2.1937610239504046</v>
      </c>
      <c r="R171" s="370">
        <f t="shared" si="69"/>
        <v>-133.00430287582262</v>
      </c>
      <c r="S171" s="372">
        <f t="shared" si="70"/>
        <v>46.995697124177383</v>
      </c>
      <c r="U171" s="345">
        <f t="shared" si="76"/>
        <v>9605.5249999999996</v>
      </c>
      <c r="V171" s="345">
        <f t="shared" si="77"/>
        <v>92266110.52562499</v>
      </c>
      <c r="X171" s="371">
        <f t="shared" si="71"/>
        <v>38.610569930397475</v>
      </c>
      <c r="Y171" s="372">
        <f t="shared" si="72"/>
        <v>-9.8656214740035786</v>
      </c>
      <c r="AA171" s="371">
        <f t="shared" si="73"/>
        <v>31.236868872211367</v>
      </c>
      <c r="AB171" s="372">
        <f t="shared" si="74"/>
        <v>-123.13868140181904</v>
      </c>
      <c r="AD171">
        <f t="shared" si="78"/>
        <v>0</v>
      </c>
      <c r="AE171">
        <f t="shared" si="81"/>
        <v>0</v>
      </c>
    </row>
    <row r="172" spans="1:31" x14ac:dyDescent="0.3">
      <c r="A172" s="373">
        <v>9661.15</v>
      </c>
      <c r="B172" s="390">
        <f t="shared" si="75"/>
        <v>9.6611499999999992</v>
      </c>
      <c r="C172" s="363">
        <f t="shared" si="54"/>
        <v>71.709561484361373</v>
      </c>
      <c r="D172" s="364">
        <f t="shared" si="55"/>
        <v>1.5568507330233072</v>
      </c>
      <c r="E172" s="364">
        <f t="shared" si="56"/>
        <v>1.0026495670659539</v>
      </c>
      <c r="F172" s="365">
        <f t="shared" si="57"/>
        <v>7.2714924068977477E-2</v>
      </c>
      <c r="G172" s="364">
        <f t="shared" si="58"/>
        <v>1.2299517629188195</v>
      </c>
      <c r="H172" s="365">
        <f t="shared" si="59"/>
        <v>-0.62144155839156801</v>
      </c>
      <c r="I172" s="363">
        <f t="shared" si="60"/>
        <v>14618.277317480806</v>
      </c>
      <c r="J172" s="366">
        <f t="shared" si="61"/>
        <v>1.5707279192815446</v>
      </c>
      <c r="K172" s="374">
        <f t="shared" si="82"/>
        <v>49.616402950375509</v>
      </c>
      <c r="L172" s="375">
        <f t="shared" si="83"/>
        <v>1.5506403369529063</v>
      </c>
      <c r="M172" s="363">
        <f t="shared" si="64"/>
        <v>1.0117964024680803</v>
      </c>
      <c r="N172" s="366">
        <f t="shared" si="65"/>
        <v>0.15285022291089148</v>
      </c>
      <c r="O172" s="367">
        <f t="shared" si="66"/>
        <v>1.0000326975470666</v>
      </c>
      <c r="P172" s="368">
        <f t="shared" si="67"/>
        <v>4.6258842008547831E-2</v>
      </c>
      <c r="Q172" s="369">
        <f t="shared" si="68"/>
        <v>-2.2278865024668542</v>
      </c>
      <c r="R172" s="370">
        <f t="shared" si="69"/>
        <v>-133.1997395101225</v>
      </c>
      <c r="S172" s="372">
        <f t="shared" si="70"/>
        <v>46.800260489877502</v>
      </c>
      <c r="U172" s="345">
        <f t="shared" si="76"/>
        <v>9661.15</v>
      </c>
      <c r="V172" s="345">
        <f t="shared" si="77"/>
        <v>93337819.32249999</v>
      </c>
      <c r="X172" s="371">
        <f t="shared" si="71"/>
        <v>38.60939330427734</v>
      </c>
      <c r="Y172" s="372">
        <f t="shared" si="72"/>
        <v>-9.9086063698027083</v>
      </c>
      <c r="AA172" s="371">
        <f t="shared" si="73"/>
        <v>31.203920019815058</v>
      </c>
      <c r="AB172" s="372">
        <f t="shared" si="74"/>
        <v>-123.29113314031981</v>
      </c>
      <c r="AD172">
        <f t="shared" si="78"/>
        <v>0</v>
      </c>
      <c r="AE172">
        <f t="shared" si="81"/>
        <v>0</v>
      </c>
    </row>
    <row r="173" spans="1:31" x14ac:dyDescent="0.3">
      <c r="A173" s="373">
        <v>9716.7749999999996</v>
      </c>
      <c r="B173" s="390">
        <f t="shared" si="75"/>
        <v>9.7167750000000002</v>
      </c>
      <c r="C173" s="363">
        <f t="shared" si="54"/>
        <v>72.122356118429167</v>
      </c>
      <c r="D173" s="364">
        <f t="shared" si="55"/>
        <v>1.5569305562099438</v>
      </c>
      <c r="E173" s="364">
        <f t="shared" si="56"/>
        <v>1.0026801242787364</v>
      </c>
      <c r="F173" s="365">
        <f t="shared" si="57"/>
        <v>7.3132100316841184E-2</v>
      </c>
      <c r="G173" s="364">
        <f t="shared" si="58"/>
        <v>1.2323567314243959</v>
      </c>
      <c r="H173" s="365">
        <f t="shared" si="59"/>
        <v>-0.62416164867816248</v>
      </c>
      <c r="I173" s="363">
        <f t="shared" si="60"/>
        <v>14702.443454223388</v>
      </c>
      <c r="J173" s="366">
        <f t="shared" si="61"/>
        <v>1.5707283108896573</v>
      </c>
      <c r="K173" s="374">
        <f t="shared" si="82"/>
        <v>49.901958450574284</v>
      </c>
      <c r="L173" s="375">
        <f t="shared" si="83"/>
        <v>1.5507556916769427</v>
      </c>
      <c r="M173" s="363">
        <f t="shared" si="64"/>
        <v>1.0119318281599565</v>
      </c>
      <c r="N173" s="366">
        <f t="shared" si="65"/>
        <v>0.15371651364797631</v>
      </c>
      <c r="O173" s="367">
        <f t="shared" si="66"/>
        <v>1.0000330814252021</v>
      </c>
      <c r="P173" s="368">
        <f t="shared" si="67"/>
        <v>4.6525355655175536E-2</v>
      </c>
      <c r="Q173" s="369">
        <f t="shared" si="68"/>
        <v>-2.2616973044483593</v>
      </c>
      <c r="R173" s="370">
        <f t="shared" si="69"/>
        <v>-133.39457830590595</v>
      </c>
      <c r="S173" s="372">
        <f t="shared" si="70"/>
        <v>46.605421694094048</v>
      </c>
      <c r="U173" s="345">
        <f t="shared" si="76"/>
        <v>9716.7749999999996</v>
      </c>
      <c r="V173" s="345">
        <f t="shared" si="77"/>
        <v>94415716.40062499</v>
      </c>
      <c r="X173" s="371">
        <f t="shared" si="71"/>
        <v>38.60821066354967</v>
      </c>
      <c r="Y173" s="372">
        <f t="shared" si="72"/>
        <v>-9.9516542715760288</v>
      </c>
      <c r="AA173" s="371">
        <f t="shared" si="73"/>
        <v>31.171291858561219</v>
      </c>
      <c r="AB173" s="372">
        <f t="shared" si="74"/>
        <v>-123.44292403432993</v>
      </c>
      <c r="AD173">
        <f t="shared" si="78"/>
        <v>0</v>
      </c>
      <c r="AE173">
        <f t="shared" si="81"/>
        <v>0</v>
      </c>
    </row>
    <row r="174" spans="1:31" x14ac:dyDescent="0.3">
      <c r="A174" s="373">
        <v>9772.4</v>
      </c>
      <c r="B174" s="390">
        <f t="shared" si="75"/>
        <v>9.7723999999999993</v>
      </c>
      <c r="C174" s="363">
        <f t="shared" si="54"/>
        <v>72.535151206811435</v>
      </c>
      <c r="D174" s="364">
        <f t="shared" si="55"/>
        <v>1.5570094708549762</v>
      </c>
      <c r="E174" s="364">
        <f t="shared" si="56"/>
        <v>1.0027108559833258</v>
      </c>
      <c r="F174" s="365">
        <f t="shared" si="57"/>
        <v>7.3549251065547355E-2</v>
      </c>
      <c r="G174" s="364">
        <f t="shared" si="58"/>
        <v>1.2347707824454188</v>
      </c>
      <c r="H174" s="365">
        <f t="shared" si="59"/>
        <v>-0.62687112306702808</v>
      </c>
      <c r="I174" s="363">
        <f t="shared" si="60"/>
        <v>14786.609590968199</v>
      </c>
      <c r="J174" s="366">
        <f t="shared" si="61"/>
        <v>1.5707286980396631</v>
      </c>
      <c r="K174" s="374">
        <f t="shared" si="82"/>
        <v>50.187514607247685</v>
      </c>
      <c r="L174" s="375">
        <f t="shared" si="83"/>
        <v>1.5508697337153763</v>
      </c>
      <c r="M174" s="363">
        <f t="shared" si="64"/>
        <v>1.0120680130622612</v>
      </c>
      <c r="N174" s="366">
        <f t="shared" si="65"/>
        <v>0.15458257189693025</v>
      </c>
      <c r="O174" s="367">
        <f t="shared" si="66"/>
        <v>1.0000334676517322</v>
      </c>
      <c r="P174" s="368">
        <f t="shared" si="67"/>
        <v>4.6791872294327873E-2</v>
      </c>
      <c r="Q174" s="369">
        <f t="shared" si="68"/>
        <v>-2.2951973402266765</v>
      </c>
      <c r="R174" s="370">
        <f t="shared" si="69"/>
        <v>-133.58882006773231</v>
      </c>
      <c r="S174" s="372">
        <f t="shared" si="70"/>
        <v>46.411179932267686</v>
      </c>
      <c r="U174" s="345">
        <f t="shared" si="76"/>
        <v>9772.4</v>
      </c>
      <c r="V174" s="345">
        <f t="shared" si="77"/>
        <v>95499801.75999999</v>
      </c>
      <c r="X174" s="371">
        <f t="shared" si="71"/>
        <v>38.607022005445458</v>
      </c>
      <c r="Y174" s="372">
        <f t="shared" si="72"/>
        <v>-9.9947638086748984</v>
      </c>
      <c r="AA174" s="371">
        <f t="shared" si="73"/>
        <v>31.138980480887113</v>
      </c>
      <c r="AB174" s="372">
        <f t="shared" si="74"/>
        <v>-123.59405625905738</v>
      </c>
      <c r="AD174">
        <f t="shared" si="78"/>
        <v>0</v>
      </c>
      <c r="AE174">
        <f t="shared" si="81"/>
        <v>0</v>
      </c>
    </row>
    <row r="175" spans="1:31" x14ac:dyDescent="0.3">
      <c r="A175" s="373">
        <v>9829.2999999999993</v>
      </c>
      <c r="B175" s="390">
        <f t="shared" si="75"/>
        <v>9.8292999999999999</v>
      </c>
      <c r="C175" s="363">
        <f t="shared" si="54"/>
        <v>72.957408577211453</v>
      </c>
      <c r="D175" s="364">
        <f t="shared" si="55"/>
        <v>1.5570892703891406</v>
      </c>
      <c r="E175" s="364">
        <f t="shared" si="56"/>
        <v>1.0027424726203193</v>
      </c>
      <c r="F175" s="365">
        <f t="shared" si="57"/>
        <v>7.397593694038905E-2</v>
      </c>
      <c r="G175" s="364">
        <f t="shared" si="58"/>
        <v>1.2372495085201882</v>
      </c>
      <c r="H175" s="365">
        <f t="shared" si="59"/>
        <v>-0.62963174201532801</v>
      </c>
      <c r="I175" s="363">
        <f t="shared" si="60"/>
        <v>14872.704929051899</v>
      </c>
      <c r="J175" s="366">
        <f t="shared" si="61"/>
        <v>1.5707290895300194</v>
      </c>
      <c r="K175" s="374">
        <f t="shared" si="82"/>
        <v>50.479616763654789</v>
      </c>
      <c r="L175" s="375">
        <f t="shared" si="83"/>
        <v>1.5509850548097301</v>
      </c>
      <c r="M175" s="363">
        <f t="shared" si="64"/>
        <v>1.0122081046997182</v>
      </c>
      <c r="N175" s="366">
        <f t="shared" si="65"/>
        <v>0.15546823956970526</v>
      </c>
      <c r="O175" s="367">
        <f t="shared" si="66"/>
        <v>1.0000338651634371</v>
      </c>
      <c r="P175" s="368">
        <f t="shared" si="67"/>
        <v>4.706450096817201E-2</v>
      </c>
      <c r="Q175" s="369">
        <f t="shared" si="68"/>
        <v>-2.3291477217950183</v>
      </c>
      <c r="R175" s="370">
        <f t="shared" si="69"/>
        <v>-133.78689727008506</v>
      </c>
      <c r="S175" s="372">
        <f t="shared" si="70"/>
        <v>46.213102729914937</v>
      </c>
      <c r="U175" s="345">
        <f t="shared" si="76"/>
        <v>9829.2999999999993</v>
      </c>
      <c r="V175" s="345">
        <f t="shared" si="77"/>
        <v>96615138.48999998</v>
      </c>
      <c r="X175" s="371">
        <f t="shared" si="71"/>
        <v>38.6057998732229</v>
      </c>
      <c r="Y175" s="372">
        <f t="shared" si="72"/>
        <v>-10.038923847176378</v>
      </c>
      <c r="AA175" s="371">
        <f t="shared" si="73"/>
        <v>31.106252231541326</v>
      </c>
      <c r="AB175" s="372">
        <f t="shared" si="74"/>
        <v>-123.74797342290866</v>
      </c>
      <c r="AD175">
        <f t="shared" si="78"/>
        <v>0</v>
      </c>
      <c r="AE175">
        <f t="shared" si="81"/>
        <v>0</v>
      </c>
    </row>
    <row r="176" spans="1:31" x14ac:dyDescent="0.3">
      <c r="A176" s="373">
        <v>9886.2000000000007</v>
      </c>
      <c r="B176" s="390">
        <f t="shared" si="75"/>
        <v>9.8862000000000005</v>
      </c>
      <c r="C176" s="363">
        <f t="shared" si="54"/>
        <v>73.379666406854852</v>
      </c>
      <c r="D176" s="364">
        <f t="shared" si="55"/>
        <v>1.5571681515228406</v>
      </c>
      <c r="E176" s="364">
        <f t="shared" si="56"/>
        <v>1.0027742718059141</v>
      </c>
      <c r="F176" s="365">
        <f t="shared" si="57"/>
        <v>7.4402595831453713E-2</v>
      </c>
      <c r="G176" s="364">
        <f t="shared" si="58"/>
        <v>1.2397376259476447</v>
      </c>
      <c r="H176" s="365">
        <f t="shared" si="59"/>
        <v>-0.63238130088396149</v>
      </c>
      <c r="I176" s="363">
        <f t="shared" si="60"/>
        <v>14958.800267137854</v>
      </c>
      <c r="J176" s="366">
        <f t="shared" si="61"/>
        <v>1.5707294765139324</v>
      </c>
      <c r="K176" s="374">
        <f t="shared" si="82"/>
        <v>50.771719583663433</v>
      </c>
      <c r="L176" s="375">
        <f t="shared" si="83"/>
        <v>1.5510990489614858</v>
      </c>
      <c r="M176" s="363">
        <f t="shared" si="64"/>
        <v>1.012348990100417</v>
      </c>
      <c r="N176" s="366">
        <f t="shared" si="65"/>
        <v>0.15635366142572449</v>
      </c>
      <c r="O176" s="367">
        <f t="shared" si="66"/>
        <v>1.0000342651376959</v>
      </c>
      <c r="P176" s="368">
        <f t="shared" si="67"/>
        <v>4.7337132809384654E-2</v>
      </c>
      <c r="Q176" s="369">
        <f t="shared" si="68"/>
        <v>-2.3627810095200181</v>
      </c>
      <c r="R176" s="370">
        <f t="shared" si="69"/>
        <v>-133.98435156936168</v>
      </c>
      <c r="S176" s="372">
        <f t="shared" si="70"/>
        <v>46.015648430638322</v>
      </c>
      <c r="U176" s="345">
        <f t="shared" si="76"/>
        <v>9886.2000000000007</v>
      </c>
      <c r="V176" s="345">
        <f t="shared" si="77"/>
        <v>97736950.440000013</v>
      </c>
      <c r="X176" s="371">
        <f t="shared" si="71"/>
        <v>38.604571439539853</v>
      </c>
      <c r="Y176" s="372">
        <f t="shared" si="72"/>
        <v>-10.08314557142563</v>
      </c>
      <c r="AA176" s="371">
        <f t="shared" si="73"/>
        <v>31.073847377499384</v>
      </c>
      <c r="AB176" s="372">
        <f t="shared" si="74"/>
        <v>-123.90120599793609</v>
      </c>
      <c r="AD176">
        <f t="shared" si="78"/>
        <v>0</v>
      </c>
      <c r="AE176">
        <f t="shared" si="81"/>
        <v>0</v>
      </c>
    </row>
    <row r="177" spans="1:31" x14ac:dyDescent="0.3">
      <c r="A177" s="373">
        <v>9943.1</v>
      </c>
      <c r="B177" s="390">
        <f t="shared" si="75"/>
        <v>9.9431000000000012</v>
      </c>
      <c r="C177" s="363">
        <f t="shared" si="54"/>
        <v>73.801924687858929</v>
      </c>
      <c r="D177" s="364">
        <f t="shared" si="55"/>
        <v>1.5572461300189921</v>
      </c>
      <c r="E177" s="364">
        <f t="shared" si="56"/>
        <v>1.0028062535227444</v>
      </c>
      <c r="F177" s="365">
        <f t="shared" si="57"/>
        <v>7.4829227585979638E-2</v>
      </c>
      <c r="G177" s="364">
        <f t="shared" si="58"/>
        <v>1.2422350782969525</v>
      </c>
      <c r="H177" s="365">
        <f t="shared" si="59"/>
        <v>-0.63511982468188111</v>
      </c>
      <c r="I177" s="363">
        <f t="shared" si="60"/>
        <v>15044.89560522602</v>
      </c>
      <c r="J177" s="366">
        <f t="shared" si="61"/>
        <v>1.5707298590687671</v>
      </c>
      <c r="K177" s="374">
        <f t="shared" si="82"/>
        <v>51.063823055885507</v>
      </c>
      <c r="L177" s="375">
        <f t="shared" si="83"/>
        <v>1.5512117389394247</v>
      </c>
      <c r="M177" s="363">
        <f t="shared" si="64"/>
        <v>1.0124906689330075</v>
      </c>
      <c r="N177" s="366">
        <f t="shared" si="65"/>
        <v>0.15723883617960149</v>
      </c>
      <c r="O177" s="367">
        <f t="shared" si="66"/>
        <v>1.0000346675771961</v>
      </c>
      <c r="P177" s="368">
        <f t="shared" si="67"/>
        <v>4.7609767836211091E-2</v>
      </c>
      <c r="Q177" s="369">
        <f t="shared" si="68"/>
        <v>-2.3961011937816905</v>
      </c>
      <c r="R177" s="370">
        <f t="shared" si="69"/>
        <v>-134.18118393764664</v>
      </c>
      <c r="S177" s="372">
        <f t="shared" si="70"/>
        <v>45.818816062353363</v>
      </c>
      <c r="U177" s="345">
        <f t="shared" si="76"/>
        <v>9943.1</v>
      </c>
      <c r="V177" s="345">
        <f t="shared" si="77"/>
        <v>98865237.610000014</v>
      </c>
      <c r="X177" s="371">
        <f t="shared" si="71"/>
        <v>38.603336702218577</v>
      </c>
      <c r="Y177" s="372">
        <f t="shared" si="72"/>
        <v>-10.127427607653051</v>
      </c>
      <c r="AA177" s="371">
        <f t="shared" si="73"/>
        <v>31.041761930558984</v>
      </c>
      <c r="AB177" s="372">
        <f t="shared" si="74"/>
        <v>-124.05375632999358</v>
      </c>
      <c r="AD177">
        <f t="shared" si="78"/>
        <v>0</v>
      </c>
      <c r="AE177">
        <f t="shared" si="81"/>
        <v>0</v>
      </c>
    </row>
    <row r="178" spans="1:31" x14ac:dyDescent="0.3">
      <c r="A178" s="373">
        <v>10000</v>
      </c>
      <c r="B178" s="390">
        <f t="shared" si="75"/>
        <v>10</v>
      </c>
      <c r="C178" s="363">
        <f t="shared" si="54"/>
        <v>74.224183412520361</v>
      </c>
      <c r="D178" s="364">
        <f t="shared" si="55"/>
        <v>1.5573232212818571</v>
      </c>
      <c r="E178" s="364">
        <f t="shared" si="56"/>
        <v>1.0028384177533465</v>
      </c>
      <c r="F178" s="365">
        <f t="shared" si="57"/>
        <v>7.5255832051264043E-2</v>
      </c>
      <c r="G178" s="364">
        <f t="shared" si="58"/>
        <v>1.2447418093792977</v>
      </c>
      <c r="H178" s="365">
        <f t="shared" si="59"/>
        <v>-0.63784733887976541</v>
      </c>
      <c r="I178" s="363">
        <f t="shared" si="60"/>
        <v>15130.990943316365</v>
      </c>
      <c r="J178" s="366">
        <f t="shared" si="61"/>
        <v>1.5707302372701275</v>
      </c>
      <c r="K178" s="374">
        <f t="shared" si="82"/>
        <v>51.355927169191986</v>
      </c>
      <c r="L178" s="375">
        <f t="shared" si="83"/>
        <v>1.5513231469944417</v>
      </c>
      <c r="M178" s="363">
        <f t="shared" si="64"/>
        <v>1.0126331408644591</v>
      </c>
      <c r="N178" s="366">
        <f t="shared" si="65"/>
        <v>0.1581237625482162</v>
      </c>
      <c r="O178" s="367">
        <f t="shared" si="66"/>
        <v>1.0000350724846405</v>
      </c>
      <c r="P178" s="368">
        <f t="shared" si="67"/>
        <v>4.7882406066894992E-2</v>
      </c>
      <c r="Q178" s="369">
        <f t="shared" si="68"/>
        <v>-2.4291122019133198</v>
      </c>
      <c r="R178" s="370">
        <f t="shared" si="69"/>
        <v>-134.37739538262798</v>
      </c>
      <c r="S178" s="372">
        <f t="shared" si="70"/>
        <v>45.622604617372019</v>
      </c>
      <c r="U178" s="345">
        <f t="shared" si="76"/>
        <v>10000</v>
      </c>
      <c r="V178" s="345">
        <f t="shared" si="77"/>
        <v>100000000</v>
      </c>
      <c r="X178" s="371">
        <f t="shared" si="71"/>
        <v>38.602095659330281</v>
      </c>
      <c r="Y178" s="372">
        <f t="shared" si="72"/>
        <v>-10.171768611790691</v>
      </c>
      <c r="AA178" s="371">
        <f t="shared" si="73"/>
        <v>31.009991965315649</v>
      </c>
      <c r="AB178" s="372">
        <f t="shared" si="74"/>
        <v>-124.20562677083727</v>
      </c>
      <c r="AD178">
        <f t="shared" si="78"/>
        <v>0</v>
      </c>
      <c r="AE178">
        <f t="shared" si="81"/>
        <v>0</v>
      </c>
    </row>
    <row r="179" spans="1:31" x14ac:dyDescent="0.3">
      <c r="A179" s="373">
        <v>10058.25</v>
      </c>
      <c r="B179" s="390">
        <f t="shared" si="75"/>
        <v>10.058249999999999</v>
      </c>
      <c r="C179" s="363">
        <f t="shared" si="54"/>
        <v>74.656461029636858</v>
      </c>
      <c r="D179" s="364">
        <f t="shared" si="55"/>
        <v>1.5574012382577926</v>
      </c>
      <c r="E179" s="364">
        <f t="shared" si="56"/>
        <v>1.0028715341494143</v>
      </c>
      <c r="F179" s="365">
        <f t="shared" si="57"/>
        <v>7.569252963613457E-2</v>
      </c>
      <c r="G179" s="364">
        <f t="shared" si="58"/>
        <v>1.2473175679037414</v>
      </c>
      <c r="H179" s="365">
        <f t="shared" si="59"/>
        <v>-0.64062818817865341</v>
      </c>
      <c r="I179" s="363">
        <f t="shared" si="60"/>
        <v>15219.128965177328</v>
      </c>
      <c r="J179" s="366">
        <f t="shared" si="61"/>
        <v>1.570730620012136</v>
      </c>
      <c r="K179" s="374">
        <f t="shared" si="82"/>
        <v>51.654962349159753</v>
      </c>
      <c r="L179" s="375">
        <f t="shared" si="83"/>
        <v>1.5514358930956602</v>
      </c>
      <c r="M179" s="363">
        <f t="shared" si="64"/>
        <v>1.0127798142594384</v>
      </c>
      <c r="N179" s="366">
        <f t="shared" si="65"/>
        <v>0.15902942590150013</v>
      </c>
      <c r="O179" s="367">
        <f t="shared" si="66"/>
        <v>1.00003548955816</v>
      </c>
      <c r="P179" s="368">
        <f t="shared" si="67"/>
        <v>4.8161516205026123E-2</v>
      </c>
      <c r="Q179" s="369">
        <f t="shared" si="68"/>
        <v>-2.4625901929704521</v>
      </c>
      <c r="R179" s="370">
        <f t="shared" si="69"/>
        <v>-134.57762000054223</v>
      </c>
      <c r="S179" s="372">
        <f t="shared" si="70"/>
        <v>45.422379999457775</v>
      </c>
      <c r="U179" s="345">
        <f t="shared" si="76"/>
        <v>10058.25</v>
      </c>
      <c r="V179" s="345">
        <f t="shared" si="77"/>
        <v>101168393.0625</v>
      </c>
      <c r="X179" s="371">
        <f t="shared" si="71"/>
        <v>38.600818638154074</v>
      </c>
      <c r="Y179" s="372">
        <f t="shared" si="72"/>
        <v>-10.217221353390826</v>
      </c>
      <c r="AA179" s="371">
        <f t="shared" si="73"/>
        <v>30.977790995434724</v>
      </c>
      <c r="AB179" s="372">
        <f t="shared" si="74"/>
        <v>-124.36039864715138</v>
      </c>
      <c r="AD179">
        <f t="shared" si="78"/>
        <v>0</v>
      </c>
      <c r="AE179">
        <f t="shared" si="81"/>
        <v>0</v>
      </c>
    </row>
    <row r="180" spans="1:31" x14ac:dyDescent="0.3">
      <c r="A180" s="373">
        <v>10116.5</v>
      </c>
      <c r="B180" s="390">
        <f t="shared" si="75"/>
        <v>10.1165</v>
      </c>
      <c r="C180" s="363">
        <f t="shared" si="54"/>
        <v>75.088739095929014</v>
      </c>
      <c r="D180" s="364">
        <f t="shared" si="55"/>
        <v>1.5574783569629504</v>
      </c>
      <c r="E180" s="364">
        <f t="shared" si="56"/>
        <v>1.0029048417852264</v>
      </c>
      <c r="F180" s="365">
        <f t="shared" si="57"/>
        <v>7.6129198297806275E-2</v>
      </c>
      <c r="G180" s="364">
        <f t="shared" si="58"/>
        <v>1.2499029322898165</v>
      </c>
      <c r="H180" s="365">
        <f t="shared" si="59"/>
        <v>-0.6433975547124211</v>
      </c>
      <c r="I180" s="363">
        <f t="shared" si="60"/>
        <v>15307.266987040492</v>
      </c>
      <c r="J180" s="366">
        <f t="shared" si="61"/>
        <v>1.5707309983465487</v>
      </c>
      <c r="K180" s="374">
        <f t="shared" si="82"/>
        <v>51.953998178190332</v>
      </c>
      <c r="L180" s="375">
        <f t="shared" si="83"/>
        <v>1.5515473413145759</v>
      </c>
      <c r="M180" s="363">
        <f t="shared" si="64"/>
        <v>1.0129273181218916</v>
      </c>
      <c r="N180" s="366">
        <f t="shared" si="65"/>
        <v>0.15993482622936314</v>
      </c>
      <c r="O180" s="367">
        <f t="shared" si="66"/>
        <v>1.0000359092239033</v>
      </c>
      <c r="P180" s="368">
        <f t="shared" si="67"/>
        <v>4.8440629739534516E-2</v>
      </c>
      <c r="Q180" s="369">
        <f t="shared" si="68"/>
        <v>-2.4957522955561813</v>
      </c>
      <c r="R180" s="370">
        <f t="shared" si="69"/>
        <v>-134.77719612952313</v>
      </c>
      <c r="S180" s="372">
        <f t="shared" si="70"/>
        <v>45.222803870476866</v>
      </c>
      <c r="U180" s="345">
        <f t="shared" si="76"/>
        <v>10116.5</v>
      </c>
      <c r="V180" s="345">
        <f t="shared" si="77"/>
        <v>102343572.25</v>
      </c>
      <c r="X180" s="371">
        <f t="shared" si="71"/>
        <v>38.59953500532778</v>
      </c>
      <c r="Y180" s="372">
        <f t="shared" si="72"/>
        <v>-10.262733135386112</v>
      </c>
      <c r="AA180" s="371">
        <f t="shared" si="73"/>
        <v>30.94591252567529</v>
      </c>
      <c r="AB180" s="372">
        <f t="shared" si="74"/>
        <v>-124.51446299413703</v>
      </c>
      <c r="AD180">
        <f t="shared" si="78"/>
        <v>0</v>
      </c>
      <c r="AE180">
        <f t="shared" si="81"/>
        <v>0</v>
      </c>
    </row>
    <row r="181" spans="1:31" x14ac:dyDescent="0.3">
      <c r="A181" s="373">
        <v>10174.75</v>
      </c>
      <c r="B181" s="390">
        <f t="shared" si="75"/>
        <v>10.17475</v>
      </c>
      <c r="C181" s="363">
        <f t="shared" si="54"/>
        <v>75.521017603683717</v>
      </c>
      <c r="D181" s="364">
        <f t="shared" si="55"/>
        <v>1.5575545928213752</v>
      </c>
      <c r="E181" s="364">
        <f t="shared" si="56"/>
        <v>1.0029383406417294</v>
      </c>
      <c r="F181" s="365">
        <f t="shared" si="57"/>
        <v>7.6565837872641554E-2</v>
      </c>
      <c r="G181" s="364">
        <f t="shared" si="58"/>
        <v>1.2524978430532248</v>
      </c>
      <c r="H181" s="365">
        <f t="shared" si="59"/>
        <v>-0.64615546724076889</v>
      </c>
      <c r="I181" s="363">
        <f t="shared" si="60"/>
        <v>15395.405008905822</v>
      </c>
      <c r="J181" s="366">
        <f t="shared" si="61"/>
        <v>1.5707313723490652</v>
      </c>
      <c r="K181" s="374">
        <f t="shared" si="82"/>
        <v>52.253034645140261</v>
      </c>
      <c r="L181" s="375">
        <f t="shared" si="83"/>
        <v>1.5516575139311675</v>
      </c>
      <c r="M181" s="363">
        <f t="shared" si="64"/>
        <v>1.0130756520890702</v>
      </c>
      <c r="N181" s="366">
        <f t="shared" si="65"/>
        <v>0.16083996216261692</v>
      </c>
      <c r="O181" s="367">
        <f t="shared" si="66"/>
        <v>1.0000363314848206</v>
      </c>
      <c r="P181" s="368">
        <f t="shared" si="67"/>
        <v>4.8719746689988325E-2</v>
      </c>
      <c r="Q181" s="369">
        <f t="shared" si="68"/>
        <v>-2.5286025263183394</v>
      </c>
      <c r="R181" s="370">
        <f t="shared" si="69"/>
        <v>-134.97612496094965</v>
      </c>
      <c r="S181" s="372">
        <f t="shared" si="70"/>
        <v>45.023875039050353</v>
      </c>
      <c r="U181" s="345">
        <f t="shared" si="76"/>
        <v>10174.75</v>
      </c>
      <c r="V181" s="345">
        <f t="shared" si="77"/>
        <v>103525537.5625</v>
      </c>
      <c r="X181" s="371">
        <f t="shared" si="71"/>
        <v>38.598244759544187</v>
      </c>
      <c r="Y181" s="372">
        <f t="shared" si="72"/>
        <v>-10.308302607116371</v>
      </c>
      <c r="AA181" s="371">
        <f t="shared" si="73"/>
        <v>30.914352540696722</v>
      </c>
      <c r="AB181" s="372">
        <f t="shared" si="74"/>
        <v>-124.66782235383327</v>
      </c>
      <c r="AD181">
        <f t="shared" si="78"/>
        <v>0</v>
      </c>
      <c r="AE181">
        <f t="shared" si="81"/>
        <v>0</v>
      </c>
    </row>
    <row r="182" spans="1:31" x14ac:dyDescent="0.3">
      <c r="A182" s="373">
        <v>10233</v>
      </c>
      <c r="B182" s="390">
        <f t="shared" si="75"/>
        <v>10.233000000000001</v>
      </c>
      <c r="C182" s="363">
        <f t="shared" si="54"/>
        <v>75.95329654536333</v>
      </c>
      <c r="D182" s="364">
        <f t="shared" si="55"/>
        <v>1.5576299609060174</v>
      </c>
      <c r="E182" s="364">
        <f t="shared" si="56"/>
        <v>1.0029720306997632</v>
      </c>
      <c r="F182" s="365">
        <f t="shared" si="57"/>
        <v>7.7002448197069015E-2</v>
      </c>
      <c r="G182" s="364">
        <f t="shared" si="58"/>
        <v>1.2551022409828607</v>
      </c>
      <c r="H182" s="365">
        <f t="shared" si="59"/>
        <v>-0.648901954982956</v>
      </c>
      <c r="I182" s="363">
        <f t="shared" si="60"/>
        <v>15483.543030773284</v>
      </c>
      <c r="J182" s="366">
        <f t="shared" si="61"/>
        <v>1.570731742093662</v>
      </c>
      <c r="K182" s="374">
        <f t="shared" si="82"/>
        <v>52.552071739119683</v>
      </c>
      <c r="L182" s="375">
        <f t="shared" si="83"/>
        <v>1.5517664327184197</v>
      </c>
      <c r="M182" s="363">
        <f t="shared" si="64"/>
        <v>1.0132248157963974</v>
      </c>
      <c r="N182" s="366">
        <f t="shared" si="65"/>
        <v>0.16174483233460576</v>
      </c>
      <c r="O182" s="367">
        <f t="shared" si="66"/>
        <v>1.0000367563438792</v>
      </c>
      <c r="P182" s="368">
        <f t="shared" si="67"/>
        <v>4.8998867075953918E-2</v>
      </c>
      <c r="Q182" s="369">
        <f t="shared" si="68"/>
        <v>-2.5611448382224995</v>
      </c>
      <c r="R182" s="370">
        <f t="shared" si="69"/>
        <v>-135.17440772150618</v>
      </c>
      <c r="S182" s="372">
        <f t="shared" si="70"/>
        <v>44.825592278493815</v>
      </c>
      <c r="U182" s="345">
        <f t="shared" si="76"/>
        <v>10233</v>
      </c>
      <c r="V182" s="345">
        <f t="shared" si="77"/>
        <v>104714289</v>
      </c>
      <c r="X182" s="371">
        <f t="shared" si="71"/>
        <v>38.596947899737714</v>
      </c>
      <c r="Y182" s="372">
        <f t="shared" si="72"/>
        <v>-10.353928447016401</v>
      </c>
      <c r="AA182" s="371">
        <f t="shared" si="73"/>
        <v>30.883107088599036</v>
      </c>
      <c r="AB182" s="372">
        <f t="shared" si="74"/>
        <v>-124.82047927448978</v>
      </c>
      <c r="AD182">
        <f t="shared" si="78"/>
        <v>0</v>
      </c>
      <c r="AE182">
        <f t="shared" si="81"/>
        <v>0</v>
      </c>
    </row>
    <row r="183" spans="1:31" x14ac:dyDescent="0.3">
      <c r="A183" s="373">
        <v>10292.5</v>
      </c>
      <c r="B183" s="390">
        <f t="shared" si="75"/>
        <v>10.2925</v>
      </c>
      <c r="C183" s="363">
        <f t="shared" si="54"/>
        <v>76.394852299515122</v>
      </c>
      <c r="D183" s="364">
        <f t="shared" si="55"/>
        <v>1.5577060657416262</v>
      </c>
      <c r="E183" s="364">
        <f t="shared" si="56"/>
        <v>1.0030066411004919</v>
      </c>
      <c r="F183" s="365">
        <f t="shared" si="57"/>
        <v>7.7448397473071015E-2</v>
      </c>
      <c r="G183" s="364">
        <f t="shared" si="58"/>
        <v>1.2577722607310036</v>
      </c>
      <c r="H183" s="365">
        <f t="shared" si="59"/>
        <v>-0.65169561591343828</v>
      </c>
      <c r="I183" s="363">
        <f t="shared" si="60"/>
        <v>15573.57242650272</v>
      </c>
      <c r="J183" s="366">
        <f t="shared" si="61"/>
        <v>1.5707321154519047</v>
      </c>
      <c r="K183" s="374">
        <f t="shared" si="82"/>
        <v>52.857526574411665</v>
      </c>
      <c r="L183" s="375">
        <f t="shared" si="83"/>
        <v>1.5518764164660444</v>
      </c>
      <c r="M183" s="363">
        <f t="shared" si="64"/>
        <v>1.0133780367002247</v>
      </c>
      <c r="N183" s="366">
        <f t="shared" si="65"/>
        <v>0.1626688445260451</v>
      </c>
      <c r="O183" s="367">
        <f t="shared" si="66"/>
        <v>1.0000371930055589</v>
      </c>
      <c r="P183" s="368">
        <f t="shared" si="67"/>
        <v>4.9283980737004171E-2</v>
      </c>
      <c r="Q183" s="369">
        <f t="shared" si="68"/>
        <v>-2.5940716268085433</v>
      </c>
      <c r="R183" s="370">
        <f t="shared" si="69"/>
        <v>-135.37627977247863</v>
      </c>
      <c r="S183" s="372">
        <f t="shared" si="70"/>
        <v>44.623720227521375</v>
      </c>
      <c r="U183" s="345">
        <f t="shared" si="76"/>
        <v>10292.5</v>
      </c>
      <c r="V183" s="345">
        <f t="shared" si="77"/>
        <v>105935556.25</v>
      </c>
      <c r="X183" s="371">
        <f t="shared" si="71"/>
        <v>38.595616381015155</v>
      </c>
      <c r="Y183" s="372">
        <f t="shared" si="72"/>
        <v>-10.400590233155462</v>
      </c>
      <c r="AA183" s="371">
        <f t="shared" si="73"/>
        <v>30.851511818735553</v>
      </c>
      <c r="AB183" s="372">
        <f t="shared" si="74"/>
        <v>-124.97568953932317</v>
      </c>
      <c r="AD183">
        <f t="shared" si="78"/>
        <v>0</v>
      </c>
      <c r="AE183">
        <f t="shared" si="81"/>
        <v>0</v>
      </c>
    </row>
    <row r="184" spans="1:31" x14ac:dyDescent="0.3">
      <c r="A184" s="373">
        <v>10352</v>
      </c>
      <c r="B184" s="390">
        <f t="shared" si="75"/>
        <v>10.352</v>
      </c>
      <c r="C184" s="363">
        <f t="shared" si="54"/>
        <v>76.836408491056233</v>
      </c>
      <c r="D184" s="364">
        <f t="shared" si="55"/>
        <v>1.5577812958735509</v>
      </c>
      <c r="E184" s="364">
        <f t="shared" si="56"/>
        <v>1.0030414509561216</v>
      </c>
      <c r="F184" s="365">
        <f t="shared" si="57"/>
        <v>7.7894315885029375E-2</v>
      </c>
      <c r="G184" s="364">
        <f t="shared" si="58"/>
        <v>1.2604520551822864</v>
      </c>
      <c r="H184" s="365">
        <f t="shared" si="59"/>
        <v>-0.65447741950631955</v>
      </c>
      <c r="I184" s="363">
        <f t="shared" si="60"/>
        <v>15663.601822234301</v>
      </c>
      <c r="J184" s="366">
        <f t="shared" si="61"/>
        <v>1.5707324845182589</v>
      </c>
      <c r="K184" s="374">
        <f t="shared" si="82"/>
        <v>53.162982041743369</v>
      </c>
      <c r="L184" s="375">
        <f t="shared" si="83"/>
        <v>1.551985136360472</v>
      </c>
      <c r="M184" s="363">
        <f t="shared" si="64"/>
        <v>1.0135321225626992</v>
      </c>
      <c r="N184" s="366">
        <f t="shared" si="65"/>
        <v>0.16359257655341958</v>
      </c>
      <c r="O184" s="367">
        <f t="shared" si="66"/>
        <v>1.0000376323843974</v>
      </c>
      <c r="P184" s="368">
        <f t="shared" si="67"/>
        <v>4.9569098023857908E-2</v>
      </c>
      <c r="Q184" s="369">
        <f t="shared" si="68"/>
        <v>-2.6266852791579258</v>
      </c>
      <c r="R184" s="370">
        <f t="shared" si="69"/>
        <v>-135.57748042267124</v>
      </c>
      <c r="S184" s="372">
        <f t="shared" si="70"/>
        <v>44.422519577328757</v>
      </c>
      <c r="U184" s="345">
        <f t="shared" si="76"/>
        <v>10352</v>
      </c>
      <c r="V184" s="345">
        <f t="shared" si="77"/>
        <v>107163904</v>
      </c>
      <c r="X184" s="371">
        <f t="shared" si="71"/>
        <v>38.59427795985286</v>
      </c>
      <c r="Y184" s="372">
        <f t="shared" si="72"/>
        <v>-10.447308134623109</v>
      </c>
      <c r="AA184" s="371">
        <f t="shared" si="73"/>
        <v>30.820236587548465</v>
      </c>
      <c r="AB184" s="372">
        <f t="shared" si="74"/>
        <v>-125.13017228804814</v>
      </c>
      <c r="AD184">
        <f t="shared" si="78"/>
        <v>0</v>
      </c>
      <c r="AE184">
        <f t="shared" si="81"/>
        <v>0</v>
      </c>
    </row>
    <row r="185" spans="1:31" x14ac:dyDescent="0.3">
      <c r="A185" s="373">
        <v>10411.5</v>
      </c>
      <c r="B185" s="390">
        <f t="shared" si="75"/>
        <v>10.4115</v>
      </c>
      <c r="C185" s="363">
        <f t="shared" si="54"/>
        <v>77.277965112489113</v>
      </c>
      <c r="D185" s="364">
        <f t="shared" si="55"/>
        <v>1.5578556662947747</v>
      </c>
      <c r="E185" s="364">
        <f t="shared" si="56"/>
        <v>1.0030764602458875</v>
      </c>
      <c r="F185" s="365">
        <f t="shared" si="57"/>
        <v>7.8340203258830898E-2</v>
      </c>
      <c r="G185" s="364">
        <f t="shared" si="58"/>
        <v>1.2631415621246929</v>
      </c>
      <c r="H185" s="365">
        <f t="shared" si="59"/>
        <v>-0.65724739831198864</v>
      </c>
      <c r="I185" s="363">
        <f t="shared" si="60"/>
        <v>15753.631217967995</v>
      </c>
      <c r="J185" s="366">
        <f t="shared" si="61"/>
        <v>1.5707328493663066</v>
      </c>
      <c r="K185" s="374">
        <f t="shared" si="82"/>
        <v>53.468438130282628</v>
      </c>
      <c r="L185" s="375">
        <f t="shared" si="83"/>
        <v>1.5520926140596449</v>
      </c>
      <c r="M185" s="363">
        <f t="shared" si="64"/>
        <v>1.0136870729893861</v>
      </c>
      <c r="N185" s="366">
        <f t="shared" si="65"/>
        <v>0.16451602696844375</v>
      </c>
      <c r="O185" s="367">
        <f t="shared" si="66"/>
        <v>1.0000380744836124</v>
      </c>
      <c r="P185" s="368">
        <f t="shared" si="67"/>
        <v>4.9854218957362605E-2</v>
      </c>
      <c r="Q185" s="369">
        <f t="shared" si="68"/>
        <v>-2.6589898108285266</v>
      </c>
      <c r="R185" s="370">
        <f t="shared" si="69"/>
        <v>-135.77801108761574</v>
      </c>
      <c r="S185" s="372">
        <f t="shared" si="70"/>
        <v>44.221988912384262</v>
      </c>
      <c r="U185" s="345">
        <f t="shared" si="76"/>
        <v>10411.5</v>
      </c>
      <c r="V185" s="345">
        <f t="shared" si="77"/>
        <v>108399332.25</v>
      </c>
      <c r="X185" s="371">
        <f t="shared" si="71"/>
        <v>38.592932635849813</v>
      </c>
      <c r="Y185" s="372">
        <f t="shared" si="72"/>
        <v>-10.494080831745958</v>
      </c>
      <c r="AA185" s="371">
        <f t="shared" si="73"/>
        <v>30.789277379880907</v>
      </c>
      <c r="AB185" s="372">
        <f t="shared" si="74"/>
        <v>-125.28393025586975</v>
      </c>
      <c r="AD185">
        <f t="shared" si="78"/>
        <v>0</v>
      </c>
      <c r="AE185">
        <f t="shared" si="81"/>
        <v>0</v>
      </c>
    </row>
    <row r="186" spans="1:31" x14ac:dyDescent="0.3">
      <c r="A186" s="373">
        <v>10471</v>
      </c>
      <c r="B186" s="390">
        <f t="shared" si="75"/>
        <v>10.471</v>
      </c>
      <c r="C186" s="363">
        <f t="shared" si="54"/>
        <v>77.719522156486562</v>
      </c>
      <c r="D186" s="364">
        <f t="shared" si="55"/>
        <v>1.5579291916575939</v>
      </c>
      <c r="E186" s="364">
        <f t="shared" si="56"/>
        <v>1.0031116689489081</v>
      </c>
      <c r="F186" s="365">
        <f t="shared" si="57"/>
        <v>7.8786059420435969E-2</v>
      </c>
      <c r="G186" s="364">
        <f t="shared" si="58"/>
        <v>1.2658407196504065</v>
      </c>
      <c r="H186" s="365">
        <f t="shared" si="59"/>
        <v>-0.66000558533053277</v>
      </c>
      <c r="I186" s="363">
        <f t="shared" si="60"/>
        <v>15843.66061370376</v>
      </c>
      <c r="J186" s="366">
        <f t="shared" si="61"/>
        <v>1.5707332100679579</v>
      </c>
      <c r="K186" s="374">
        <f t="shared" si="82"/>
        <v>53.773894829443336</v>
      </c>
      <c r="L186" s="375">
        <f t="shared" si="83"/>
        <v>1.5521988707295198</v>
      </c>
      <c r="M186" s="363">
        <f t="shared" si="64"/>
        <v>1.013842887583879</v>
      </c>
      <c r="N186" s="366">
        <f t="shared" si="65"/>
        <v>0.16543919432563636</v>
      </c>
      <c r="O186" s="367">
        <f t="shared" si="66"/>
        <v>1.0000385193064396</v>
      </c>
      <c r="P186" s="368">
        <f t="shared" si="67"/>
        <v>5.0139343558363837E-2</v>
      </c>
      <c r="Q186" s="369">
        <f t="shared" si="68"/>
        <v>-2.6909891735970675</v>
      </c>
      <c r="R186" s="370">
        <f t="shared" si="69"/>
        <v>-135.97787321733873</v>
      </c>
      <c r="S186" s="372">
        <f t="shared" si="70"/>
        <v>44.022126782661275</v>
      </c>
      <c r="U186" s="345">
        <f t="shared" si="76"/>
        <v>10471</v>
      </c>
      <c r="V186" s="345">
        <f t="shared" si="77"/>
        <v>109641841</v>
      </c>
      <c r="X186" s="371">
        <f t="shared" si="71"/>
        <v>38.591580408837871</v>
      </c>
      <c r="Y186" s="372">
        <f t="shared" si="72"/>
        <v>-10.540907033104178</v>
      </c>
      <c r="AA186" s="371">
        <f t="shared" si="73"/>
        <v>30.758630244124312</v>
      </c>
      <c r="AB186" s="372">
        <f t="shared" si="74"/>
        <v>-125.43696618423455</v>
      </c>
      <c r="AD186">
        <f t="shared" si="78"/>
        <v>0</v>
      </c>
      <c r="AE186">
        <f t="shared" si="81"/>
        <v>0</v>
      </c>
    </row>
    <row r="187" spans="1:31" x14ac:dyDescent="0.3">
      <c r="A187" s="373">
        <v>10532</v>
      </c>
      <c r="B187" s="390">
        <f t="shared" si="75"/>
        <v>10.532</v>
      </c>
      <c r="C187" s="363">
        <f t="shared" si="54"/>
        <v>78.172211321850909</v>
      </c>
      <c r="D187" s="364">
        <f t="shared" si="55"/>
        <v>1.5580037083081977</v>
      </c>
      <c r="E187" s="364">
        <f t="shared" si="56"/>
        <v>1.0031479722617695</v>
      </c>
      <c r="F187" s="365">
        <f t="shared" si="57"/>
        <v>7.9243123068817409E-2</v>
      </c>
      <c r="G187" s="364">
        <f t="shared" si="58"/>
        <v>1.2686178772656365</v>
      </c>
      <c r="H187" s="365">
        <f t="shared" si="59"/>
        <v>-0.66282110004040029</v>
      </c>
      <c r="I187" s="363">
        <f t="shared" si="60"/>
        <v>15935.959658073634</v>
      </c>
      <c r="J187" s="366">
        <f t="shared" si="61"/>
        <v>1.5707335756319851</v>
      </c>
      <c r="K187" s="374">
        <f t="shared" si="82"/>
        <v>54.087052740734521</v>
      </c>
      <c r="L187" s="375">
        <f t="shared" si="83"/>
        <v>1.5523065602024269</v>
      </c>
      <c r="M187" s="363">
        <f t="shared" si="64"/>
        <v>1.014003526981371</v>
      </c>
      <c r="N187" s="366">
        <f t="shared" si="65"/>
        <v>0.16638533944758793</v>
      </c>
      <c r="O187" s="367">
        <f t="shared" si="66"/>
        <v>1.0000389781741668</v>
      </c>
      <c r="P187" s="368">
        <f t="shared" si="67"/>
        <v>5.0431660003685388E-2</v>
      </c>
      <c r="Q187" s="369">
        <f t="shared" si="68"/>
        <v>-2.7234825082506866</v>
      </c>
      <c r="R187" s="370">
        <f t="shared" si="69"/>
        <v>-136.18208141304066</v>
      </c>
      <c r="S187" s="372">
        <f t="shared" si="70"/>
        <v>43.817918586959337</v>
      </c>
      <c r="U187" s="345">
        <f t="shared" si="76"/>
        <v>10532</v>
      </c>
      <c r="V187" s="345">
        <f t="shared" si="77"/>
        <v>110923024</v>
      </c>
      <c r="X187" s="371">
        <f t="shared" si="71"/>
        <v>38.590186925890642</v>
      </c>
      <c r="Y187" s="372">
        <f t="shared" si="72"/>
        <v>-10.588967948434158</v>
      </c>
      <c r="AA187" s="371">
        <f t="shared" si="73"/>
        <v>30.727530392417922</v>
      </c>
      <c r="AB187" s="372">
        <f t="shared" si="74"/>
        <v>-125.5931134646065</v>
      </c>
      <c r="AD187">
        <f t="shared" si="78"/>
        <v>0</v>
      </c>
      <c r="AE187">
        <f t="shared" si="81"/>
        <v>0</v>
      </c>
    </row>
    <row r="188" spans="1:31" x14ac:dyDescent="0.3">
      <c r="A188" s="373">
        <v>10593</v>
      </c>
      <c r="B188" s="390">
        <f t="shared" si="75"/>
        <v>10.593</v>
      </c>
      <c r="C188" s="363">
        <f t="shared" si="54"/>
        <v>78.624900916286165</v>
      </c>
      <c r="D188" s="364">
        <f t="shared" si="55"/>
        <v>1.558077366887223</v>
      </c>
      <c r="E188" s="364">
        <f t="shared" si="56"/>
        <v>1.0031844851242504</v>
      </c>
      <c r="F188" s="365">
        <f t="shared" si="57"/>
        <v>7.9700153541218205E-2</v>
      </c>
      <c r="G188" s="364">
        <f t="shared" si="58"/>
        <v>1.2714050473913188</v>
      </c>
      <c r="H188" s="365">
        <f t="shared" si="59"/>
        <v>-0.66562429256564015</v>
      </c>
      <c r="I188" s="363">
        <f t="shared" si="60"/>
        <v>16028.258702445613</v>
      </c>
      <c r="J188" s="366">
        <f t="shared" si="61"/>
        <v>1.5707339369857967</v>
      </c>
      <c r="K188" s="374">
        <f t="shared" si="82"/>
        <v>54.400211272052893</v>
      </c>
      <c r="L188" s="375">
        <f t="shared" si="83"/>
        <v>1.5524130098329465</v>
      </c>
      <c r="M188" s="363">
        <f t="shared" si="64"/>
        <v>1.0141650738172467</v>
      </c>
      <c r="N188" s="366">
        <f t="shared" si="65"/>
        <v>0.1673311839922155</v>
      </c>
      <c r="O188" s="367">
        <f t="shared" si="66"/>
        <v>1.0000394399115105</v>
      </c>
      <c r="P188" s="368">
        <f t="shared" si="67"/>
        <v>5.0723980348115802E-2</v>
      </c>
      <c r="Q188" s="369">
        <f t="shared" si="68"/>
        <v>-2.7556633051555766</v>
      </c>
      <c r="R188" s="370">
        <f t="shared" si="69"/>
        <v>-136.3855901346308</v>
      </c>
      <c r="S188" s="372">
        <f t="shared" si="70"/>
        <v>43.614409865369197</v>
      </c>
      <c r="U188" s="345">
        <f t="shared" si="76"/>
        <v>10593</v>
      </c>
      <c r="V188" s="345">
        <f t="shared" si="77"/>
        <v>112211649</v>
      </c>
      <c r="X188" s="371">
        <f t="shared" si="71"/>
        <v>38.588786187859668</v>
      </c>
      <c r="Y188" s="372">
        <f t="shared" si="72"/>
        <v>-10.637082438460578</v>
      </c>
      <c r="AA188" s="371">
        <f t="shared" si="73"/>
        <v>30.696750333543999</v>
      </c>
      <c r="AB188" s="372">
        <f t="shared" si="74"/>
        <v>-125.74850769617026</v>
      </c>
      <c r="AD188">
        <f t="shared" si="78"/>
        <v>0</v>
      </c>
      <c r="AE188">
        <f t="shared" si="81"/>
        <v>0</v>
      </c>
    </row>
    <row r="189" spans="1:31" x14ac:dyDescent="0.3">
      <c r="A189" s="373">
        <v>10654</v>
      </c>
      <c r="B189" s="390">
        <f t="shared" si="75"/>
        <v>10.654</v>
      </c>
      <c r="C189" s="363">
        <f t="shared" si="54"/>
        <v>79.077590932423504</v>
      </c>
      <c r="D189" s="364">
        <f t="shared" si="55"/>
        <v>1.5581501821302928</v>
      </c>
      <c r="E189" s="364">
        <f t="shared" si="56"/>
        <v>1.0032212075134708</v>
      </c>
      <c r="F189" s="365">
        <f t="shared" si="57"/>
        <v>8.015715065034501E-2</v>
      </c>
      <c r="G189" s="364">
        <f t="shared" si="58"/>
        <v>1.274202164323823</v>
      </c>
      <c r="H189" s="365">
        <f t="shared" si="59"/>
        <v>-0.66841519985631392</v>
      </c>
      <c r="I189" s="363">
        <f t="shared" si="60"/>
        <v>16120.557746819662</v>
      </c>
      <c r="J189" s="366">
        <f t="shared" si="61"/>
        <v>1.5707342942017106</v>
      </c>
      <c r="K189" s="374">
        <f t="shared" si="82"/>
        <v>54.713370412752042</v>
      </c>
      <c r="L189" s="375">
        <f t="shared" si="83"/>
        <v>1.5525182409078455</v>
      </c>
      <c r="M189" s="363">
        <f t="shared" si="64"/>
        <v>1.0143275276579364</v>
      </c>
      <c r="N189" s="366">
        <f t="shared" si="65"/>
        <v>0.1682767264111929</v>
      </c>
      <c r="O189" s="367">
        <f t="shared" si="66"/>
        <v>1.0000399045220183</v>
      </c>
      <c r="P189" s="368">
        <f t="shared" si="67"/>
        <v>5.1016304614110781E-2</v>
      </c>
      <c r="Q189" s="369">
        <f t="shared" si="68"/>
        <v>-2.7875356222738006</v>
      </c>
      <c r="R189" s="370">
        <f t="shared" si="69"/>
        <v>-136.58840105128763</v>
      </c>
      <c r="S189" s="372">
        <f t="shared" si="70"/>
        <v>43.411598948712367</v>
      </c>
      <c r="U189" s="345">
        <f t="shared" si="76"/>
        <v>10654</v>
      </c>
      <c r="V189" s="345">
        <f t="shared" si="77"/>
        <v>113507716</v>
      </c>
      <c r="X189" s="371">
        <f t="shared" si="71"/>
        <v>38.587378195281509</v>
      </c>
      <c r="Y189" s="372">
        <f t="shared" si="72"/>
        <v>-10.68524919897251</v>
      </c>
      <c r="AA189" s="371">
        <f t="shared" si="73"/>
        <v>30.66628600900394</v>
      </c>
      <c r="AB189" s="372">
        <f t="shared" si="74"/>
        <v>-125.90315185231509</v>
      </c>
      <c r="AD189">
        <f t="shared" si="78"/>
        <v>0</v>
      </c>
      <c r="AE189">
        <f t="shared" si="81"/>
        <v>0</v>
      </c>
    </row>
    <row r="190" spans="1:31" x14ac:dyDescent="0.3">
      <c r="A190" s="373">
        <v>10715</v>
      </c>
      <c r="B190" s="390">
        <f t="shared" si="75"/>
        <v>10.715</v>
      </c>
      <c r="C190" s="363">
        <f t="shared" si="54"/>
        <v>79.530281363061889</v>
      </c>
      <c r="D190" s="364">
        <f t="shared" si="55"/>
        <v>1.5582221684375623</v>
      </c>
      <c r="E190" s="364">
        <f t="shared" si="56"/>
        <v>1.0032581394064231</v>
      </c>
      <c r="F190" s="365">
        <f t="shared" si="57"/>
        <v>8.0614114208987592E-2</v>
      </c>
      <c r="G190" s="364">
        <f t="shared" si="58"/>
        <v>1.2770091627017208</v>
      </c>
      <c r="H190" s="365">
        <f t="shared" si="59"/>
        <v>-0.67119385930486042</v>
      </c>
      <c r="I190" s="363">
        <f t="shared" si="60"/>
        <v>16212.856791195745</v>
      </c>
      <c r="J190" s="366">
        <f t="shared" si="61"/>
        <v>1.5707346473503969</v>
      </c>
      <c r="K190" s="374">
        <f t="shared" si="82"/>
        <v>55.026530152427917</v>
      </c>
      <c r="L190" s="375">
        <f t="shared" si="83"/>
        <v>1.5526222742294236</v>
      </c>
      <c r="M190" s="363">
        <f t="shared" si="64"/>
        <v>1.0144908880677153</v>
      </c>
      <c r="N190" s="366">
        <f t="shared" si="65"/>
        <v>0.16922196515934401</v>
      </c>
      <c r="O190" s="367">
        <f t="shared" si="66"/>
        <v>1.0000403720092585</v>
      </c>
      <c r="P190" s="368">
        <f t="shared" si="67"/>
        <v>5.1308632824123811E-2</v>
      </c>
      <c r="Q190" s="369">
        <f t="shared" si="68"/>
        <v>-2.8191034527246202</v>
      </c>
      <c r="R190" s="370">
        <f t="shared" si="69"/>
        <v>-136.79051586615398</v>
      </c>
      <c r="S190" s="372">
        <f t="shared" si="70"/>
        <v>43.209484133846018</v>
      </c>
      <c r="U190" s="345">
        <f t="shared" si="76"/>
        <v>10715</v>
      </c>
      <c r="V190" s="345">
        <f t="shared" si="77"/>
        <v>114811225</v>
      </c>
      <c r="X190" s="371">
        <f t="shared" si="71"/>
        <v>38.585962948920816</v>
      </c>
      <c r="Y190" s="372">
        <f t="shared" si="72"/>
        <v>-10.733466953603019</v>
      </c>
      <c r="AA190" s="371">
        <f t="shared" si="73"/>
        <v>30.636133424913815</v>
      </c>
      <c r="AB190" s="372">
        <f t="shared" si="74"/>
        <v>-126.05704891255097</v>
      </c>
      <c r="AD190">
        <f t="shared" si="78"/>
        <v>0</v>
      </c>
      <c r="AE190">
        <f t="shared" si="81"/>
        <v>0</v>
      </c>
    </row>
    <row r="191" spans="1:31" x14ac:dyDescent="0.3">
      <c r="A191" s="373">
        <v>10777.5</v>
      </c>
      <c r="B191" s="390">
        <f t="shared" si="75"/>
        <v>10.7775</v>
      </c>
      <c r="C191" s="363">
        <f t="shared" si="54"/>
        <v>79.994103948157985</v>
      </c>
      <c r="D191" s="364">
        <f t="shared" si="55"/>
        <v>1.5582950798531781</v>
      </c>
      <c r="E191" s="364">
        <f t="shared" si="56"/>
        <v>1.0032961967311527</v>
      </c>
      <c r="F191" s="365">
        <f t="shared" si="57"/>
        <v>8.1082279582627786E-2</v>
      </c>
      <c r="G191" s="364">
        <f t="shared" si="58"/>
        <v>1.2798953665560693</v>
      </c>
      <c r="H191" s="365">
        <f t="shared" si="59"/>
        <v>-0.67402818268719522</v>
      </c>
      <c r="I191" s="363">
        <f t="shared" si="60"/>
        <v>16307.4254842061</v>
      </c>
      <c r="J191" s="366">
        <f t="shared" si="61"/>
        <v>1.5707350050368059</v>
      </c>
      <c r="K191" s="374">
        <f t="shared" si="82"/>
        <v>55.347391152059593</v>
      </c>
      <c r="L191" s="375">
        <f t="shared" si="83"/>
        <v>1.5527276447100662</v>
      </c>
      <c r="M191" s="363">
        <f t="shared" si="64"/>
        <v>1.0146592053610584</v>
      </c>
      <c r="N191" s="366">
        <f t="shared" si="65"/>
        <v>0.17019013090721249</v>
      </c>
      <c r="O191" s="367">
        <f t="shared" si="66"/>
        <v>1.0000408539795507</v>
      </c>
      <c r="P191" s="368">
        <f t="shared" si="67"/>
        <v>5.1608153546907308E-2</v>
      </c>
      <c r="Q191" s="369">
        <f t="shared" si="68"/>
        <v>-2.8511358402530584</v>
      </c>
      <c r="R191" s="370">
        <f t="shared" si="69"/>
        <v>-136.99688054495192</v>
      </c>
      <c r="S191" s="372">
        <f t="shared" si="70"/>
        <v>43.003119455048079</v>
      </c>
      <c r="U191" s="345">
        <f t="shared" si="76"/>
        <v>10777.5</v>
      </c>
      <c r="V191" s="345">
        <f t="shared" si="77"/>
        <v>116154506.25</v>
      </c>
      <c r="X191" s="371">
        <f t="shared" si="71"/>
        <v>38.584505378919445</v>
      </c>
      <c r="Y191" s="372">
        <f t="shared" si="72"/>
        <v>-10.782921974977048</v>
      </c>
      <c r="AA191" s="371">
        <f t="shared" si="73"/>
        <v>30.605558607386744</v>
      </c>
      <c r="AB191" s="372">
        <f t="shared" si="74"/>
        <v>-126.21395856997482</v>
      </c>
      <c r="AD191">
        <f t="shared" si="78"/>
        <v>0</v>
      </c>
      <c r="AE191">
        <f t="shared" si="81"/>
        <v>0</v>
      </c>
    </row>
    <row r="192" spans="1:31" x14ac:dyDescent="0.3">
      <c r="A192" s="373">
        <v>10840</v>
      </c>
      <c r="B192" s="390">
        <f t="shared" si="75"/>
        <v>10.84</v>
      </c>
      <c r="C192" s="363">
        <f t="shared" si="54"/>
        <v>80.457926953605707</v>
      </c>
      <c r="D192" s="364">
        <f t="shared" si="55"/>
        <v>1.5583671506312595</v>
      </c>
      <c r="E192" s="364">
        <f t="shared" si="56"/>
        <v>1.0033344739404457</v>
      </c>
      <c r="F192" s="365">
        <f t="shared" si="57"/>
        <v>8.155040933784842E-2</v>
      </c>
      <c r="G192" s="364">
        <f t="shared" si="58"/>
        <v>1.2827918059924726</v>
      </c>
      <c r="H192" s="365">
        <f t="shared" si="59"/>
        <v>-0.67684972930824527</v>
      </c>
      <c r="I192" s="363">
        <f t="shared" si="60"/>
        <v>16401.994177218516</v>
      </c>
      <c r="J192" s="366">
        <f t="shared" si="61"/>
        <v>1.5707353585986019</v>
      </c>
      <c r="K192" s="374">
        <f t="shared" si="82"/>
        <v>55.668252759126013</v>
      </c>
      <c r="L192" s="375">
        <f t="shared" si="83"/>
        <v>1.5528318005195743</v>
      </c>
      <c r="M192" s="363">
        <f t="shared" si="64"/>
        <v>1.0148284734240387</v>
      </c>
      <c r="N192" s="366">
        <f t="shared" si="65"/>
        <v>0.17115797459210222</v>
      </c>
      <c r="O192" s="367">
        <f t="shared" si="66"/>
        <v>1.000041338977443</v>
      </c>
      <c r="P192" s="368">
        <f t="shared" si="67"/>
        <v>5.190767845777694E-2</v>
      </c>
      <c r="Q192" s="369">
        <f t="shared" si="68"/>
        <v>-2.8828568661594209</v>
      </c>
      <c r="R192" s="370">
        <f t="shared" si="69"/>
        <v>-137.20251819137064</v>
      </c>
      <c r="S192" s="372">
        <f t="shared" si="70"/>
        <v>42.797481808629357</v>
      </c>
      <c r="U192" s="345">
        <f t="shared" si="76"/>
        <v>10840</v>
      </c>
      <c r="V192" s="345">
        <f t="shared" si="77"/>
        <v>117505600</v>
      </c>
      <c r="X192" s="371">
        <f t="shared" si="71"/>
        <v>38.583040196336725</v>
      </c>
      <c r="Y192" s="372">
        <f t="shared" si="72"/>
        <v>-10.832427902708316</v>
      </c>
      <c r="AA192" s="371">
        <f t="shared" si="73"/>
        <v>30.575302764063103</v>
      </c>
      <c r="AB192" s="372">
        <f t="shared" si="74"/>
        <v>-126.37009028866234</v>
      </c>
      <c r="AD192">
        <f t="shared" si="78"/>
        <v>0</v>
      </c>
      <c r="AE192">
        <f t="shared" si="81"/>
        <v>0</v>
      </c>
    </row>
    <row r="193" spans="1:31" x14ac:dyDescent="0.3">
      <c r="A193" s="373">
        <v>10902.5</v>
      </c>
      <c r="B193" s="390">
        <f t="shared" si="75"/>
        <v>10.9025</v>
      </c>
      <c r="C193" s="363">
        <f t="shared" si="54"/>
        <v>80.921750372177002</v>
      </c>
      <c r="D193" s="364">
        <f t="shared" si="55"/>
        <v>1.5584383952260299</v>
      </c>
      <c r="E193" s="364">
        <f t="shared" si="56"/>
        <v>1.003372971009137</v>
      </c>
      <c r="F193" s="365">
        <f t="shared" si="57"/>
        <v>8.2018503273560611E-2</v>
      </c>
      <c r="G193" s="364">
        <f t="shared" si="58"/>
        <v>1.2856984118343429</v>
      </c>
      <c r="H193" s="365">
        <f t="shared" si="59"/>
        <v>-0.67965854074520915</v>
      </c>
      <c r="I193" s="363">
        <f t="shared" si="60"/>
        <v>16496.56287023296</v>
      </c>
      <c r="J193" s="366">
        <f t="shared" si="61"/>
        <v>1.5707357081067204</v>
      </c>
      <c r="K193" s="374">
        <f t="shared" si="82"/>
        <v>55.989114963183908</v>
      </c>
      <c r="L193" s="375">
        <f t="shared" si="83"/>
        <v>1.5529347625387657</v>
      </c>
      <c r="M193" s="363">
        <f t="shared" si="64"/>
        <v>1.0149986917809855</v>
      </c>
      <c r="N193" s="366">
        <f t="shared" si="65"/>
        <v>0.17212549456239723</v>
      </c>
      <c r="O193" s="367">
        <f t="shared" si="66"/>
        <v>1.0000418270068405</v>
      </c>
      <c r="P193" s="368">
        <f t="shared" si="67"/>
        <v>5.220720758087638E-2</v>
      </c>
      <c r="Q193" s="369">
        <f t="shared" si="68"/>
        <v>-2.9142706222372046</v>
      </c>
      <c r="R193" s="370">
        <f t="shared" si="69"/>
        <v>-137.40743074173002</v>
      </c>
      <c r="S193" s="372">
        <f t="shared" si="70"/>
        <v>42.592569258269975</v>
      </c>
      <c r="U193" s="345">
        <f t="shared" si="76"/>
        <v>10902.5</v>
      </c>
      <c r="V193" s="345">
        <f t="shared" si="77"/>
        <v>118864506.25</v>
      </c>
      <c r="X193" s="371">
        <f t="shared" si="71"/>
        <v>38.581567402697274</v>
      </c>
      <c r="Y193" s="372">
        <f t="shared" si="72"/>
        <v>-10.881983449847743</v>
      </c>
      <c r="AA193" s="371">
        <f t="shared" si="73"/>
        <v>30.545361801624765</v>
      </c>
      <c r="AB193" s="372">
        <f t="shared" si="74"/>
        <v>-126.52544729188229</v>
      </c>
      <c r="AD193">
        <f t="shared" si="78"/>
        <v>0</v>
      </c>
      <c r="AE193">
        <f t="shared" si="81"/>
        <v>0</v>
      </c>
    </row>
    <row r="194" spans="1:31" x14ac:dyDescent="0.3">
      <c r="A194" s="373">
        <v>10965</v>
      </c>
      <c r="B194" s="390">
        <f t="shared" si="75"/>
        <v>10.965</v>
      </c>
      <c r="C194" s="363">
        <f t="shared" si="54"/>
        <v>81.385574196808577</v>
      </c>
      <c r="D194" s="364">
        <f t="shared" si="55"/>
        <v>1.5585088277622419</v>
      </c>
      <c r="E194" s="364">
        <f t="shared" si="56"/>
        <v>1.0034116879119217</v>
      </c>
      <c r="F194" s="365">
        <f t="shared" si="57"/>
        <v>8.2486561188769097E-2</v>
      </c>
      <c r="G194" s="364">
        <f t="shared" si="58"/>
        <v>1.288615115287518</v>
      </c>
      <c r="H194" s="365">
        <f t="shared" si="59"/>
        <v>-0.68245465900460722</v>
      </c>
      <c r="I194" s="363">
        <f t="shared" si="60"/>
        <v>16591.131563249397</v>
      </c>
      <c r="J194" s="366">
        <f t="shared" si="61"/>
        <v>1.5707360536304777</v>
      </c>
      <c r="K194" s="374">
        <f t="shared" si="82"/>
        <v>56.309977754028083</v>
      </c>
      <c r="L194" s="375">
        <f t="shared" si="83"/>
        <v>1.5530365511726338</v>
      </c>
      <c r="M194" s="363">
        <f t="shared" si="64"/>
        <v>1.0151698599538779</v>
      </c>
      <c r="N194" s="366">
        <f t="shared" si="65"/>
        <v>0.17309268917001036</v>
      </c>
      <c r="O194" s="367">
        <f t="shared" si="66"/>
        <v>1.0000423180716704</v>
      </c>
      <c r="P194" s="368">
        <f t="shared" si="67"/>
        <v>5.2506740940346748E-2</v>
      </c>
      <c r="Q194" s="369">
        <f t="shared" si="68"/>
        <v>-2.9453811345080174</v>
      </c>
      <c r="R194" s="370">
        <f t="shared" si="69"/>
        <v>-137.61162016543759</v>
      </c>
      <c r="S194" s="372">
        <f t="shared" si="70"/>
        <v>42.388379834562414</v>
      </c>
      <c r="U194" s="345">
        <f t="shared" si="76"/>
        <v>10965</v>
      </c>
      <c r="V194" s="345">
        <f t="shared" si="77"/>
        <v>120231225</v>
      </c>
      <c r="X194" s="371">
        <f t="shared" si="71"/>
        <v>38.580086999749021</v>
      </c>
      <c r="Y194" s="372">
        <f t="shared" si="72"/>
        <v>-10.931587356818451</v>
      </c>
      <c r="AA194" s="371">
        <f t="shared" si="73"/>
        <v>30.515731692302204</v>
      </c>
      <c r="AB194" s="372">
        <f t="shared" si="74"/>
        <v>-126.68003280861915</v>
      </c>
      <c r="AD194">
        <f t="shared" si="78"/>
        <v>0</v>
      </c>
      <c r="AE194">
        <f t="shared" si="81"/>
        <v>0</v>
      </c>
    </row>
    <row r="195" spans="1:31" x14ac:dyDescent="0.3">
      <c r="A195" s="373">
        <v>11028.75</v>
      </c>
      <c r="B195" s="390">
        <f t="shared" si="75"/>
        <v>11.02875</v>
      </c>
      <c r="C195" s="363">
        <f t="shared" si="54"/>
        <v>81.858674909097829</v>
      </c>
      <c r="D195" s="364">
        <f t="shared" si="55"/>
        <v>1.5585798466811558</v>
      </c>
      <c r="E195" s="364">
        <f t="shared" si="56"/>
        <v>1.0034514055994548</v>
      </c>
      <c r="F195" s="365">
        <f t="shared" si="57"/>
        <v>8.2963942945611074E-2</v>
      </c>
      <c r="G195" s="364">
        <f t="shared" si="58"/>
        <v>1.2916004844244244</v>
      </c>
      <c r="H195" s="365">
        <f t="shared" si="59"/>
        <v>-0.68529366711388229</v>
      </c>
      <c r="I195" s="363">
        <f t="shared" si="60"/>
        <v>16687.591630128176</v>
      </c>
      <c r="J195" s="366">
        <f t="shared" si="61"/>
        <v>1.5707364020302714</v>
      </c>
      <c r="K195" s="374">
        <f t="shared" si="82"/>
        <v>56.637258394853838</v>
      </c>
      <c r="L195" s="375">
        <f t="shared" si="83"/>
        <v>1.5531391874371523</v>
      </c>
      <c r="M195" s="363">
        <f t="shared" si="64"/>
        <v>1.0153454294924318</v>
      </c>
      <c r="N195" s="366">
        <f t="shared" si="65"/>
        <v>0.17407889077565533</v>
      </c>
      <c r="O195" s="367">
        <f t="shared" si="66"/>
        <v>1.0000428220889961</v>
      </c>
      <c r="P195" s="368">
        <f t="shared" si="67"/>
        <v>5.2812269356349278E-2</v>
      </c>
      <c r="Q195" s="369">
        <f t="shared" si="68"/>
        <v>-2.9768055633682513</v>
      </c>
      <c r="R195" s="370">
        <f t="shared" si="69"/>
        <v>-137.81915048834196</v>
      </c>
      <c r="S195" s="372">
        <f t="shared" si="70"/>
        <v>42.180849511658039</v>
      </c>
      <c r="U195" s="345">
        <f t="shared" si="76"/>
        <v>11028.75</v>
      </c>
      <c r="V195" s="345">
        <f t="shared" si="77"/>
        <v>121633326.5625</v>
      </c>
      <c r="X195" s="371">
        <f t="shared" si="71"/>
        <v>38.578569151670578</v>
      </c>
      <c r="Y195" s="372">
        <f t="shared" si="72"/>
        <v>-10.982231883684671</v>
      </c>
      <c r="AA195" s="371">
        <f t="shared" si="73"/>
        <v>30.485825111520416</v>
      </c>
      <c r="AB195" s="372">
        <f t="shared" si="74"/>
        <v>-126.83691860465733</v>
      </c>
      <c r="AD195">
        <f t="shared" si="78"/>
        <v>0</v>
      </c>
      <c r="AE195">
        <f t="shared" si="81"/>
        <v>0</v>
      </c>
    </row>
    <row r="196" spans="1:31" x14ac:dyDescent="0.3">
      <c r="A196" s="373">
        <v>11092.5</v>
      </c>
      <c r="B196" s="390">
        <f t="shared" si="75"/>
        <v>11.092499999999999</v>
      </c>
      <c r="C196" s="363">
        <f t="shared" si="54"/>
        <v>82.331776029511701</v>
      </c>
      <c r="D196" s="364">
        <f t="shared" si="55"/>
        <v>1.5586500494117816</v>
      </c>
      <c r="E196" s="364">
        <f t="shared" si="56"/>
        <v>1.0034913519487494</v>
      </c>
      <c r="F196" s="365">
        <f t="shared" si="57"/>
        <v>8.3441286804606996E-2</v>
      </c>
      <c r="G196" s="364">
        <f t="shared" si="58"/>
        <v>1.2945962157572615</v>
      </c>
      <c r="H196" s="365">
        <f t="shared" si="59"/>
        <v>-0.68811955882606435</v>
      </c>
      <c r="I196" s="363">
        <f t="shared" si="60"/>
        <v>16784.051697008959</v>
      </c>
      <c r="J196" s="366">
        <f t="shared" si="61"/>
        <v>1.5707367464254696</v>
      </c>
      <c r="K196" s="374">
        <f t="shared" si="82"/>
        <v>56.964539625452304</v>
      </c>
      <c r="L196" s="375">
        <f t="shared" si="83"/>
        <v>1.5532406443401583</v>
      </c>
      <c r="M196" s="363">
        <f t="shared" si="64"/>
        <v>1.0155219862074432</v>
      </c>
      <c r="N196" s="366">
        <f t="shared" si="65"/>
        <v>0.1750647504216048</v>
      </c>
      <c r="O196" s="367">
        <f t="shared" si="66"/>
        <v>1.0000433292727111</v>
      </c>
      <c r="P196" s="368">
        <f t="shared" si="67"/>
        <v>5.311780223059942E-2</v>
      </c>
      <c r="Q196" s="369">
        <f t="shared" si="68"/>
        <v>-3.0079227552303367</v>
      </c>
      <c r="R196" s="370">
        <f t="shared" si="69"/>
        <v>-138.02593270987433</v>
      </c>
      <c r="S196" s="372">
        <f t="shared" si="70"/>
        <v>41.974067290125674</v>
      </c>
      <c r="U196" s="345">
        <f t="shared" si="76"/>
        <v>11092.5</v>
      </c>
      <c r="V196" s="345">
        <f t="shared" si="77"/>
        <v>123043556.25</v>
      </c>
      <c r="X196" s="371">
        <f t="shared" si="71"/>
        <v>38.577043391222873</v>
      </c>
      <c r="Y196" s="372">
        <f t="shared" si="72"/>
        <v>-11.032924160694378</v>
      </c>
      <c r="AA196" s="371">
        <f t="shared" si="73"/>
        <v>30.456233680106038</v>
      </c>
      <c r="AB196" s="372">
        <f t="shared" si="74"/>
        <v>-126.99300854917995</v>
      </c>
      <c r="AD196">
        <f t="shared" si="78"/>
        <v>0</v>
      </c>
      <c r="AE196">
        <f t="shared" si="81"/>
        <v>0</v>
      </c>
    </row>
    <row r="197" spans="1:31" x14ac:dyDescent="0.3">
      <c r="A197" s="373">
        <v>11156.25</v>
      </c>
      <c r="B197" s="390">
        <f t="shared" si="75"/>
        <v>11.15625</v>
      </c>
      <c r="C197" s="363">
        <f t="shared" si="54"/>
        <v>82.804877551054759</v>
      </c>
      <c r="D197" s="364">
        <f t="shared" si="55"/>
        <v>1.558719449943174</v>
      </c>
      <c r="E197" s="364">
        <f t="shared" si="56"/>
        <v>1.0035315269324994</v>
      </c>
      <c r="F197" s="365">
        <f t="shared" si="57"/>
        <v>8.3918592552763169E-2</v>
      </c>
      <c r="G197" s="364">
        <f t="shared" si="58"/>
        <v>1.2976022375174547</v>
      </c>
      <c r="H197" s="365">
        <f t="shared" si="59"/>
        <v>-0.6909323800081042</v>
      </c>
      <c r="I197" s="363">
        <f t="shared" si="60"/>
        <v>16880.511763891711</v>
      </c>
      <c r="J197" s="366">
        <f t="shared" si="61"/>
        <v>1.5707370868847226</v>
      </c>
      <c r="K197" s="374">
        <f t="shared" si="82"/>
        <v>57.291821435716173</v>
      </c>
      <c r="L197" s="375">
        <f t="shared" si="83"/>
        <v>1.5533409420909938</v>
      </c>
      <c r="M197" s="363">
        <f t="shared" si="64"/>
        <v>1.0156995295841158</v>
      </c>
      <c r="N197" s="366">
        <f t="shared" si="65"/>
        <v>0.17605026637033488</v>
      </c>
      <c r="O197" s="367">
        <f t="shared" si="66"/>
        <v>1.0000438396270563</v>
      </c>
      <c r="P197" s="368">
        <f t="shared" si="67"/>
        <v>5.3423339588707819E-2</v>
      </c>
      <c r="Q197" s="369">
        <f t="shared" si="68"/>
        <v>-3.0387367796155731</v>
      </c>
      <c r="R197" s="370">
        <f t="shared" si="69"/>
        <v>-138.2319690196727</v>
      </c>
      <c r="S197" s="372">
        <f t="shared" si="70"/>
        <v>41.768030980327296</v>
      </c>
      <c r="U197" s="345">
        <f t="shared" si="76"/>
        <v>11156.25</v>
      </c>
      <c r="V197" s="345">
        <f t="shared" si="77"/>
        <v>124461914.0625</v>
      </c>
      <c r="X197" s="371">
        <f t="shared" si="71"/>
        <v>38.575509720938101</v>
      </c>
      <c r="Y197" s="372">
        <f t="shared" si="72"/>
        <v>-11.083662934318191</v>
      </c>
      <c r="AA197" s="371">
        <f t="shared" si="73"/>
        <v>30.426953326005574</v>
      </c>
      <c r="AB197" s="372">
        <f t="shared" si="74"/>
        <v>-127.14830608535452</v>
      </c>
      <c r="AD197">
        <f t="shared" si="78"/>
        <v>0</v>
      </c>
      <c r="AE197">
        <f t="shared" si="81"/>
        <v>0</v>
      </c>
    </row>
    <row r="198" spans="1:31" x14ac:dyDescent="0.3">
      <c r="A198" s="373">
        <v>11220</v>
      </c>
      <c r="B198" s="390">
        <f t="shared" si="75"/>
        <v>11.22</v>
      </c>
      <c r="C198" s="363">
        <f t="shared" si="54"/>
        <v>83.277979466890599</v>
      </c>
      <c r="D198" s="364">
        <f t="shared" si="55"/>
        <v>1.558788061946532</v>
      </c>
      <c r="E198" s="364">
        <f t="shared" si="56"/>
        <v>1.0035719305232469</v>
      </c>
      <c r="F198" s="365">
        <f t="shared" si="57"/>
        <v>8.4395859977189361E-2</v>
      </c>
      <c r="G198" s="364">
        <f t="shared" si="58"/>
        <v>1.3006184783545318</v>
      </c>
      <c r="H198" s="365">
        <f t="shared" si="59"/>
        <v>-0.69373217693095923</v>
      </c>
      <c r="I198" s="363">
        <f t="shared" si="60"/>
        <v>16976.971830776398</v>
      </c>
      <c r="J198" s="366">
        <f t="shared" si="61"/>
        <v>1.5707374234751206</v>
      </c>
      <c r="K198" s="374">
        <f t="shared" si="82"/>
        <v>57.619103815767808</v>
      </c>
      <c r="L198" s="375">
        <f t="shared" si="83"/>
        <v>1.5534401004399305</v>
      </c>
      <c r="M198" s="363">
        <f t="shared" si="64"/>
        <v>1.015878059105138</v>
      </c>
      <c r="N198" s="366">
        <f t="shared" si="65"/>
        <v>0.17703543688820345</v>
      </c>
      <c r="O198" s="367">
        <f t="shared" si="66"/>
        <v>1.0000443531562961</v>
      </c>
      <c r="P198" s="368">
        <f t="shared" si="67"/>
        <v>5.3728881456282372E-2</v>
      </c>
      <c r="Q198" s="369">
        <f t="shared" si="68"/>
        <v>-3.0692516404981189</v>
      </c>
      <c r="R198" s="370">
        <f t="shared" si="69"/>
        <v>-138.43726163874106</v>
      </c>
      <c r="S198" s="372">
        <f t="shared" si="70"/>
        <v>41.562738361258937</v>
      </c>
      <c r="U198" s="345">
        <f t="shared" si="76"/>
        <v>11220</v>
      </c>
      <c r="V198" s="345">
        <f t="shared" si="77"/>
        <v>125888400</v>
      </c>
      <c r="X198" s="371">
        <f t="shared" si="71"/>
        <v>38.573968143563555</v>
      </c>
      <c r="Y198" s="372">
        <f t="shared" si="72"/>
        <v>-11.134446977462474</v>
      </c>
      <c r="AA198" s="371">
        <f t="shared" si="73"/>
        <v>30.397980042497572</v>
      </c>
      <c r="AB198" s="372">
        <f t="shared" si="74"/>
        <v>-127.3028146612786</v>
      </c>
      <c r="AD198">
        <f t="shared" si="78"/>
        <v>0</v>
      </c>
      <c r="AE198">
        <f t="shared" si="81"/>
        <v>0</v>
      </c>
    </row>
    <row r="199" spans="1:31" x14ac:dyDescent="0.3">
      <c r="A199" s="373">
        <v>11285.5</v>
      </c>
      <c r="B199" s="390">
        <f t="shared" si="75"/>
        <v>11.285500000000001</v>
      </c>
      <c r="C199" s="363">
        <f t="shared" si="54"/>
        <v>83.764068897796236</v>
      </c>
      <c r="D199" s="364">
        <f t="shared" si="55"/>
        <v>1.558857750165453</v>
      </c>
      <c r="E199" s="364">
        <f t="shared" si="56"/>
        <v>1.0036136813095111</v>
      </c>
      <c r="F199" s="365">
        <f t="shared" si="57"/>
        <v>8.4886188720464384E-2</v>
      </c>
      <c r="G199" s="364">
        <f t="shared" si="58"/>
        <v>1.3037280871204051</v>
      </c>
      <c r="H199" s="365">
        <f t="shared" si="59"/>
        <v>-0.6965953146113093</v>
      </c>
      <c r="I199" s="363">
        <f t="shared" si="60"/>
        <v>17076.079821067742</v>
      </c>
      <c r="J199" s="366">
        <f t="shared" si="61"/>
        <v>1.5707377653445491</v>
      </c>
      <c r="K199" s="374">
        <f t="shared" si="82"/>
        <v>57.955371001335081</v>
      </c>
      <c r="L199" s="375">
        <f t="shared" si="83"/>
        <v>1.5535408143221583</v>
      </c>
      <c r="M199" s="363">
        <f t="shared" si="64"/>
        <v>1.0160625160119992</v>
      </c>
      <c r="N199" s="366">
        <f t="shared" si="65"/>
        <v>0.17804728969992628</v>
      </c>
      <c r="O199" s="367">
        <f t="shared" si="66"/>
        <v>1.0000448840937477</v>
      </c>
      <c r="P199" s="368">
        <f t="shared" si="67"/>
        <v>5.4042815471434955E-2</v>
      </c>
      <c r="Q199" s="369">
        <f t="shared" si="68"/>
        <v>-3.1002967100719165</v>
      </c>
      <c r="R199" s="370">
        <f t="shared" si="69"/>
        <v>-138.64741751449185</v>
      </c>
      <c r="S199" s="372">
        <f t="shared" si="70"/>
        <v>41.352582485508151</v>
      </c>
      <c r="U199" s="345">
        <f t="shared" si="76"/>
        <v>11285.5</v>
      </c>
      <c r="V199" s="345">
        <f t="shared" si="77"/>
        <v>127362510.25</v>
      </c>
      <c r="X199" s="371">
        <f t="shared" si="71"/>
        <v>38.572376015832546</v>
      </c>
      <c r="Y199" s="372">
        <f t="shared" si="72"/>
        <v>-11.186670980407687</v>
      </c>
      <c r="AA199" s="371">
        <f t="shared" si="73"/>
        <v>30.368527100654784</v>
      </c>
      <c r="AB199" s="372">
        <f t="shared" si="74"/>
        <v>-127.46074653408419</v>
      </c>
      <c r="AD199">
        <f t="shared" si="78"/>
        <v>0</v>
      </c>
      <c r="AE199">
        <f t="shared" si="81"/>
        <v>0</v>
      </c>
    </row>
    <row r="200" spans="1:31" x14ac:dyDescent="0.3">
      <c r="A200" s="373">
        <v>11351</v>
      </c>
      <c r="B200" s="390">
        <f t="shared" si="75"/>
        <v>11.351000000000001</v>
      </c>
      <c r="C200" s="363">
        <f t="shared" si="54"/>
        <v>84.250158730803605</v>
      </c>
      <c r="D200" s="364">
        <f t="shared" si="55"/>
        <v>1.5589266342382158</v>
      </c>
      <c r="E200" s="364">
        <f t="shared" si="56"/>
        <v>1.0036556733667528</v>
      </c>
      <c r="F200" s="365">
        <f t="shared" si="57"/>
        <v>8.5376476551773661E-2</v>
      </c>
      <c r="G200" s="364">
        <f t="shared" si="58"/>
        <v>1.3068483323604438</v>
      </c>
      <c r="H200" s="365">
        <f t="shared" si="59"/>
        <v>-0.69944480344068138</v>
      </c>
      <c r="I200" s="363">
        <f t="shared" si="60"/>
        <v>17175.187811361062</v>
      </c>
      <c r="J200" s="366">
        <f t="shared" si="61"/>
        <v>1.5707381032685197</v>
      </c>
      <c r="K200" s="374">
        <f t="shared" si="82"/>
        <v>58.291638767977915</v>
      </c>
      <c r="L200" s="375">
        <f t="shared" si="83"/>
        <v>1.553640366226311</v>
      </c>
      <c r="M200" s="363">
        <f t="shared" si="64"/>
        <v>1.0162480128322542</v>
      </c>
      <c r="N200" s="366">
        <f t="shared" si="65"/>
        <v>0.17905877415782018</v>
      </c>
      <c r="O200" s="367">
        <f t="shared" si="66"/>
        <v>1.0000454183920016</v>
      </c>
      <c r="P200" s="368">
        <f t="shared" si="67"/>
        <v>5.4356754301829679E-2</v>
      </c>
      <c r="Q200" s="369">
        <f t="shared" si="68"/>
        <v>-3.1310343288023046</v>
      </c>
      <c r="R200" s="370">
        <f t="shared" si="69"/>
        <v>-138.85679315974232</v>
      </c>
      <c r="S200" s="372">
        <f t="shared" si="70"/>
        <v>41.143206840257676</v>
      </c>
      <c r="U200" s="345">
        <f t="shared" si="76"/>
        <v>11351</v>
      </c>
      <c r="V200" s="345">
        <f t="shared" si="77"/>
        <v>128845201</v>
      </c>
      <c r="X200" s="371">
        <f t="shared" si="71"/>
        <v>38.570775547490385</v>
      </c>
      <c r="Y200" s="372">
        <f t="shared" si="72"/>
        <v>-11.238940228614684</v>
      </c>
      <c r="AA200" s="371">
        <f t="shared" si="73"/>
        <v>30.339389950266561</v>
      </c>
      <c r="AB200" s="372">
        <f t="shared" si="74"/>
        <v>-127.61785293112763</v>
      </c>
      <c r="AD200">
        <f t="shared" si="78"/>
        <v>0</v>
      </c>
      <c r="AE200">
        <f t="shared" si="81"/>
        <v>0</v>
      </c>
    </row>
    <row r="201" spans="1:31" x14ac:dyDescent="0.3">
      <c r="A201" s="373">
        <v>11416.5</v>
      </c>
      <c r="B201" s="390">
        <f t="shared" si="75"/>
        <v>11.416499999999999</v>
      </c>
      <c r="C201" s="363">
        <f t="shared" si="54"/>
        <v>84.736248958992746</v>
      </c>
      <c r="D201" s="364">
        <f t="shared" si="55"/>
        <v>1.5589947280031349</v>
      </c>
      <c r="E201" s="364">
        <f t="shared" si="56"/>
        <v>1.0036979066646892</v>
      </c>
      <c r="F201" s="365">
        <f t="shared" si="57"/>
        <v>8.5866723240554152E-2</v>
      </c>
      <c r="G201" s="364">
        <f t="shared" si="58"/>
        <v>1.3099791380694525</v>
      </c>
      <c r="H201" s="365">
        <f t="shared" si="59"/>
        <v>-0.70228069484151534</v>
      </c>
      <c r="I201" s="363">
        <f t="shared" si="60"/>
        <v>17274.295801656317</v>
      </c>
      <c r="J201" s="366">
        <f t="shared" si="61"/>
        <v>1.5707384373149409</v>
      </c>
      <c r="K201" s="374">
        <f t="shared" si="82"/>
        <v>58.627907105697787</v>
      </c>
      <c r="L201" s="375">
        <f t="shared" si="83"/>
        <v>1.5537387761444486</v>
      </c>
      <c r="M201" s="363">
        <f t="shared" si="64"/>
        <v>1.0164345489965583</v>
      </c>
      <c r="N201" s="366">
        <f t="shared" si="65"/>
        <v>0.18006988839442406</v>
      </c>
      <c r="O201" s="367">
        <f t="shared" si="66"/>
        <v>1.000045956055764</v>
      </c>
      <c r="P201" s="368">
        <f t="shared" si="67"/>
        <v>5.4670697975232517E-2</v>
      </c>
      <c r="Q201" s="369">
        <f t="shared" si="68"/>
        <v>-3.1614686320570411</v>
      </c>
      <c r="R201" s="370">
        <f t="shared" si="69"/>
        <v>-139.06539107989192</v>
      </c>
      <c r="S201" s="372">
        <f t="shared" si="70"/>
        <v>40.934608920108076</v>
      </c>
      <c r="U201" s="345">
        <f t="shared" si="76"/>
        <v>11416.5</v>
      </c>
      <c r="V201" s="345">
        <f t="shared" si="77"/>
        <v>130336472.25</v>
      </c>
      <c r="X201" s="371">
        <f t="shared" si="71"/>
        <v>38.569166742186958</v>
      </c>
      <c r="Y201" s="372">
        <f t="shared" si="72"/>
        <v>-11.291253473516036</v>
      </c>
      <c r="AA201" s="371">
        <f t="shared" si="73"/>
        <v>30.310564452315244</v>
      </c>
      <c r="AB201" s="372">
        <f t="shared" si="74"/>
        <v>-127.77413760637589</v>
      </c>
      <c r="AD201">
        <f t="shared" si="78"/>
        <v>0</v>
      </c>
      <c r="AE201">
        <f t="shared" si="81"/>
        <v>0</v>
      </c>
    </row>
    <row r="202" spans="1:31" x14ac:dyDescent="0.3">
      <c r="A202" s="373">
        <v>11482</v>
      </c>
      <c r="B202" s="390">
        <f t="shared" si="75"/>
        <v>11.481999999999999</v>
      </c>
      <c r="C202" s="363">
        <f t="shared" si="54"/>
        <v>85.222339575601538</v>
      </c>
      <c r="D202" s="364">
        <f t="shared" si="55"/>
        <v>1.5590620449828316</v>
      </c>
      <c r="E202" s="364">
        <f t="shared" si="56"/>
        <v>1.0037403811728693</v>
      </c>
      <c r="F202" s="365">
        <f t="shared" si="57"/>
        <v>8.6356928556360554E-2</v>
      </c>
      <c r="G202" s="364">
        <f t="shared" si="58"/>
        <v>1.3131204287110794</v>
      </c>
      <c r="H202" s="365">
        <f t="shared" si="59"/>
        <v>-0.70510304062150697</v>
      </c>
      <c r="I202" s="363">
        <f t="shared" si="60"/>
        <v>17373.403791953475</v>
      </c>
      <c r="J202" s="366">
        <f t="shared" si="61"/>
        <v>1.5707387675501725</v>
      </c>
      <c r="K202" s="374">
        <f t="shared" si="82"/>
        <v>58.96417600472428</v>
      </c>
      <c r="L202" s="375">
        <f t="shared" si="83"/>
        <v>1.5538360636126662</v>
      </c>
      <c r="M202" s="363">
        <f t="shared" si="64"/>
        <v>1.0166221239327955</v>
      </c>
      <c r="N202" s="366">
        <f t="shared" si="65"/>
        <v>0.18108063054667151</v>
      </c>
      <c r="O202" s="367">
        <f t="shared" si="66"/>
        <v>1.0000464970897689</v>
      </c>
      <c r="P202" s="368">
        <f t="shared" si="67"/>
        <v>5.4984646519406315E-2</v>
      </c>
      <c r="Q202" s="369">
        <f t="shared" si="68"/>
        <v>-3.1916036879409533</v>
      </c>
      <c r="R202" s="370">
        <f t="shared" si="69"/>
        <v>-139.27321381060688</v>
      </c>
      <c r="S202" s="372">
        <f t="shared" si="70"/>
        <v>40.726786189393124</v>
      </c>
      <c r="U202" s="345">
        <f t="shared" si="76"/>
        <v>11482</v>
      </c>
      <c r="V202" s="345">
        <f t="shared" si="77"/>
        <v>131836324</v>
      </c>
      <c r="X202" s="371">
        <f t="shared" si="71"/>
        <v>38.567549603786006</v>
      </c>
      <c r="Y202" s="372">
        <f t="shared" si="72"/>
        <v>-11.343609492832236</v>
      </c>
      <c r="AA202" s="371">
        <f t="shared" si="73"/>
        <v>30.282046534832286</v>
      </c>
      <c r="AB202" s="372">
        <f t="shared" si="74"/>
        <v>-127.92960431777468</v>
      </c>
      <c r="AD202">
        <f t="shared" si="78"/>
        <v>0</v>
      </c>
      <c r="AE202">
        <f t="shared" si="81"/>
        <v>0</v>
      </c>
    </row>
    <row r="203" spans="1:31" x14ac:dyDescent="0.3">
      <c r="A203" s="373">
        <v>11548.75</v>
      </c>
      <c r="B203" s="390">
        <f t="shared" si="75"/>
        <v>11.54875</v>
      </c>
      <c r="C203" s="363">
        <f t="shared" si="54"/>
        <v>85.717707123462915</v>
      </c>
      <c r="D203" s="364">
        <f t="shared" si="55"/>
        <v>1.5591298611564346</v>
      </c>
      <c r="E203" s="364">
        <f t="shared" si="56"/>
        <v>1.0037839143906047</v>
      </c>
      <c r="F203" s="365">
        <f t="shared" si="57"/>
        <v>8.6856446132127826E-2</v>
      </c>
      <c r="G203" s="364">
        <f t="shared" si="58"/>
        <v>1.3163323769119644</v>
      </c>
      <c r="H203" s="365">
        <f t="shared" si="59"/>
        <v>-0.70796536614191097</v>
      </c>
      <c r="I203" s="363">
        <f t="shared" si="60"/>
        <v>17474.4031561132</v>
      </c>
      <c r="J203" s="366">
        <f t="shared" si="61"/>
        <v>1.5707391002337596</v>
      </c>
      <c r="K203" s="374">
        <f t="shared" si="82"/>
        <v>59.306862816743482</v>
      </c>
      <c r="L203" s="375">
        <f t="shared" si="83"/>
        <v>1.5539340726923472</v>
      </c>
      <c r="M203" s="363">
        <f t="shared" si="64"/>
        <v>1.0168143466451025</v>
      </c>
      <c r="N203" s="366">
        <f t="shared" si="65"/>
        <v>0.18211027694356691</v>
      </c>
      <c r="O203" s="367">
        <f t="shared" si="66"/>
        <v>1.0000470519211115</v>
      </c>
      <c r="P203" s="368">
        <f t="shared" si="67"/>
        <v>5.5304591487840296E-2</v>
      </c>
      <c r="Q203" s="369">
        <f t="shared" si="68"/>
        <v>-3.2220101155868064</v>
      </c>
      <c r="R203" s="370">
        <f t="shared" si="69"/>
        <v>-139.4842077584523</v>
      </c>
      <c r="S203" s="372">
        <f t="shared" si="70"/>
        <v>40.5157922415477</v>
      </c>
      <c r="U203" s="345">
        <f t="shared" si="76"/>
        <v>11548.75</v>
      </c>
      <c r="V203" s="345">
        <f t="shared" si="77"/>
        <v>133373626.5625</v>
      </c>
      <c r="X203" s="371">
        <f t="shared" si="71"/>
        <v>38.565893035023883</v>
      </c>
      <c r="Y203" s="372">
        <f t="shared" si="72"/>
        <v>-11.397007440571993</v>
      </c>
      <c r="AA203" s="371">
        <f t="shared" si="73"/>
        <v>30.253296675948565</v>
      </c>
      <c r="AB203" s="372">
        <f t="shared" si="74"/>
        <v>-128.0872003178803</v>
      </c>
      <c r="AD203">
        <f t="shared" si="78"/>
        <v>0</v>
      </c>
      <c r="AE203">
        <f t="shared" si="81"/>
        <v>0</v>
      </c>
    </row>
    <row r="204" spans="1:31" x14ac:dyDescent="0.3">
      <c r="A204" s="373">
        <v>11615.5</v>
      </c>
      <c r="B204" s="390">
        <f t="shared" si="75"/>
        <v>11.615500000000001</v>
      </c>
      <c r="C204" s="363">
        <f t="shared" si="54"/>
        <v>86.213075061012646</v>
      </c>
      <c r="D204" s="364">
        <f t="shared" si="55"/>
        <v>1.5591968980063708</v>
      </c>
      <c r="E204" s="364">
        <f t="shared" si="56"/>
        <v>1.0038276980485423</v>
      </c>
      <c r="F204" s="365">
        <f t="shared" si="57"/>
        <v>8.7355920257890907E-2</v>
      </c>
      <c r="G204" s="364">
        <f t="shared" si="58"/>
        <v>1.3195550571488524</v>
      </c>
      <c r="H204" s="365">
        <f t="shared" si="59"/>
        <v>-0.71081373388842439</v>
      </c>
      <c r="I204" s="363">
        <f t="shared" si="60"/>
        <v>17575.402520274834</v>
      </c>
      <c r="J204" s="366">
        <f t="shared" si="61"/>
        <v>1.5707394290937267</v>
      </c>
      <c r="K204" s="374">
        <f t="shared" si="82"/>
        <v>59.649550191905618</v>
      </c>
      <c r="L204" s="375">
        <f t="shared" si="83"/>
        <v>1.5540309556462932</v>
      </c>
      <c r="M204" s="363">
        <f t="shared" si="64"/>
        <v>1.0170076469470397</v>
      </c>
      <c r="N204" s="366">
        <f t="shared" si="65"/>
        <v>0.18313953302626565</v>
      </c>
      <c r="O204" s="367">
        <f t="shared" si="66"/>
        <v>1.0000476102625713</v>
      </c>
      <c r="P204" s="368">
        <f t="shared" si="67"/>
        <v>5.5624541572931792E-2</v>
      </c>
      <c r="Q204" s="369">
        <f t="shared" si="68"/>
        <v>-3.2521140882141646</v>
      </c>
      <c r="R204" s="370">
        <f t="shared" si="69"/>
        <v>-139.69440205528753</v>
      </c>
      <c r="S204" s="372">
        <f t="shared" si="70"/>
        <v>40.305597944712474</v>
      </c>
      <c r="U204" s="345">
        <f t="shared" si="76"/>
        <v>11615.5</v>
      </c>
      <c r="V204" s="345">
        <f t="shared" si="77"/>
        <v>134919840.25</v>
      </c>
      <c r="X204" s="371">
        <f t="shared" si="71"/>
        <v>38.56422782082641</v>
      </c>
      <c r="Y204" s="372">
        <f t="shared" si="72"/>
        <v>-11.450447328130158</v>
      </c>
      <c r="AA204" s="371">
        <f t="shared" si="73"/>
        <v>30.224857917518673</v>
      </c>
      <c r="AB204" s="372">
        <f t="shared" si="74"/>
        <v>-128.24395472715742</v>
      </c>
      <c r="AD204">
        <f t="shared" si="78"/>
        <v>0</v>
      </c>
      <c r="AE204">
        <f t="shared" si="81"/>
        <v>0</v>
      </c>
    </row>
    <row r="205" spans="1:31" x14ac:dyDescent="0.3">
      <c r="A205" s="373">
        <v>11682.25</v>
      </c>
      <c r="B205" s="390">
        <f t="shared" si="75"/>
        <v>11.68225</v>
      </c>
      <c r="C205" s="363">
        <f t="shared" ref="C205:C268" si="84">SQRT(1+(A205/pole1)^2)</f>
        <v>86.708443381571826</v>
      </c>
      <c r="D205" s="364">
        <f t="shared" ref="D205:D268" si="85">ATAN(A205/pole1)</f>
        <v>1.5592631688889413</v>
      </c>
      <c r="E205" s="364">
        <f t="shared" ref="E205:E268" si="86">SQRT(1+(A205/Zero1)^2)</f>
        <v>1.0038717321139135</v>
      </c>
      <c r="F205" s="365">
        <f t="shared" ref="F205:F268" si="87">ATAN(A205/Zero1)</f>
        <v>8.7855350690139361E-2</v>
      </c>
      <c r="G205" s="364">
        <f t="shared" ref="G205:G268" si="88">IF(VIN_nom&gt;Vout, 1, SQRT(1+(A205/z_RHP)^2))</f>
        <v>1.3227883909830764</v>
      </c>
      <c r="H205" s="365">
        <f t="shared" ref="H205:H268" si="89">IF(VIN_nom&gt;Vout, 0, -ATAN(A205/z_RHP))</f>
        <v>-0.71364819982589223</v>
      </c>
      <c r="I205" s="363">
        <f t="shared" ref="I205:I268" si="90">SQRT(1+(A205/Pole2)^2)</f>
        <v>17676.401884438343</v>
      </c>
      <c r="J205" s="366">
        <f t="shared" ref="J205:J268" si="91">ATAN(A205/Pole2)</f>
        <v>1.5707397541956158</v>
      </c>
      <c r="K205" s="374">
        <f t="shared" si="82"/>
        <v>59.992238120560337</v>
      </c>
      <c r="L205" s="375">
        <f t="shared" si="83"/>
        <v>1.5541267317706515</v>
      </c>
      <c r="M205" s="363">
        <f t="shared" ref="M205:M268" si="92">SQRT(1+(A205/pole4)^2)</f>
        <v>1.0172020242242792</v>
      </c>
      <c r="N205" s="366">
        <f t="shared" ref="N205:N268" si="93">ATAN(A205/pole4)</f>
        <v>0.18416839683718569</v>
      </c>
      <c r="O205" s="367">
        <f t="shared" ref="O205:O268" si="94">SQRT((1-(V205/pterm2))^2+(A205/pterm1)^2)</f>
        <v>1.0000481721192447</v>
      </c>
      <c r="P205" s="368">
        <f t="shared" ref="P205:P268" si="95">IF((ATAN((A205/pterm1)/(1-A205^2/pterm2))&gt;0),ATAN((A205/pterm1)/(1-A205^2/pterm2)),PI()+ATAN((A205/pterm1)/(1-A205^2/pterm2)))</f>
        <v>5.5944496804053424E-2</v>
      </c>
      <c r="Q205" s="369">
        <f t="shared" ref="Q205:Q268" si="96">20*LOG10(((E205*K205*G205)/(C205*I205*O205*M205))*Adc)</f>
        <v>-3.28191970440322</v>
      </c>
      <c r="R205" s="370">
        <f t="shared" ref="R205:R268" si="97">((F205+L205+H205)-(D205+J205+P205+N205))*radconv</f>
        <v>-139.90379947456319</v>
      </c>
      <c r="S205" s="372">
        <f t="shared" ref="S205:S268" si="98">IF(R205&gt;0,R205,R205+180)</f>
        <v>40.096200525436814</v>
      </c>
      <c r="U205" s="345">
        <f t="shared" si="76"/>
        <v>11682.25</v>
      </c>
      <c r="V205" s="345">
        <f t="shared" si="77"/>
        <v>136474965.0625</v>
      </c>
      <c r="X205" s="371">
        <f t="shared" ref="X205:X268" si="99">20*LOG10((K205/(I205*M205))*AEA)</f>
        <v>38.562553965930661</v>
      </c>
      <c r="Y205" s="372">
        <f t="shared" ref="Y205:Y268" si="100">(L205-(J205+N205))*radconv</f>
        <v>-11.503927941513039</v>
      </c>
      <c r="AA205" s="371">
        <f t="shared" ref="AA205:AA268" si="101">20*LOG10((E205*G205/(C205*O205))*Acs*Am)</f>
        <v>30.196726156225367</v>
      </c>
      <c r="AB205" s="372">
        <f t="shared" ref="AB205:AB268" si="102">(F205+H205-(D205+P205))*radconv</f>
        <v>-128.39987153305015</v>
      </c>
      <c r="AD205">
        <f t="shared" si="78"/>
        <v>0</v>
      </c>
      <c r="AE205">
        <f t="shared" si="81"/>
        <v>0</v>
      </c>
    </row>
    <row r="206" spans="1:31" x14ac:dyDescent="0.3">
      <c r="A206" s="373">
        <v>11749</v>
      </c>
      <c r="B206" s="390">
        <f t="shared" ref="B206:B269" si="103">A206/1000</f>
        <v>11.749000000000001</v>
      </c>
      <c r="C206" s="363">
        <f t="shared" si="84"/>
        <v>87.203812078613311</v>
      </c>
      <c r="D206" s="364">
        <f t="shared" si="85"/>
        <v>1.5593286868569882</v>
      </c>
      <c r="E206" s="364">
        <f t="shared" si="86"/>
        <v>1.0039160165537682</v>
      </c>
      <c r="F206" s="365">
        <f t="shared" si="87"/>
        <v>8.8354737185492499E-2</v>
      </c>
      <c r="G206" s="364">
        <f t="shared" si="88"/>
        <v>1.3260323004829702</v>
      </c>
      <c r="H206" s="365">
        <f t="shared" si="89"/>
        <v>-0.7164688202677405</v>
      </c>
      <c r="I206" s="363">
        <f t="shared" si="90"/>
        <v>17777.401248603703</v>
      </c>
      <c r="J206" s="366">
        <f t="shared" si="91"/>
        <v>1.5707400756034799</v>
      </c>
      <c r="K206" s="374">
        <f t="shared" si="82"/>
        <v>60.334926593276514</v>
      </c>
      <c r="L206" s="375">
        <f t="shared" si="83"/>
        <v>1.55422141992326</v>
      </c>
      <c r="M206" s="363">
        <f t="shared" si="92"/>
        <v>1.0173974778595418</v>
      </c>
      <c r="N206" s="366">
        <f t="shared" si="93"/>
        <v>0.18519686642355887</v>
      </c>
      <c r="O206" s="367">
        <f t="shared" si="94"/>
        <v>1.0000487374962583</v>
      </c>
      <c r="P206" s="368">
        <f t="shared" si="95"/>
        <v>5.6264457210574284E-2</v>
      </c>
      <c r="Q206" s="369">
        <f t="shared" si="96"/>
        <v>-3.3114309959219845</v>
      </c>
      <c r="R206" s="370">
        <f t="shared" si="97"/>
        <v>-140.11240281761101</v>
      </c>
      <c r="S206" s="372">
        <f t="shared" si="98"/>
        <v>39.887597182388987</v>
      </c>
      <c r="U206" s="345">
        <f t="shared" ref="U206:U269" si="104">IF(Q206&lt;0,A206,1000000000)</f>
        <v>11749</v>
      </c>
      <c r="V206" s="345">
        <f t="shared" ref="V206:V269" si="105">A206^2</f>
        <v>138039001</v>
      </c>
      <c r="X206" s="371">
        <f t="shared" si="99"/>
        <v>38.560871475279818</v>
      </c>
      <c r="Y206" s="372">
        <f t="shared" si="100"/>
        <v>-11.5574480920307</v>
      </c>
      <c r="AA206" s="371">
        <f t="shared" si="101"/>
        <v>30.168897355357448</v>
      </c>
      <c r="AB206" s="372">
        <f t="shared" si="102"/>
        <v>-128.5549547255803</v>
      </c>
      <c r="AD206">
        <f t="shared" ref="AD206:AD269" si="106">SUM((Q207&lt;0)*(Q206&gt;0))*A206</f>
        <v>0</v>
      </c>
      <c r="AE206">
        <f t="shared" si="81"/>
        <v>0</v>
      </c>
    </row>
    <row r="207" spans="1:31" x14ac:dyDescent="0.3">
      <c r="A207" s="373">
        <v>11817.5</v>
      </c>
      <c r="B207" s="390">
        <f t="shared" si="103"/>
        <v>11.817500000000001</v>
      </c>
      <c r="C207" s="363">
        <f t="shared" si="84"/>
        <v>87.712168354686682</v>
      </c>
      <c r="D207" s="364">
        <f t="shared" si="85"/>
        <v>1.559395153120283</v>
      </c>
      <c r="E207" s="364">
        <f t="shared" si="86"/>
        <v>1.0039617222808688</v>
      </c>
      <c r="F207" s="365">
        <f t="shared" si="87"/>
        <v>8.886717027572677E-2</v>
      </c>
      <c r="G207" s="364">
        <f t="shared" si="88"/>
        <v>1.3293721703005486</v>
      </c>
      <c r="H207" s="365">
        <f t="shared" si="89"/>
        <v>-0.71934905423026563</v>
      </c>
      <c r="I207" s="363">
        <f t="shared" si="90"/>
        <v>17881.048536176033</v>
      </c>
      <c r="J207" s="366">
        <f t="shared" si="91"/>
        <v>1.5707404016628499</v>
      </c>
      <c r="K207" s="374">
        <f t="shared" si="82"/>
        <v>60.686599963952077</v>
      </c>
      <c r="L207" s="375">
        <f t="shared" si="83"/>
        <v>1.5543174787334328</v>
      </c>
      <c r="M207" s="363">
        <f t="shared" si="92"/>
        <v>1.0175991741535557</v>
      </c>
      <c r="N207" s="366">
        <f t="shared" si="93"/>
        <v>0.18625188772592863</v>
      </c>
      <c r="O207" s="367">
        <f t="shared" si="94"/>
        <v>1.0000493213612882</v>
      </c>
      <c r="P207" s="368">
        <f t="shared" si="95"/>
        <v>5.6592811503674602E-2</v>
      </c>
      <c r="Q207" s="369">
        <f t="shared" si="96"/>
        <v>-3.341414150571115</v>
      </c>
      <c r="R207" s="370">
        <f t="shared" si="97"/>
        <v>-140.32565255145079</v>
      </c>
      <c r="S207" s="372">
        <f t="shared" si="98"/>
        <v>39.674347448549213</v>
      </c>
      <c r="U207" s="345">
        <f t="shared" si="104"/>
        <v>11817.5</v>
      </c>
      <c r="V207" s="345">
        <f t="shared" si="105"/>
        <v>139653306.25</v>
      </c>
      <c r="X207" s="371">
        <f t="shared" si="99"/>
        <v>38.559135901451775</v>
      </c>
      <c r="Y207" s="372">
        <f t="shared" si="100"/>
        <v>-11.612411277433512</v>
      </c>
      <c r="AA207" s="371">
        <f t="shared" si="101"/>
        <v>30.140649774536357</v>
      </c>
      <c r="AB207" s="372">
        <f t="shared" si="102"/>
        <v>-128.71324127401729</v>
      </c>
      <c r="AD207">
        <f t="shared" si="106"/>
        <v>0</v>
      </c>
      <c r="AE207">
        <f t="shared" si="81"/>
        <v>0</v>
      </c>
    </row>
    <row r="208" spans="1:31" x14ac:dyDescent="0.3">
      <c r="A208" s="373">
        <v>11886</v>
      </c>
      <c r="B208" s="390">
        <f t="shared" si="103"/>
        <v>11.885999999999999</v>
      </c>
      <c r="C208" s="363">
        <f t="shared" si="84"/>
        <v>88.220525013786016</v>
      </c>
      <c r="D208" s="364">
        <f t="shared" si="85"/>
        <v>1.5594608533814514</v>
      </c>
      <c r="E208" s="364">
        <f t="shared" si="86"/>
        <v>1.0040076916118983</v>
      </c>
      <c r="F208" s="365">
        <f t="shared" si="87"/>
        <v>8.9379556576142744E-2</v>
      </c>
      <c r="G208" s="364">
        <f t="shared" si="88"/>
        <v>1.3327230129269003</v>
      </c>
      <c r="H208" s="365">
        <f t="shared" si="89"/>
        <v>-0.72221482842139362</v>
      </c>
      <c r="I208" s="363">
        <f t="shared" si="90"/>
        <v>17984.695823750244</v>
      </c>
      <c r="J208" s="366">
        <f t="shared" si="91"/>
        <v>1.5707407239640057</v>
      </c>
      <c r="K208" s="374">
        <f t="shared" si="82"/>
        <v>61.03827388814819</v>
      </c>
      <c r="L208" s="375">
        <f t="shared" si="83"/>
        <v>1.5544124306527947</v>
      </c>
      <c r="M208" s="363">
        <f t="shared" si="92"/>
        <v>1.0178020026569798</v>
      </c>
      <c r="N208" s="366">
        <f t="shared" si="93"/>
        <v>0.18730648971055708</v>
      </c>
      <c r="O208" s="367">
        <f t="shared" si="94"/>
        <v>1.000049908944699</v>
      </c>
      <c r="P208" s="368">
        <f t="shared" si="95"/>
        <v>5.6921171309758753E-2</v>
      </c>
      <c r="Q208" s="369">
        <f t="shared" si="96"/>
        <v>-3.3710957385098013</v>
      </c>
      <c r="R208" s="370">
        <f t="shared" si="97"/>
        <v>-140.53807208916191</v>
      </c>
      <c r="S208" s="372">
        <f t="shared" si="98"/>
        <v>39.461927910838085</v>
      </c>
      <c r="U208" s="345">
        <f t="shared" si="104"/>
        <v>11886</v>
      </c>
      <c r="V208" s="345">
        <f t="shared" si="105"/>
        <v>141276996</v>
      </c>
      <c r="X208" s="371">
        <f t="shared" si="99"/>
        <v>38.557391244312278</v>
      </c>
      <c r="Y208" s="372">
        <f t="shared" si="100"/>
        <v>-11.667413642541552</v>
      </c>
      <c r="AA208" s="371">
        <f t="shared" si="101"/>
        <v>30.112712843737171</v>
      </c>
      <c r="AB208" s="372">
        <f t="shared" si="102"/>
        <v>-128.87065844662035</v>
      </c>
      <c r="AD208">
        <f t="shared" si="106"/>
        <v>0</v>
      </c>
      <c r="AE208">
        <f t="shared" si="81"/>
        <v>0</v>
      </c>
    </row>
    <row r="209" spans="1:31" x14ac:dyDescent="0.3">
      <c r="A209" s="373">
        <v>11954.5</v>
      </c>
      <c r="B209" s="390">
        <f t="shared" si="103"/>
        <v>11.954499999999999</v>
      </c>
      <c r="C209" s="363">
        <f t="shared" si="84"/>
        <v>88.728882049327893</v>
      </c>
      <c r="D209" s="364">
        <f t="shared" si="85"/>
        <v>1.559525800805958</v>
      </c>
      <c r="E209" s="364">
        <f t="shared" si="86"/>
        <v>1.0040539245106499</v>
      </c>
      <c r="F209" s="365">
        <f t="shared" si="87"/>
        <v>8.9891895824142143E-2</v>
      </c>
      <c r="G209" s="364">
        <f t="shared" si="88"/>
        <v>1.3360847458040426</v>
      </c>
      <c r="H209" s="365">
        <f t="shared" si="89"/>
        <v>-0.72506620473996153</v>
      </c>
      <c r="I209" s="363">
        <f t="shared" si="90"/>
        <v>18088.3431113263</v>
      </c>
      <c r="J209" s="366">
        <f t="shared" si="91"/>
        <v>1.5707410425715516</v>
      </c>
      <c r="K209" s="374">
        <f t="shared" si="82"/>
        <v>61.389948356352299</v>
      </c>
      <c r="L209" s="375">
        <f t="shared" si="83"/>
        <v>1.5545062947022068</v>
      </c>
      <c r="M209" s="363">
        <f t="shared" si="92"/>
        <v>1.0180059626930669</v>
      </c>
      <c r="N209" s="366">
        <f t="shared" si="93"/>
        <v>0.1883606702829583</v>
      </c>
      <c r="O209" s="367">
        <f t="shared" si="94"/>
        <v>1.0000505002521276</v>
      </c>
      <c r="P209" s="368">
        <f t="shared" si="95"/>
        <v>5.7249536660555288E-2</v>
      </c>
      <c r="Q209" s="369">
        <f t="shared" si="96"/>
        <v>-3.4004799063716513</v>
      </c>
      <c r="R209" s="370">
        <f t="shared" si="97"/>
        <v>-140.74966454235701</v>
      </c>
      <c r="S209" s="372">
        <f t="shared" si="98"/>
        <v>39.25033545764299</v>
      </c>
      <c r="U209" s="345">
        <f t="shared" si="104"/>
        <v>11954.5</v>
      </c>
      <c r="V209" s="345">
        <f t="shared" si="105"/>
        <v>142910070.25</v>
      </c>
      <c r="X209" s="371">
        <f t="shared" si="99"/>
        <v>38.555637509844452</v>
      </c>
      <c r="Y209" s="372">
        <f t="shared" si="100"/>
        <v>-11.722453981236095</v>
      </c>
      <c r="AA209" s="371">
        <f t="shared" si="101"/>
        <v>30.085082410343148</v>
      </c>
      <c r="AB209" s="372">
        <f t="shared" si="102"/>
        <v>-129.02721056112091</v>
      </c>
      <c r="AD209">
        <f t="shared" si="106"/>
        <v>0</v>
      </c>
      <c r="AE209">
        <f t="shared" si="81"/>
        <v>0</v>
      </c>
    </row>
    <row r="210" spans="1:31" x14ac:dyDescent="0.3">
      <c r="A210" s="373">
        <v>12023</v>
      </c>
      <c r="B210" s="390">
        <f t="shared" si="103"/>
        <v>12.023</v>
      </c>
      <c r="C210" s="363">
        <f t="shared" si="84"/>
        <v>89.237239454878818</v>
      </c>
      <c r="D210" s="364">
        <f t="shared" si="85"/>
        <v>1.5595900082592944</v>
      </c>
      <c r="E210" s="364">
        <f t="shared" si="86"/>
        <v>1.0041004209407165</v>
      </c>
      <c r="F210" s="365">
        <f t="shared" si="87"/>
        <v>9.0404187757273644E-2</v>
      </c>
      <c r="G210" s="364">
        <f t="shared" si="88"/>
        <v>1.3394572869358259</v>
      </c>
      <c r="H210" s="365">
        <f t="shared" si="89"/>
        <v>-0.72790324540089646</v>
      </c>
      <c r="I210" s="363">
        <f t="shared" si="90"/>
        <v>18191.990398904174</v>
      </c>
      <c r="J210" s="366">
        <f t="shared" si="91"/>
        <v>1.5707413575486198</v>
      </c>
      <c r="K210" s="374">
        <f t="shared" si="82"/>
        <v>61.741623359268551</v>
      </c>
      <c r="L210" s="375">
        <f t="shared" si="83"/>
        <v>1.5545990894692432</v>
      </c>
      <c r="M210" s="363">
        <f t="shared" si="92"/>
        <v>1.0182110535818376</v>
      </c>
      <c r="N210" s="366">
        <f t="shared" si="93"/>
        <v>0.18941442735406652</v>
      </c>
      <c r="O210" s="367">
        <f t="shared" si="94"/>
        <v>1.000051095289243</v>
      </c>
      <c r="P210" s="368">
        <f t="shared" si="95"/>
        <v>5.7577907587788836E-2</v>
      </c>
      <c r="Q210" s="369">
        <f t="shared" si="96"/>
        <v>-3.429570732538668</v>
      </c>
      <c r="R210" s="370">
        <f t="shared" si="97"/>
        <v>-140.96043304861524</v>
      </c>
      <c r="S210" s="372">
        <f t="shared" si="98"/>
        <v>39.039566951384757</v>
      </c>
      <c r="U210" s="345">
        <f t="shared" si="104"/>
        <v>12023</v>
      </c>
      <c r="V210" s="345">
        <f t="shared" si="105"/>
        <v>144552529</v>
      </c>
      <c r="X210" s="371">
        <f t="shared" si="99"/>
        <v>38.553874704236257</v>
      </c>
      <c r="Y210" s="372">
        <f t="shared" si="100"/>
        <v>-11.777531112450164</v>
      </c>
      <c r="AA210" s="371">
        <f t="shared" si="101"/>
        <v>30.057754389784321</v>
      </c>
      <c r="AB210" s="372">
        <f t="shared" si="102"/>
        <v>-129.18290193616511</v>
      </c>
      <c r="AD210">
        <f t="shared" si="106"/>
        <v>0</v>
      </c>
      <c r="AE210">
        <f t="shared" si="81"/>
        <v>0</v>
      </c>
    </row>
    <row r="211" spans="1:31" x14ac:dyDescent="0.3">
      <c r="A211" s="373">
        <v>12093</v>
      </c>
      <c r="B211" s="390">
        <f t="shared" si="103"/>
        <v>12.093</v>
      </c>
      <c r="C211" s="363">
        <f t="shared" si="84"/>
        <v>89.756729150129004</v>
      </c>
      <c r="D211" s="364">
        <f t="shared" si="85"/>
        <v>1.5596548703442914</v>
      </c>
      <c r="E211" s="364">
        <f t="shared" si="86"/>
        <v>1.004148207753325</v>
      </c>
      <c r="F211" s="365">
        <f t="shared" si="87"/>
        <v>9.0927648608624345E-2</v>
      </c>
      <c r="G211" s="364">
        <f t="shared" si="88"/>
        <v>1.3429147604549347</v>
      </c>
      <c r="H211" s="365">
        <f t="shared" si="89"/>
        <v>-0.73078766612124435</v>
      </c>
      <c r="I211" s="363">
        <f t="shared" si="90"/>
        <v>18297.907335116979</v>
      </c>
      <c r="J211" s="366">
        <f t="shared" si="91"/>
        <v>1.5707416757365988</v>
      </c>
      <c r="K211" s="374">
        <f t="shared" si="82"/>
        <v>62.10099981760807</v>
      </c>
      <c r="L211" s="375">
        <f t="shared" si="83"/>
        <v>1.5546928304795868</v>
      </c>
      <c r="M211" s="363">
        <f t="shared" si="92"/>
        <v>1.0184218030696031</v>
      </c>
      <c r="N211" s="366">
        <f t="shared" si="93"/>
        <v>0.19049081971583146</v>
      </c>
      <c r="O211" s="367">
        <f t="shared" si="94"/>
        <v>1.0000517072153907</v>
      </c>
      <c r="P211" s="368">
        <f t="shared" si="95"/>
        <v>5.7913474913219368E-2</v>
      </c>
      <c r="Q211" s="369">
        <f t="shared" si="96"/>
        <v>-3.4589997108778672</v>
      </c>
      <c r="R211" s="370">
        <f t="shared" si="97"/>
        <v>-141.17496900616166</v>
      </c>
      <c r="S211" s="372">
        <f t="shared" si="98"/>
        <v>38.82503099383834</v>
      </c>
      <c r="U211" s="345">
        <f t="shared" si="104"/>
        <v>12093</v>
      </c>
      <c r="V211" s="345">
        <f t="shared" si="105"/>
        <v>146240649</v>
      </c>
      <c r="X211" s="371">
        <f t="shared" si="99"/>
        <v>38.552063932420978</v>
      </c>
      <c r="Y211" s="372">
        <f t="shared" si="100"/>
        <v>-11.833851118512078</v>
      </c>
      <c r="AA211" s="371">
        <f t="shared" si="101"/>
        <v>30.030136183260399</v>
      </c>
      <c r="AB211" s="372">
        <f t="shared" si="102"/>
        <v>-129.3411178876496</v>
      </c>
      <c r="AD211">
        <f t="shared" si="106"/>
        <v>0</v>
      </c>
      <c r="AE211">
        <f t="shared" si="81"/>
        <v>0</v>
      </c>
    </row>
    <row r="212" spans="1:31" x14ac:dyDescent="0.3">
      <c r="A212" s="373">
        <v>12163</v>
      </c>
      <c r="B212" s="390">
        <f t="shared" si="103"/>
        <v>12.163</v>
      </c>
      <c r="C212" s="363">
        <f t="shared" si="84"/>
        <v>90.27621921864791</v>
      </c>
      <c r="D212" s="364">
        <f t="shared" si="85"/>
        <v>1.5597189859381924</v>
      </c>
      <c r="E212" s="364">
        <f t="shared" si="86"/>
        <v>1.004196269687621</v>
      </c>
      <c r="F212" s="365">
        <f t="shared" si="87"/>
        <v>9.1451059496563764E-2</v>
      </c>
      <c r="G212" s="364">
        <f t="shared" si="88"/>
        <v>1.3463833494301849</v>
      </c>
      <c r="H212" s="365">
        <f t="shared" si="89"/>
        <v>-0.73365724876954164</v>
      </c>
      <c r="I212" s="363">
        <f t="shared" si="90"/>
        <v>18403.824271331618</v>
      </c>
      <c r="J212" s="366">
        <f t="shared" si="91"/>
        <v>1.5707419902621331</v>
      </c>
      <c r="K212" s="374">
        <f t="shared" si="82"/>
        <v>62.460376815372882</v>
      </c>
      <c r="L212" s="375">
        <f t="shared" si="83"/>
        <v>1.5547854927792537</v>
      </c>
      <c r="M212" s="363">
        <f t="shared" si="92"/>
        <v>1.018633732032711</v>
      </c>
      <c r="N212" s="366">
        <f t="shared" si="93"/>
        <v>0.19156676543223475</v>
      </c>
      <c r="O212" s="367">
        <f t="shared" si="94"/>
        <v>1.0000523230484322</v>
      </c>
      <c r="P212" s="368">
        <f t="shared" si="95"/>
        <v>5.824904812895558E-2</v>
      </c>
      <c r="Q212" s="369">
        <f t="shared" si="96"/>
        <v>-3.4881307588481381</v>
      </c>
      <c r="R212" s="370">
        <f t="shared" si="97"/>
        <v>-141.38865123902781</v>
      </c>
      <c r="S212" s="372">
        <f t="shared" si="98"/>
        <v>38.611348760972191</v>
      </c>
      <c r="U212" s="345">
        <f t="shared" si="104"/>
        <v>12163</v>
      </c>
      <c r="V212" s="345">
        <f t="shared" si="105"/>
        <v>147938569</v>
      </c>
      <c r="X212" s="371">
        <f t="shared" si="99"/>
        <v>38.550243701535869</v>
      </c>
      <c r="Y212" s="372">
        <f t="shared" si="100"/>
        <v>-11.890207129406342</v>
      </c>
      <c r="AA212" s="371">
        <f t="shared" si="101"/>
        <v>30.002825366175244</v>
      </c>
      <c r="AB212" s="372">
        <f t="shared" si="102"/>
        <v>-129.49844410962146</v>
      </c>
      <c r="AD212">
        <f t="shared" si="106"/>
        <v>0</v>
      </c>
      <c r="AE212">
        <f t="shared" si="81"/>
        <v>0</v>
      </c>
    </row>
    <row r="213" spans="1:31" x14ac:dyDescent="0.3">
      <c r="A213" s="373">
        <v>12233</v>
      </c>
      <c r="B213" s="390">
        <f t="shared" si="103"/>
        <v>12.233000000000001</v>
      </c>
      <c r="C213" s="363">
        <f t="shared" si="84"/>
        <v>90.795709654028528</v>
      </c>
      <c r="D213" s="364">
        <f t="shared" si="85"/>
        <v>1.5597823678536804</v>
      </c>
      <c r="E213" s="364">
        <f t="shared" si="86"/>
        <v>1.0042446067041035</v>
      </c>
      <c r="F213" s="365">
        <f t="shared" si="87"/>
        <v>9.1974420141499938E-2</v>
      </c>
      <c r="G213" s="364">
        <f t="shared" si="88"/>
        <v>1.3498629681752179</v>
      </c>
      <c r="H213" s="365">
        <f t="shared" si="89"/>
        <v>-0.73651206065140773</v>
      </c>
      <c r="I213" s="363">
        <f t="shared" si="90"/>
        <v>18509.741207548057</v>
      </c>
      <c r="J213" s="366">
        <f t="shared" si="91"/>
        <v>1.5707423011880945</v>
      </c>
      <c r="K213" s="374">
        <f t="shared" si="82"/>
        <v>62.819754343305206</v>
      </c>
      <c r="L213" s="375">
        <f t="shared" si="83"/>
        <v>1.5548770948798138</v>
      </c>
      <c r="M213" s="363">
        <f t="shared" si="92"/>
        <v>1.018846839735138</v>
      </c>
      <c r="N213" s="366">
        <f t="shared" si="93"/>
        <v>0.1926422622916184</v>
      </c>
      <c r="O213" s="367">
        <f t="shared" si="94"/>
        <v>1.0000529427945219</v>
      </c>
      <c r="P213" s="368">
        <f t="shared" si="95"/>
        <v>5.8584627268839257E-2</v>
      </c>
      <c r="Q213" s="369">
        <f t="shared" si="96"/>
        <v>-3.5169680166633266</v>
      </c>
      <c r="R213" s="370">
        <f t="shared" si="97"/>
        <v>-141.6014831718615</v>
      </c>
      <c r="S213" s="372">
        <f t="shared" si="98"/>
        <v>38.398516828138497</v>
      </c>
      <c r="U213" s="345">
        <f t="shared" si="104"/>
        <v>12233</v>
      </c>
      <c r="V213" s="345">
        <f t="shared" si="105"/>
        <v>149646289</v>
      </c>
      <c r="X213" s="371">
        <f t="shared" si="99"/>
        <v>38.548414018812551</v>
      </c>
      <c r="Y213" s="372">
        <f t="shared" si="100"/>
        <v>-11.946597961381732</v>
      </c>
      <c r="AA213" s="371">
        <f t="shared" si="101"/>
        <v>29.975817791083372</v>
      </c>
      <c r="AB213" s="372">
        <f t="shared" si="102"/>
        <v>-129.65488521047976</v>
      </c>
      <c r="AD213">
        <f t="shared" si="106"/>
        <v>0</v>
      </c>
      <c r="AE213">
        <f t="shared" si="81"/>
        <v>0</v>
      </c>
    </row>
    <row r="214" spans="1:31" x14ac:dyDescent="0.3">
      <c r="A214" s="373">
        <v>12303</v>
      </c>
      <c r="B214" s="390">
        <f t="shared" si="103"/>
        <v>12.303000000000001</v>
      </c>
      <c r="C214" s="363">
        <f t="shared" si="84"/>
        <v>91.315200450009627</v>
      </c>
      <c r="D214" s="364">
        <f t="shared" si="85"/>
        <v>1.5598450286118981</v>
      </c>
      <c r="E214" s="364">
        <f t="shared" si="86"/>
        <v>1.0042932187630533</v>
      </c>
      <c r="F214" s="365">
        <f t="shared" si="87"/>
        <v>9.2497730264004693E-2</v>
      </c>
      <c r="G214" s="364">
        <f t="shared" si="88"/>
        <v>1.3533535316138325</v>
      </c>
      <c r="H214" s="365">
        <f t="shared" si="89"/>
        <v>-0.73935216934442305</v>
      </c>
      <c r="I214" s="363">
        <f t="shared" si="90"/>
        <v>18615.658143766264</v>
      </c>
      <c r="J214" s="366">
        <f t="shared" si="91"/>
        <v>1.5707426085759242</v>
      </c>
      <c r="K214" s="374">
        <f t="shared" si="82"/>
        <v>63.179132392357886</v>
      </c>
      <c r="L214" s="375">
        <f t="shared" si="83"/>
        <v>1.5549676548717168</v>
      </c>
      <c r="M214" s="363">
        <f t="shared" si="92"/>
        <v>1.0190611254373845</v>
      </c>
      <c r="N214" s="366">
        <f t="shared" si="93"/>
        <v>0.1937173080883228</v>
      </c>
      <c r="O214" s="367">
        <f t="shared" si="94"/>
        <v>1.0000535664598518</v>
      </c>
      <c r="P214" s="368">
        <f t="shared" si="95"/>
        <v>5.8920212366707692E-2</v>
      </c>
      <c r="Q214" s="369">
        <f t="shared" si="96"/>
        <v>-3.545515555983493</v>
      </c>
      <c r="R214" s="370">
        <f t="shared" si="97"/>
        <v>-141.81346825256921</v>
      </c>
      <c r="S214" s="372">
        <f t="shared" si="98"/>
        <v>38.186531747430791</v>
      </c>
      <c r="U214" s="345">
        <f t="shared" si="104"/>
        <v>12303</v>
      </c>
      <c r="V214" s="345">
        <f t="shared" si="105"/>
        <v>151363809</v>
      </c>
      <c r="X214" s="371">
        <f t="shared" si="99"/>
        <v>38.546574891683292</v>
      </c>
      <c r="Y214" s="372">
        <f t="shared" si="100"/>
        <v>-12.003022455077177</v>
      </c>
      <c r="AA214" s="371">
        <f t="shared" si="101"/>
        <v>29.949109378892462</v>
      </c>
      <c r="AB214" s="372">
        <f t="shared" si="102"/>
        <v>-129.81044579749201</v>
      </c>
      <c r="AD214">
        <f t="shared" si="106"/>
        <v>0</v>
      </c>
      <c r="AE214">
        <f t="shared" si="81"/>
        <v>0</v>
      </c>
    </row>
    <row r="215" spans="1:31" x14ac:dyDescent="0.3">
      <c r="A215" s="373">
        <v>12374.5</v>
      </c>
      <c r="B215" s="390">
        <f t="shared" si="103"/>
        <v>12.374499999999999</v>
      </c>
      <c r="C215" s="363">
        <f t="shared" si="84"/>
        <v>91.845823557530963</v>
      </c>
      <c r="D215" s="364">
        <f t="shared" si="85"/>
        <v>1.5599083003204688</v>
      </c>
      <c r="E215" s="364">
        <f t="shared" si="86"/>
        <v>1.0043431564137195</v>
      </c>
      <c r="F215" s="365">
        <f t="shared" si="87"/>
        <v>9.3032201726520186E-2</v>
      </c>
      <c r="G215" s="364">
        <f t="shared" si="88"/>
        <v>1.3569301040196744</v>
      </c>
      <c r="H215" s="365">
        <f t="shared" si="89"/>
        <v>-0.74223802887187662</v>
      </c>
      <c r="I215" s="363">
        <f t="shared" si="90"/>
        <v>18723.844728619515</v>
      </c>
      <c r="J215" s="366">
        <f t="shared" si="91"/>
        <v>1.5707429189603963</v>
      </c>
      <c r="K215" s="374">
        <f t="shared" ref="K215:K278" si="107">SQRT(1+(A215/Zero2)^2)</f>
        <v>63.546211928402037</v>
      </c>
      <c r="L215" s="375">
        <f t="shared" ref="L215:L278" si="108">ATAN(A215/Zero2)</f>
        <v>1.5550590979723835</v>
      </c>
      <c r="M215" s="363">
        <f t="shared" si="92"/>
        <v>1.0192812183381532</v>
      </c>
      <c r="N215" s="366">
        <f t="shared" si="93"/>
        <v>0.19481492262895414</v>
      </c>
      <c r="O215" s="367">
        <f t="shared" si="94"/>
        <v>1.0000542075420271</v>
      </c>
      <c r="P215" s="368">
        <f t="shared" si="95"/>
        <v>5.9262994759853124E-2</v>
      </c>
      <c r="Q215" s="369">
        <f t="shared" si="96"/>
        <v>-3.5743798941900486</v>
      </c>
      <c r="R215" s="370">
        <f t="shared" si="97"/>
        <v>-142.02912521191317</v>
      </c>
      <c r="S215" s="372">
        <f t="shared" si="98"/>
        <v>37.970874788086832</v>
      </c>
      <c r="U215" s="345">
        <f t="shared" si="104"/>
        <v>12374.5</v>
      </c>
      <c r="V215" s="345">
        <f t="shared" si="105"/>
        <v>153128250.25</v>
      </c>
      <c r="X215" s="371">
        <f t="shared" si="99"/>
        <v>38.544686612474372</v>
      </c>
      <c r="Y215" s="372">
        <f t="shared" si="100"/>
        <v>-12.06068961583993</v>
      </c>
      <c r="AA215" s="371">
        <f t="shared" si="101"/>
        <v>29.922133319894829</v>
      </c>
      <c r="AB215" s="372">
        <f t="shared" si="102"/>
        <v>-129.96843559607325</v>
      </c>
      <c r="AD215">
        <f t="shared" si="106"/>
        <v>0</v>
      </c>
      <c r="AE215">
        <f t="shared" si="81"/>
        <v>0</v>
      </c>
    </row>
    <row r="216" spans="1:31" x14ac:dyDescent="0.3">
      <c r="A216" s="373">
        <v>12446</v>
      </c>
      <c r="B216" s="390">
        <f t="shared" si="103"/>
        <v>12.446</v>
      </c>
      <c r="C216" s="363">
        <f t="shared" si="84"/>
        <v>92.376447028515415</v>
      </c>
      <c r="D216" s="364">
        <f t="shared" si="85"/>
        <v>1.5599708451458729</v>
      </c>
      <c r="E216" s="364">
        <f t="shared" si="86"/>
        <v>1.0043933809362184</v>
      </c>
      <c r="F216" s="365">
        <f t="shared" si="87"/>
        <v>9.3566619889373107E-2</v>
      </c>
      <c r="G216" s="364">
        <f t="shared" si="88"/>
        <v>1.3605179177203928</v>
      </c>
      <c r="H216" s="365">
        <f t="shared" si="89"/>
        <v>-0.7451086916359666</v>
      </c>
      <c r="I216" s="363">
        <f t="shared" si="90"/>
        <v>18832.031313474545</v>
      </c>
      <c r="J216" s="366">
        <f t="shared" si="91"/>
        <v>1.570743225778664</v>
      </c>
      <c r="K216" s="374">
        <f t="shared" si="107"/>
        <v>63.913291989705826</v>
      </c>
      <c r="L216" s="375">
        <f t="shared" si="108"/>
        <v>1.5551494906838736</v>
      </c>
      <c r="M216" s="363">
        <f t="shared" si="92"/>
        <v>1.0195025386947327</v>
      </c>
      <c r="N216" s="366">
        <f t="shared" si="93"/>
        <v>0.19591206193604191</v>
      </c>
      <c r="O216" s="367">
        <f t="shared" si="94"/>
        <v>1.0000548527263786</v>
      </c>
      <c r="P216" s="368">
        <f t="shared" si="95"/>
        <v>5.9605783440409725E-2</v>
      </c>
      <c r="Q216" s="369">
        <f t="shared" si="96"/>
        <v>-3.6029503386858024</v>
      </c>
      <c r="R216" s="370">
        <f t="shared" si="97"/>
        <v>-142.24390597726517</v>
      </c>
      <c r="S216" s="372">
        <f t="shared" si="98"/>
        <v>37.756094022734828</v>
      </c>
      <c r="U216" s="345">
        <f t="shared" si="104"/>
        <v>12446</v>
      </c>
      <c r="V216" s="345">
        <f t="shared" si="105"/>
        <v>154902916</v>
      </c>
      <c r="X216" s="371">
        <f t="shared" si="99"/>
        <v>38.542788496054875</v>
      </c>
      <c r="Y216" s="372">
        <f t="shared" si="100"/>
        <v>-12.118389526264586</v>
      </c>
      <c r="AA216" s="371">
        <f t="shared" si="101"/>
        <v>29.895460991818567</v>
      </c>
      <c r="AB216" s="372">
        <f t="shared" si="102"/>
        <v>-130.12551645100064</v>
      </c>
      <c r="AD216">
        <f t="shared" si="106"/>
        <v>0</v>
      </c>
      <c r="AE216">
        <f t="shared" si="81"/>
        <v>0</v>
      </c>
    </row>
    <row r="217" spans="1:31" x14ac:dyDescent="0.3">
      <c r="A217" s="373">
        <v>12517.5</v>
      </c>
      <c r="B217" s="390">
        <f t="shared" si="103"/>
        <v>12.5175</v>
      </c>
      <c r="C217" s="363">
        <f t="shared" si="84"/>
        <v>92.907070856735402</v>
      </c>
      <c r="D217" s="364">
        <f t="shared" si="85"/>
        <v>1.5600326755420466</v>
      </c>
      <c r="E217" s="364">
        <f t="shared" si="86"/>
        <v>1.0044438922875167</v>
      </c>
      <c r="F217" s="365">
        <f t="shared" si="87"/>
        <v>9.4100984455319198E-2</v>
      </c>
      <c r="G217" s="364">
        <f t="shared" si="88"/>
        <v>1.3641168840175684</v>
      </c>
      <c r="H217" s="365">
        <f t="shared" si="89"/>
        <v>-0.74796423041896709</v>
      </c>
      <c r="I217" s="363">
        <f t="shared" si="90"/>
        <v>18940.217898331332</v>
      </c>
      <c r="J217" s="366">
        <f t="shared" si="91"/>
        <v>1.5707435290918379</v>
      </c>
      <c r="K217" s="374">
        <f t="shared" si="107"/>
        <v>64.280372567270589</v>
      </c>
      <c r="L217" s="375">
        <f t="shared" si="108"/>
        <v>1.5552388509998074</v>
      </c>
      <c r="M217" s="363">
        <f t="shared" si="92"/>
        <v>1.0197250857079048</v>
      </c>
      <c r="N217" s="366">
        <f t="shared" si="93"/>
        <v>0.19700872367859726</v>
      </c>
      <c r="O217" s="367">
        <f t="shared" si="94"/>
        <v>1.0000555020196182</v>
      </c>
      <c r="P217" s="368">
        <f t="shared" si="95"/>
        <v>5.9948578444422619E-2</v>
      </c>
      <c r="Q217" s="369">
        <f t="shared" si="96"/>
        <v>-3.6312310159199237</v>
      </c>
      <c r="R217" s="370">
        <f t="shared" si="97"/>
        <v>-142.4578142903836</v>
      </c>
      <c r="S217" s="372">
        <f t="shared" si="98"/>
        <v>37.542185709616405</v>
      </c>
      <c r="U217" s="345">
        <f t="shared" si="104"/>
        <v>12517.5</v>
      </c>
      <c r="V217" s="345">
        <f t="shared" si="105"/>
        <v>156687806.25</v>
      </c>
      <c r="X217" s="371">
        <f t="shared" si="99"/>
        <v>38.540880550960196</v>
      </c>
      <c r="Y217" s="372">
        <f t="shared" si="100"/>
        <v>-12.176121025338217</v>
      </c>
      <c r="AA217" s="371">
        <f t="shared" si="101"/>
        <v>29.869088259679128</v>
      </c>
      <c r="AB217" s="372">
        <f t="shared" si="102"/>
        <v>-130.28169326504539</v>
      </c>
      <c r="AD217">
        <f t="shared" si="106"/>
        <v>0</v>
      </c>
      <c r="AE217">
        <f t="shared" si="81"/>
        <v>0</v>
      </c>
    </row>
    <row r="218" spans="1:31" x14ac:dyDescent="0.3">
      <c r="A218" s="373">
        <v>12589</v>
      </c>
      <c r="B218" s="390">
        <f t="shared" si="103"/>
        <v>12.589</v>
      </c>
      <c r="C218" s="363">
        <f t="shared" si="84"/>
        <v>93.437695036104827</v>
      </c>
      <c r="D218" s="364">
        <f t="shared" si="85"/>
        <v>1.5600938036800494</v>
      </c>
      <c r="E218" s="364">
        <f t="shared" si="86"/>
        <v>1.004494690424345</v>
      </c>
      <c r="F218" s="365">
        <f t="shared" si="87"/>
        <v>9.4635295127296182E-2</v>
      </c>
      <c r="G218" s="364">
        <f t="shared" si="88"/>
        <v>1.3677269148720972</v>
      </c>
      <c r="H218" s="365">
        <f t="shared" si="89"/>
        <v>-0.75080471822487538</v>
      </c>
      <c r="I218" s="363">
        <f t="shared" si="90"/>
        <v>19048.404483189835</v>
      </c>
      <c r="J218" s="366">
        <f t="shared" si="91"/>
        <v>1.57074382895964</v>
      </c>
      <c r="K218" s="374">
        <f t="shared" si="107"/>
        <v>64.647453652302033</v>
      </c>
      <c r="L218" s="375">
        <f t="shared" si="108"/>
        <v>1.5553271965051869</v>
      </c>
      <c r="M218" s="363">
        <f t="shared" si="92"/>
        <v>1.019948858574721</v>
      </c>
      <c r="N218" s="366">
        <f t="shared" si="93"/>
        <v>0.19810490553225493</v>
      </c>
      <c r="O218" s="367">
        <f t="shared" si="94"/>
        <v>1.000056155428497</v>
      </c>
      <c r="P218" s="368">
        <f t="shared" si="95"/>
        <v>6.0291379807931998E-2</v>
      </c>
      <c r="Q218" s="369">
        <f t="shared" si="96"/>
        <v>-3.6592259836031427</v>
      </c>
      <c r="R218" s="370">
        <f t="shared" si="97"/>
        <v>-142.67085391322402</v>
      </c>
      <c r="S218" s="372">
        <f t="shared" si="98"/>
        <v>37.329146086775978</v>
      </c>
      <c r="U218" s="345">
        <f t="shared" si="104"/>
        <v>12589</v>
      </c>
      <c r="V218" s="345">
        <f t="shared" si="105"/>
        <v>158482921</v>
      </c>
      <c r="X218" s="371">
        <f t="shared" si="99"/>
        <v>38.538962785922365</v>
      </c>
      <c r="Y218" s="372">
        <f t="shared" si="100"/>
        <v>-12.23388297575991</v>
      </c>
      <c r="AA218" s="371">
        <f t="shared" si="101"/>
        <v>29.843011057033742</v>
      </c>
      <c r="AB218" s="372">
        <f t="shared" si="102"/>
        <v>-130.43697093746411</v>
      </c>
      <c r="AD218">
        <f t="shared" si="106"/>
        <v>0</v>
      </c>
      <c r="AE218">
        <f t="shared" ref="AE218:AE281" si="109">IF(AD218&gt;0,S218,0)</f>
        <v>0</v>
      </c>
    </row>
    <row r="219" spans="1:31" x14ac:dyDescent="0.3">
      <c r="A219" s="373">
        <v>12662.25</v>
      </c>
      <c r="B219" s="390">
        <f t="shared" si="103"/>
        <v>12.66225</v>
      </c>
      <c r="C219" s="363">
        <f t="shared" si="84"/>
        <v>93.981306878491864</v>
      </c>
      <c r="D219" s="364">
        <f t="shared" si="85"/>
        <v>1.5601557121459764</v>
      </c>
      <c r="E219" s="364">
        <f t="shared" si="86"/>
        <v>1.0045470292269969</v>
      </c>
      <c r="F219" s="365">
        <f t="shared" si="87"/>
        <v>9.518262713408808E-2</v>
      </c>
      <c r="G219" s="364">
        <f t="shared" si="88"/>
        <v>1.3714366858622768</v>
      </c>
      <c r="H219" s="365">
        <f t="shared" si="89"/>
        <v>-0.75369919694170395</v>
      </c>
      <c r="I219" s="363">
        <f t="shared" si="90"/>
        <v>19159.238991455732</v>
      </c>
      <c r="J219" s="366">
        <f t="shared" si="91"/>
        <v>1.5707441326549885</v>
      </c>
      <c r="K219" s="374">
        <f t="shared" si="107"/>
        <v>65.023519756678823</v>
      </c>
      <c r="L219" s="375">
        <f t="shared" si="108"/>
        <v>1.5554166699086227</v>
      </c>
      <c r="M219" s="363">
        <f t="shared" si="92"/>
        <v>1.0201793787823807</v>
      </c>
      <c r="N219" s="366">
        <f t="shared" si="93"/>
        <v>0.19922741693769611</v>
      </c>
      <c r="O219" s="367">
        <f t="shared" si="94"/>
        <v>1.0000568291049692</v>
      </c>
      <c r="P219" s="368">
        <f t="shared" si="95"/>
        <v>6.0642578047157385E-2</v>
      </c>
      <c r="Q219" s="369">
        <f t="shared" si="96"/>
        <v>-3.687614029733993</v>
      </c>
      <c r="R219" s="370">
        <f t="shared" si="97"/>
        <v>-142.88821090260254</v>
      </c>
      <c r="S219" s="372">
        <f t="shared" si="98"/>
        <v>37.111789097397462</v>
      </c>
      <c r="U219" s="345">
        <f t="shared" si="104"/>
        <v>12662.25</v>
      </c>
      <c r="V219" s="345">
        <f t="shared" si="105"/>
        <v>160332575.0625</v>
      </c>
      <c r="X219" s="371">
        <f t="shared" si="99"/>
        <v>38.536987908503207</v>
      </c>
      <c r="Y219" s="372">
        <f t="shared" si="100"/>
        <v>-12.293089093880821</v>
      </c>
      <c r="AA219" s="371">
        <f t="shared" si="101"/>
        <v>29.81659788832205</v>
      </c>
      <c r="AB219" s="372">
        <f t="shared" si="102"/>
        <v>-130.59512180872173</v>
      </c>
      <c r="AD219">
        <f t="shared" si="106"/>
        <v>0</v>
      </c>
      <c r="AE219">
        <f t="shared" si="109"/>
        <v>0</v>
      </c>
    </row>
    <row r="220" spans="1:31" x14ac:dyDescent="0.3">
      <c r="A220" s="373">
        <v>12735.5</v>
      </c>
      <c r="B220" s="390">
        <f t="shared" si="103"/>
        <v>12.7355</v>
      </c>
      <c r="C220" s="363">
        <f t="shared" si="84"/>
        <v>94.52491907693414</v>
      </c>
      <c r="D220" s="364">
        <f t="shared" si="85"/>
        <v>1.560216908541761</v>
      </c>
      <c r="E220" s="364">
        <f t="shared" si="86"/>
        <v>1.004599668932729</v>
      </c>
      <c r="F220" s="365">
        <f t="shared" si="87"/>
        <v>9.5729901945854762E-2</v>
      </c>
      <c r="G220" s="364">
        <f t="shared" si="88"/>
        <v>1.3751578847099239</v>
      </c>
      <c r="H220" s="365">
        <f t="shared" si="89"/>
        <v>-0.75657803465915252</v>
      </c>
      <c r="I220" s="363">
        <f t="shared" si="90"/>
        <v>19270.07349972337</v>
      </c>
      <c r="J220" s="366">
        <f t="shared" si="91"/>
        <v>1.5707444328568447</v>
      </c>
      <c r="K220" s="374">
        <f t="shared" si="107"/>
        <v>65.399586375614177</v>
      </c>
      <c r="L220" s="375">
        <f t="shared" si="108"/>
        <v>1.5555051143166401</v>
      </c>
      <c r="M220" s="363">
        <f t="shared" si="92"/>
        <v>1.020411183866818</v>
      </c>
      <c r="N220" s="366">
        <f t="shared" si="93"/>
        <v>0.20034941975832415</v>
      </c>
      <c r="O220" s="367">
        <f t="shared" si="94"/>
        <v>1.0000575071154791</v>
      </c>
      <c r="P220" s="368">
        <f t="shared" si="95"/>
        <v>6.0993783037554782E-2</v>
      </c>
      <c r="Q220" s="369">
        <f t="shared" si="96"/>
        <v>-3.715710615966985</v>
      </c>
      <c r="R220" s="370">
        <f t="shared" si="97"/>
        <v>-143.10466421113045</v>
      </c>
      <c r="S220" s="372">
        <f t="shared" si="98"/>
        <v>36.895335788869545</v>
      </c>
      <c r="U220" s="345">
        <f t="shared" si="104"/>
        <v>12735.5</v>
      </c>
      <c r="V220" s="345">
        <f t="shared" si="105"/>
        <v>162192960.25</v>
      </c>
      <c r="X220" s="371">
        <f t="shared" si="99"/>
        <v>38.535002743726743</v>
      </c>
      <c r="Y220" s="372">
        <f t="shared" si="100"/>
        <v>-12.352324829170705</v>
      </c>
      <c r="AA220" s="371">
        <f t="shared" si="101"/>
        <v>29.79048646686552</v>
      </c>
      <c r="AB220" s="372">
        <f t="shared" si="102"/>
        <v>-130.75233938195979</v>
      </c>
      <c r="AD220">
        <f t="shared" si="106"/>
        <v>0</v>
      </c>
      <c r="AE220">
        <f t="shared" si="109"/>
        <v>0</v>
      </c>
    </row>
    <row r="221" spans="1:31" x14ac:dyDescent="0.3">
      <c r="A221" s="373">
        <v>12808.75</v>
      </c>
      <c r="B221" s="390">
        <f t="shared" si="103"/>
        <v>12.80875</v>
      </c>
      <c r="C221" s="363">
        <f t="shared" si="84"/>
        <v>95.068531625323757</v>
      </c>
      <c r="D221" s="364">
        <f t="shared" si="85"/>
        <v>1.5602774050820325</v>
      </c>
      <c r="E221" s="364">
        <f t="shared" si="86"/>
        <v>1.0046526094942432</v>
      </c>
      <c r="F221" s="365">
        <f t="shared" si="87"/>
        <v>9.6277119243784196E-2</v>
      </c>
      <c r="G221" s="364">
        <f t="shared" si="88"/>
        <v>1.3788904188942812</v>
      </c>
      <c r="H221" s="365">
        <f t="shared" si="89"/>
        <v>-0.75944131048256369</v>
      </c>
      <c r="I221" s="363">
        <f t="shared" si="90"/>
        <v>19380.908007992726</v>
      </c>
      <c r="J221" s="366">
        <f t="shared" si="91"/>
        <v>1.5707447296251442</v>
      </c>
      <c r="K221" s="374">
        <f t="shared" si="107"/>
        <v>65.775653500282274</v>
      </c>
      <c r="L221" s="375">
        <f t="shared" si="108"/>
        <v>1.5555925473774439</v>
      </c>
      <c r="M221" s="363">
        <f t="shared" si="92"/>
        <v>1.0206442729525822</v>
      </c>
      <c r="N221" s="366">
        <f t="shared" si="93"/>
        <v>0.2014709115166724</v>
      </c>
      <c r="O221" s="367">
        <f t="shared" si="94"/>
        <v>1.0000581894674112</v>
      </c>
      <c r="P221" s="368">
        <f t="shared" si="95"/>
        <v>6.1344994817859759E-2</v>
      </c>
      <c r="Q221" s="369">
        <f t="shared" si="96"/>
        <v>-3.7435198898911386</v>
      </c>
      <c r="R221" s="370">
        <f t="shared" si="97"/>
        <v>-143.32021794186076</v>
      </c>
      <c r="S221" s="372">
        <f t="shared" si="98"/>
        <v>36.679782058139239</v>
      </c>
      <c r="U221" s="345">
        <f t="shared" si="104"/>
        <v>12808.75</v>
      </c>
      <c r="V221" s="345">
        <f t="shared" si="105"/>
        <v>164064076.5625</v>
      </c>
      <c r="X221" s="371">
        <f t="shared" si="99"/>
        <v>38.533007301591915</v>
      </c>
      <c r="Y221" s="372">
        <f t="shared" si="100"/>
        <v>-12.411589031947566</v>
      </c>
      <c r="AA221" s="371">
        <f t="shared" si="101"/>
        <v>29.764672635076195</v>
      </c>
      <c r="AB221" s="372">
        <f t="shared" si="102"/>
        <v>-130.9086289099132</v>
      </c>
      <c r="AD221">
        <f t="shared" si="106"/>
        <v>0</v>
      </c>
      <c r="AE221">
        <f t="shared" si="109"/>
        <v>0</v>
      </c>
    </row>
    <row r="222" spans="1:31" x14ac:dyDescent="0.3">
      <c r="A222" s="373">
        <v>12882</v>
      </c>
      <c r="B222" s="390">
        <f t="shared" si="103"/>
        <v>12.882</v>
      </c>
      <c r="C222" s="363">
        <f t="shared" si="84"/>
        <v>95.612144517691718</v>
      </c>
      <c r="D222" s="364">
        <f t="shared" si="85"/>
        <v>1.5603372137036502</v>
      </c>
      <c r="E222" s="364">
        <f t="shared" si="86"/>
        <v>1.0047058508639806</v>
      </c>
      <c r="F222" s="365">
        <f t="shared" si="87"/>
        <v>9.6824278709269213E-2</v>
      </c>
      <c r="G222" s="364">
        <f t="shared" si="88"/>
        <v>1.3826341966133442</v>
      </c>
      <c r="H222" s="365">
        <f t="shared" si="89"/>
        <v>-0.7622891036850471</v>
      </c>
      <c r="I222" s="363">
        <f t="shared" si="90"/>
        <v>19491.742516263766</v>
      </c>
      <c r="J222" s="366">
        <f t="shared" si="91"/>
        <v>1.5707450230184588</v>
      </c>
      <c r="K222" s="374">
        <f t="shared" si="107"/>
        <v>66.151721122057964</v>
      </c>
      <c r="L222" s="375">
        <f t="shared" si="108"/>
        <v>1.5556789863379876</v>
      </c>
      <c r="M222" s="363">
        <f t="shared" si="92"/>
        <v>1.0208786451601766</v>
      </c>
      <c r="N222" s="366">
        <f t="shared" si="93"/>
        <v>0.20259188974267284</v>
      </c>
      <c r="O222" s="367">
        <f t="shared" si="94"/>
        <v>1.000058876168193</v>
      </c>
      <c r="P222" s="368">
        <f t="shared" si="95"/>
        <v>6.1696213426802329E-2</v>
      </c>
      <c r="Q222" s="369">
        <f t="shared" si="96"/>
        <v>-3.7710459293497172</v>
      </c>
      <c r="R222" s="370">
        <f t="shared" si="97"/>
        <v>-143.53487621486744</v>
      </c>
      <c r="S222" s="372">
        <f t="shared" si="98"/>
        <v>36.465123785132562</v>
      </c>
      <c r="U222" s="345">
        <f t="shared" si="104"/>
        <v>12882</v>
      </c>
      <c r="V222" s="345">
        <f t="shared" si="105"/>
        <v>165945924</v>
      </c>
      <c r="X222" s="371">
        <f t="shared" si="99"/>
        <v>38.531001592293201</v>
      </c>
      <c r="Y222" s="372">
        <f t="shared" si="100"/>
        <v>-12.470880575865209</v>
      </c>
      <c r="AA222" s="371">
        <f t="shared" si="101"/>
        <v>29.739152304916328</v>
      </c>
      <c r="AB222" s="372">
        <f t="shared" si="102"/>
        <v>-131.06399563900223</v>
      </c>
      <c r="AD222">
        <f t="shared" si="106"/>
        <v>0</v>
      </c>
      <c r="AE222">
        <f t="shared" si="109"/>
        <v>0</v>
      </c>
    </row>
    <row r="223" spans="1:31" x14ac:dyDescent="0.3">
      <c r="A223" s="373">
        <v>12957.25</v>
      </c>
      <c r="B223" s="390">
        <f t="shared" si="103"/>
        <v>12.95725</v>
      </c>
      <c r="C223" s="363">
        <f t="shared" si="84"/>
        <v>96.170600434953812</v>
      </c>
      <c r="D223" s="364">
        <f t="shared" si="85"/>
        <v>1.560397951233756</v>
      </c>
      <c r="E223" s="364">
        <f t="shared" si="86"/>
        <v>1.0047608591128838</v>
      </c>
      <c r="F223" s="365">
        <f t="shared" si="87"/>
        <v>9.7386317125202113E-2</v>
      </c>
      <c r="G223" s="364">
        <f t="shared" si="88"/>
        <v>1.3864918060230513</v>
      </c>
      <c r="H223" s="365">
        <f t="shared" si="89"/>
        <v>-0.76519861329952832</v>
      </c>
      <c r="I223" s="363">
        <f t="shared" si="90"/>
        <v>19605.603222714584</v>
      </c>
      <c r="J223" s="366">
        <f t="shared" si="91"/>
        <v>1.5707453209681912</v>
      </c>
      <c r="K223" s="374">
        <f t="shared" si="107"/>
        <v>66.538057310561257</v>
      </c>
      <c r="L223" s="375">
        <f t="shared" si="108"/>
        <v>1.5557667679325975</v>
      </c>
      <c r="M223" s="363">
        <f t="shared" si="92"/>
        <v>1.0211207518316625</v>
      </c>
      <c r="N223" s="366">
        <f t="shared" si="93"/>
        <v>0.20374293753917927</v>
      </c>
      <c r="O223" s="367">
        <f t="shared" si="94"/>
        <v>1.0000595861549146</v>
      </c>
      <c r="P223" s="368">
        <f t="shared" si="95"/>
        <v>6.2057028773883118E-2</v>
      </c>
      <c r="Q223" s="369">
        <f t="shared" si="96"/>
        <v>-3.7990328056768963</v>
      </c>
      <c r="R223" s="370">
        <f t="shared" si="97"/>
        <v>-143.75446734515782</v>
      </c>
      <c r="S223" s="372">
        <f t="shared" si="98"/>
        <v>36.245532654842179</v>
      </c>
      <c r="U223" s="345">
        <f t="shared" si="104"/>
        <v>12957.25</v>
      </c>
      <c r="V223" s="345">
        <f t="shared" si="105"/>
        <v>167890327.5625</v>
      </c>
      <c r="X223" s="371">
        <f t="shared" si="99"/>
        <v>38.528930439025665</v>
      </c>
      <c r="Y223" s="372">
        <f t="shared" si="100"/>
        <v>-12.531818313064594</v>
      </c>
      <c r="AA223" s="371">
        <f t="shared" si="101"/>
        <v>29.713236581856684</v>
      </c>
      <c r="AB223" s="372">
        <f t="shared" si="102"/>
        <v>-131.22264903209324</v>
      </c>
      <c r="AD223">
        <f t="shared" si="106"/>
        <v>0</v>
      </c>
      <c r="AE223">
        <f t="shared" si="109"/>
        <v>0</v>
      </c>
    </row>
    <row r="224" spans="1:31" x14ac:dyDescent="0.3">
      <c r="A224" s="373">
        <v>13032.5</v>
      </c>
      <c r="B224" s="390">
        <f t="shared" si="103"/>
        <v>13.032500000000001</v>
      </c>
      <c r="C224" s="363">
        <f t="shared" si="84"/>
        <v>96.729056702897267</v>
      </c>
      <c r="D224" s="364">
        <f t="shared" si="85"/>
        <v>1.5604579874390492</v>
      </c>
      <c r="E224" s="364">
        <f t="shared" si="86"/>
        <v>1.004816184718053</v>
      </c>
      <c r="F224" s="365">
        <f t="shared" si="87"/>
        <v>9.7948293826493019E-2</v>
      </c>
      <c r="G224" s="364">
        <f t="shared" si="88"/>
        <v>1.3903610872400043</v>
      </c>
      <c r="H224" s="365">
        <f t="shared" si="89"/>
        <v>-0.76809195335512015</v>
      </c>
      <c r="I224" s="363">
        <f t="shared" si="90"/>
        <v>19719.463929167123</v>
      </c>
      <c r="J224" s="366">
        <f t="shared" si="91"/>
        <v>1.5707456154771844</v>
      </c>
      <c r="K224" s="374">
        <f t="shared" si="107"/>
        <v>66.924394005861203</v>
      </c>
      <c r="L224" s="375">
        <f t="shared" si="108"/>
        <v>1.5558535360483552</v>
      </c>
      <c r="M224" s="363">
        <f t="shared" si="92"/>
        <v>1.0213642107548633</v>
      </c>
      <c r="N224" s="366">
        <f t="shared" si="93"/>
        <v>0.20489343811712393</v>
      </c>
      <c r="O224" s="367">
        <f t="shared" si="94"/>
        <v>1.0000603007472371</v>
      </c>
      <c r="P224" s="368">
        <f t="shared" si="95"/>
        <v>6.241785141043267E-2</v>
      </c>
      <c r="Q224" s="369">
        <f t="shared" si="96"/>
        <v>-3.8267292742190717</v>
      </c>
      <c r="R224" s="370">
        <f t="shared" si="97"/>
        <v>-143.97312231626566</v>
      </c>
      <c r="S224" s="372">
        <f t="shared" si="98"/>
        <v>36.026877683734341</v>
      </c>
      <c r="U224" s="345">
        <f t="shared" si="104"/>
        <v>13032.5</v>
      </c>
      <c r="V224" s="345">
        <f t="shared" si="105"/>
        <v>169846056.25</v>
      </c>
      <c r="X224" s="371">
        <f t="shared" si="99"/>
        <v>38.526848472700401</v>
      </c>
      <c r="Y224" s="372">
        <f t="shared" si="100"/>
        <v>-12.592782567870966</v>
      </c>
      <c r="AA224" s="371">
        <f t="shared" si="101"/>
        <v>29.687622079639773</v>
      </c>
      <c r="AB224" s="372">
        <f t="shared" si="102"/>
        <v>-131.38033974839468</v>
      </c>
      <c r="AD224">
        <f t="shared" si="106"/>
        <v>0</v>
      </c>
      <c r="AE224">
        <f t="shared" si="109"/>
        <v>0</v>
      </c>
    </row>
    <row r="225" spans="1:31" x14ac:dyDescent="0.3">
      <c r="A225" s="373">
        <v>13107.75</v>
      </c>
      <c r="B225" s="390">
        <f t="shared" si="103"/>
        <v>13.107749999999999</v>
      </c>
      <c r="C225" s="363">
        <f t="shared" si="84"/>
        <v>97.287513315483082</v>
      </c>
      <c r="D225" s="364">
        <f t="shared" si="85"/>
        <v>1.5605173343964751</v>
      </c>
      <c r="E225" s="364">
        <f t="shared" si="86"/>
        <v>1.0048718276270698</v>
      </c>
      <c r="F225" s="365">
        <f t="shared" si="87"/>
        <v>9.8510208468400445E-2</v>
      </c>
      <c r="G225" s="364">
        <f t="shared" si="88"/>
        <v>1.3942419430898856</v>
      </c>
      <c r="H225" s="365">
        <f t="shared" si="89"/>
        <v>-0.77096921023076226</v>
      </c>
      <c r="I225" s="363">
        <f t="shared" si="90"/>
        <v>19833.324635621357</v>
      </c>
      <c r="J225" s="366">
        <f t="shared" si="91"/>
        <v>1.5707459066046967</v>
      </c>
      <c r="K225" s="374">
        <f t="shared" si="107"/>
        <v>67.310731199231398</v>
      </c>
      <c r="L225" s="375">
        <f t="shared" si="108"/>
        <v>1.5559393081348558</v>
      </c>
      <c r="M225" s="363">
        <f t="shared" si="92"/>
        <v>1.0216090209630166</v>
      </c>
      <c r="N225" s="366">
        <f t="shared" si="93"/>
        <v>0.20604338882309806</v>
      </c>
      <c r="O225" s="367">
        <f t="shared" si="94"/>
        <v>1.0000610199533533</v>
      </c>
      <c r="P225" s="368">
        <f t="shared" si="95"/>
        <v>6.2778681378422338E-2</v>
      </c>
      <c r="Q225" s="369">
        <f t="shared" si="96"/>
        <v>-3.854139535381508</v>
      </c>
      <c r="R225" s="370">
        <f t="shared" si="97"/>
        <v>-144.19084564303253</v>
      </c>
      <c r="S225" s="372">
        <f t="shared" si="98"/>
        <v>35.809154356967468</v>
      </c>
      <c r="U225" s="345">
        <f t="shared" si="104"/>
        <v>13107.75</v>
      </c>
      <c r="V225" s="345">
        <f t="shared" si="105"/>
        <v>171813110.0625</v>
      </c>
      <c r="X225" s="371">
        <f t="shared" si="99"/>
        <v>38.524755704983036</v>
      </c>
      <c r="Y225" s="372">
        <f t="shared" si="100"/>
        <v>-12.653772191862309</v>
      </c>
      <c r="AA225" s="371">
        <f t="shared" si="101"/>
        <v>29.662304586194701</v>
      </c>
      <c r="AB225" s="372">
        <f t="shared" si="102"/>
        <v>-131.53707345117027</v>
      </c>
      <c r="AD225">
        <f t="shared" si="106"/>
        <v>0</v>
      </c>
      <c r="AE225">
        <f t="shared" si="109"/>
        <v>0</v>
      </c>
    </row>
    <row r="226" spans="1:31" x14ac:dyDescent="0.3">
      <c r="A226" s="373">
        <v>13183</v>
      </c>
      <c r="B226" s="390">
        <f t="shared" si="103"/>
        <v>13.183</v>
      </c>
      <c r="C226" s="363">
        <f t="shared" si="84"/>
        <v>97.845970266810099</v>
      </c>
      <c r="D226" s="364">
        <f t="shared" si="85"/>
        <v>1.5605760039072814</v>
      </c>
      <c r="E226" s="364">
        <f t="shared" si="86"/>
        <v>1.0049277877872267</v>
      </c>
      <c r="F226" s="365">
        <f t="shared" si="87"/>
        <v>9.9072060706415749E-2</v>
      </c>
      <c r="G226" s="364">
        <f t="shared" si="88"/>
        <v>1.3981342771882181</v>
      </c>
      <c r="H226" s="365">
        <f t="shared" si="89"/>
        <v>-0.77383047041295816</v>
      </c>
      <c r="I226" s="363">
        <f t="shared" si="90"/>
        <v>19947.18534207725</v>
      </c>
      <c r="J226" s="366">
        <f t="shared" si="91"/>
        <v>1.5707461944086341</v>
      </c>
      <c r="K226" s="374">
        <f t="shared" si="107"/>
        <v>67.697068882144578</v>
      </c>
      <c r="L226" s="375">
        <f t="shared" si="108"/>
        <v>1.5560241012434246</v>
      </c>
      <c r="M226" s="363">
        <f t="shared" si="92"/>
        <v>1.0218551814849233</v>
      </c>
      <c r="N226" s="366">
        <f t="shared" si="93"/>
        <v>0.20719278701204569</v>
      </c>
      <c r="O226" s="367">
        <f t="shared" si="94"/>
        <v>1.0000617437815034</v>
      </c>
      <c r="P226" s="368">
        <f t="shared" si="95"/>
        <v>6.313951871981717E-2</v>
      </c>
      <c r="Q226" s="369">
        <f t="shared" si="96"/>
        <v>-3.8812677180418769</v>
      </c>
      <c r="R226" s="370">
        <f t="shared" si="97"/>
        <v>-144.40764185387349</v>
      </c>
      <c r="S226" s="372">
        <f t="shared" si="98"/>
        <v>35.592358146126514</v>
      </c>
      <c r="U226" s="345">
        <f t="shared" si="104"/>
        <v>13183</v>
      </c>
      <c r="V226" s="345">
        <f t="shared" si="105"/>
        <v>173791489</v>
      </c>
      <c r="X226" s="371">
        <f t="shared" si="99"/>
        <v>38.522652147736245</v>
      </c>
      <c r="Y226" s="372">
        <f t="shared" si="100"/>
        <v>-12.714786059836847</v>
      </c>
      <c r="AA226" s="371">
        <f t="shared" si="101"/>
        <v>29.637279960781129</v>
      </c>
      <c r="AB226" s="372">
        <f t="shared" si="102"/>
        <v>-131.6928557940366</v>
      </c>
      <c r="AD226">
        <f t="shared" si="106"/>
        <v>0</v>
      </c>
      <c r="AE226">
        <f t="shared" si="109"/>
        <v>0</v>
      </c>
    </row>
    <row r="227" spans="1:31" x14ac:dyDescent="0.3">
      <c r="A227" s="373">
        <v>13259.75</v>
      </c>
      <c r="B227" s="390">
        <f t="shared" si="103"/>
        <v>13.25975</v>
      </c>
      <c r="C227" s="363">
        <f t="shared" si="84"/>
        <v>98.415559593346885</v>
      </c>
      <c r="D227" s="364">
        <f t="shared" si="85"/>
        <v>1.5606351570310111</v>
      </c>
      <c r="E227" s="364">
        <f t="shared" si="86"/>
        <v>1.0049851901774323</v>
      </c>
      <c r="F227" s="365">
        <f t="shared" si="87"/>
        <v>9.9645048017637544E-2</v>
      </c>
      <c r="G227" s="364">
        <f t="shared" si="88"/>
        <v>1.4021159239486778</v>
      </c>
      <c r="H227" s="365">
        <f t="shared" si="89"/>
        <v>-0.77673237727783129</v>
      </c>
      <c r="I227" s="363">
        <f t="shared" si="90"/>
        <v>20063.315697168495</v>
      </c>
      <c r="J227" s="366">
        <f t="shared" si="91"/>
        <v>1.5707464845845907</v>
      </c>
      <c r="K227" s="374">
        <f t="shared" si="107"/>
        <v>68.091108144075264</v>
      </c>
      <c r="L227" s="375">
        <f t="shared" si="108"/>
        <v>1.5561095934139153</v>
      </c>
      <c r="M227" s="363">
        <f t="shared" si="92"/>
        <v>1.0221076388062578</v>
      </c>
      <c r="N227" s="366">
        <f t="shared" si="93"/>
        <v>0.20836452491152019</v>
      </c>
      <c r="O227" s="367">
        <f t="shared" si="94"/>
        <v>1.0000624868078685</v>
      </c>
      <c r="P227" s="368">
        <f t="shared" si="95"/>
        <v>6.3507556470982843E-2</v>
      </c>
      <c r="Q227" s="369">
        <f t="shared" si="96"/>
        <v>-3.9086503014358587</v>
      </c>
      <c r="R227" s="370">
        <f t="shared" si="97"/>
        <v>-144.62780927119528</v>
      </c>
      <c r="S227" s="372">
        <f t="shared" si="98"/>
        <v>35.372190728804725</v>
      </c>
      <c r="U227" s="345">
        <f t="shared" si="104"/>
        <v>13259.75</v>
      </c>
      <c r="V227" s="345">
        <f t="shared" si="105"/>
        <v>175820970.0625</v>
      </c>
      <c r="X227" s="371">
        <f t="shared" si="99"/>
        <v>38.520495557333476</v>
      </c>
      <c r="Y227" s="372">
        <f t="shared" si="100"/>
        <v>-12.777039981550505</v>
      </c>
      <c r="AA227" s="371">
        <f t="shared" si="101"/>
        <v>29.612053967789915</v>
      </c>
      <c r="AB227" s="372">
        <f t="shared" si="102"/>
        <v>-131.85076928964477</v>
      </c>
      <c r="AD227">
        <f t="shared" si="106"/>
        <v>0</v>
      </c>
      <c r="AE227">
        <f t="shared" si="109"/>
        <v>0</v>
      </c>
    </row>
    <row r="228" spans="1:31" x14ac:dyDescent="0.3">
      <c r="A228" s="373">
        <v>13336.5</v>
      </c>
      <c r="B228" s="390">
        <f t="shared" si="103"/>
        <v>13.336499999999999</v>
      </c>
      <c r="C228" s="363">
        <f t="shared" si="84"/>
        <v>98.985149260285624</v>
      </c>
      <c r="D228" s="364">
        <f t="shared" si="85"/>
        <v>1.5606936293859941</v>
      </c>
      <c r="E228" s="364">
        <f t="shared" si="86"/>
        <v>1.0050429224810535</v>
      </c>
      <c r="F228" s="365">
        <f t="shared" si="87"/>
        <v>0.10021796968914945</v>
      </c>
      <c r="G228" s="364">
        <f t="shared" si="88"/>
        <v>1.4061093110895397</v>
      </c>
      <c r="H228" s="365">
        <f t="shared" si="89"/>
        <v>-0.77961782534405044</v>
      </c>
      <c r="I228" s="363">
        <f t="shared" si="90"/>
        <v>20179.446052261414</v>
      </c>
      <c r="J228" s="366">
        <f t="shared" si="91"/>
        <v>1.5707467714206897</v>
      </c>
      <c r="K228" s="374">
        <f t="shared" si="107"/>
        <v>68.485147897950938</v>
      </c>
      <c r="L228" s="375">
        <f t="shared" si="108"/>
        <v>1.5561941018005081</v>
      </c>
      <c r="M228" s="363">
        <f t="shared" si="92"/>
        <v>1.0223614987562315</v>
      </c>
      <c r="N228" s="366">
        <f t="shared" si="93"/>
        <v>0.2095356825158565</v>
      </c>
      <c r="O228" s="367">
        <f t="shared" si="94"/>
        <v>1.000063234659837</v>
      </c>
      <c r="P228" s="368">
        <f t="shared" si="95"/>
        <v>6.3875601980599259E-2</v>
      </c>
      <c r="Q228" s="369">
        <f t="shared" si="96"/>
        <v>-3.9357479034487324</v>
      </c>
      <c r="R228" s="370">
        <f t="shared" si="97"/>
        <v>-144.84702179588933</v>
      </c>
      <c r="S228" s="372">
        <f t="shared" si="98"/>
        <v>35.152978204110667</v>
      </c>
      <c r="U228" s="345">
        <f t="shared" si="104"/>
        <v>13336.5</v>
      </c>
      <c r="V228" s="345">
        <f t="shared" si="105"/>
        <v>177862232.25</v>
      </c>
      <c r="X228" s="371">
        <f t="shared" si="99"/>
        <v>38.518327768499013</v>
      </c>
      <c r="Y228" s="372">
        <f t="shared" si="100"/>
        <v>-12.839316830107451</v>
      </c>
      <c r="AA228" s="371">
        <f t="shared" si="101"/>
        <v>29.587124154611505</v>
      </c>
      <c r="AB228" s="372">
        <f t="shared" si="102"/>
        <v>-132.0077049657819</v>
      </c>
      <c r="AD228">
        <f t="shared" si="106"/>
        <v>0</v>
      </c>
      <c r="AE228">
        <f t="shared" si="109"/>
        <v>0</v>
      </c>
    </row>
    <row r="229" spans="1:31" x14ac:dyDescent="0.3">
      <c r="A229" s="373">
        <v>13413.25</v>
      </c>
      <c r="B229" s="390">
        <f t="shared" si="103"/>
        <v>13.41325</v>
      </c>
      <c r="C229" s="363">
        <f t="shared" si="84"/>
        <v>99.55473926178361</v>
      </c>
      <c r="D229" s="364">
        <f t="shared" si="85"/>
        <v>1.5607514326566267</v>
      </c>
      <c r="E229" s="364">
        <f t="shared" si="86"/>
        <v>1.0051009846412404</v>
      </c>
      <c r="F229" s="365">
        <f t="shared" si="87"/>
        <v>0.10079082535618415</v>
      </c>
      <c r="G229" s="364">
        <f t="shared" si="88"/>
        <v>1.4101143388659514</v>
      </c>
      <c r="H229" s="365">
        <f t="shared" si="89"/>
        <v>-0.78248690659963127</v>
      </c>
      <c r="I229" s="363">
        <f t="shared" si="90"/>
        <v>20295.576407355969</v>
      </c>
      <c r="J229" s="366">
        <f t="shared" si="91"/>
        <v>1.5707470549742628</v>
      </c>
      <c r="K229" s="374">
        <f t="shared" si="107"/>
        <v>68.879188135328761</v>
      </c>
      <c r="L229" s="375">
        <f t="shared" si="108"/>
        <v>1.5562776432859144</v>
      </c>
      <c r="M229" s="363">
        <f t="shared" si="92"/>
        <v>1.0226167602902563</v>
      </c>
      <c r="N229" s="366">
        <f t="shared" si="93"/>
        <v>0.21070625704567933</v>
      </c>
      <c r="O229" s="367">
        <f t="shared" si="94"/>
        <v>1.0000639873463044</v>
      </c>
      <c r="P229" s="368">
        <f t="shared" si="95"/>
        <v>6.424365529317079E-2</v>
      </c>
      <c r="Q229" s="369">
        <f t="shared" si="96"/>
        <v>-3.9625646841919466</v>
      </c>
      <c r="R229" s="370">
        <f t="shared" si="97"/>
        <v>-145.06528426812719</v>
      </c>
      <c r="S229" s="372">
        <f t="shared" si="98"/>
        <v>34.934715731872814</v>
      </c>
      <c r="U229" s="345">
        <f t="shared" si="104"/>
        <v>13413.25</v>
      </c>
      <c r="V229" s="345">
        <f t="shared" si="105"/>
        <v>179915275.5625</v>
      </c>
      <c r="X229" s="371">
        <f t="shared" si="99"/>
        <v>38.516148794422307</v>
      </c>
      <c r="Y229" s="372">
        <f t="shared" si="100"/>
        <v>-12.901615482237956</v>
      </c>
      <c r="AA229" s="371">
        <f t="shared" si="101"/>
        <v>29.562486347944997</v>
      </c>
      <c r="AB229" s="372">
        <f t="shared" si="102"/>
        <v>-132.16366878588923</v>
      </c>
      <c r="AD229">
        <f t="shared" si="106"/>
        <v>0</v>
      </c>
      <c r="AE229">
        <f t="shared" si="109"/>
        <v>0</v>
      </c>
    </row>
    <row r="230" spans="1:31" x14ac:dyDescent="0.3">
      <c r="A230" s="373">
        <v>13490</v>
      </c>
      <c r="B230" s="390">
        <f t="shared" si="103"/>
        <v>13.49</v>
      </c>
      <c r="C230" s="363">
        <f t="shared" si="84"/>
        <v>100.12432959213109</v>
      </c>
      <c r="D230" s="364">
        <f t="shared" si="85"/>
        <v>1.5608085782614418</v>
      </c>
      <c r="E230" s="364">
        <f t="shared" si="86"/>
        <v>1.0051593766008315</v>
      </c>
      <c r="F230" s="365">
        <f t="shared" si="87"/>
        <v>0.10136361465423169</v>
      </c>
      <c r="G230" s="364">
        <f t="shared" si="88"/>
        <v>1.4141309083739142</v>
      </c>
      <c r="H230" s="365">
        <f t="shared" si="89"/>
        <v>-0.78533971306984018</v>
      </c>
      <c r="I230" s="363">
        <f t="shared" si="90"/>
        <v>20411.706762452141</v>
      </c>
      <c r="J230" s="366">
        <f t="shared" si="91"/>
        <v>1.5707473353013366</v>
      </c>
      <c r="K230" s="374">
        <f t="shared" si="107"/>
        <v>69.273228847957938</v>
      </c>
      <c r="L230" s="375">
        <f t="shared" si="108"/>
        <v>1.556360234368771</v>
      </c>
      <c r="M230" s="363">
        <f t="shared" si="92"/>
        <v>1.0228734223590219</v>
      </c>
      <c r="N230" s="366">
        <f t="shared" si="93"/>
        <v>0.21187624573077196</v>
      </c>
      <c r="O230" s="367">
        <f t="shared" si="94"/>
        <v>1.0000647448762174</v>
      </c>
      <c r="P230" s="368">
        <f t="shared" si="95"/>
        <v>6.4611716453194815E-2</v>
      </c>
      <c r="Q230" s="369">
        <f t="shared" si="96"/>
        <v>-3.989104732520353</v>
      </c>
      <c r="R230" s="370">
        <f t="shared" si="97"/>
        <v>-145.28260153742238</v>
      </c>
      <c r="S230" s="372">
        <f t="shared" si="98"/>
        <v>34.71739846257762</v>
      </c>
      <c r="U230" s="345">
        <f t="shared" si="104"/>
        <v>13490</v>
      </c>
      <c r="V230" s="345">
        <f t="shared" si="105"/>
        <v>181980100</v>
      </c>
      <c r="X230" s="371">
        <f t="shared" si="99"/>
        <v>38.513958648486209</v>
      </c>
      <c r="Y230" s="372">
        <f t="shared" si="100"/>
        <v>-12.963934837128148</v>
      </c>
      <c r="AA230" s="371">
        <f t="shared" si="101"/>
        <v>29.538136445552684</v>
      </c>
      <c r="AB230" s="372">
        <f t="shared" si="102"/>
        <v>-132.31866670029422</v>
      </c>
      <c r="AD230">
        <f t="shared" si="106"/>
        <v>0</v>
      </c>
      <c r="AE230">
        <f t="shared" si="109"/>
        <v>0</v>
      </c>
    </row>
    <row r="231" spans="1:31" x14ac:dyDescent="0.3">
      <c r="A231" s="373">
        <v>13568.5</v>
      </c>
      <c r="B231" s="390">
        <f t="shared" si="103"/>
        <v>13.5685</v>
      </c>
      <c r="C231" s="363">
        <f t="shared" si="84"/>
        <v>100.706907658514</v>
      </c>
      <c r="D231" s="364">
        <f t="shared" si="85"/>
        <v>1.5608663581613031</v>
      </c>
      <c r="E231" s="364">
        <f t="shared" si="86"/>
        <v>1.0052194410781945</v>
      </c>
      <c r="F231" s="365">
        <f t="shared" si="87"/>
        <v>0.10194939525872472</v>
      </c>
      <c r="G231" s="364">
        <f t="shared" si="88"/>
        <v>1.4182508981689816</v>
      </c>
      <c r="H231" s="365">
        <f t="shared" si="89"/>
        <v>-0.78824082753868807</v>
      </c>
      <c r="I231" s="363">
        <f t="shared" si="90"/>
        <v>20530.485040956053</v>
      </c>
      <c r="J231" s="366">
        <f t="shared" si="91"/>
        <v>1.5707476187396119</v>
      </c>
      <c r="K231" s="374">
        <f t="shared" si="107"/>
        <v>69.676254685468265</v>
      </c>
      <c r="L231" s="375">
        <f t="shared" si="108"/>
        <v>1.5564437422864463</v>
      </c>
      <c r="M231" s="363">
        <f t="shared" si="92"/>
        <v>1.0231373843585534</v>
      </c>
      <c r="N231" s="366">
        <f t="shared" si="93"/>
        <v>0.213072302770412</v>
      </c>
      <c r="O231" s="367">
        <f t="shared" si="94"/>
        <v>1.0000655246985384</v>
      </c>
      <c r="P231" s="368">
        <f t="shared" si="95"/>
        <v>6.498817805148982E-2</v>
      </c>
      <c r="Q231" s="369">
        <f t="shared" si="96"/>
        <v>-4.0159678481386472</v>
      </c>
      <c r="R231" s="370">
        <f t="shared" si="97"/>
        <v>-145.50390121040678</v>
      </c>
      <c r="S231" s="372">
        <f t="shared" si="98"/>
        <v>34.496098789593219</v>
      </c>
      <c r="U231" s="345">
        <f t="shared" si="104"/>
        <v>13568.5</v>
      </c>
      <c r="V231" s="345">
        <f t="shared" si="105"/>
        <v>184104192.25</v>
      </c>
      <c r="X231" s="371">
        <f t="shared" si="99"/>
        <v>38.511707021653464</v>
      </c>
      <c r="Y231" s="372">
        <f t="shared" si="100"/>
        <v>-13.027695446207501</v>
      </c>
      <c r="AA231" s="371">
        <f t="shared" si="101"/>
        <v>29.513524956767142</v>
      </c>
      <c r="AB231" s="372">
        <f t="shared" si="102"/>
        <v>-132.47620576419928</v>
      </c>
      <c r="AD231">
        <f t="shared" si="106"/>
        <v>0</v>
      </c>
      <c r="AE231">
        <f t="shared" si="109"/>
        <v>0</v>
      </c>
    </row>
    <row r="232" spans="1:31" x14ac:dyDescent="0.3">
      <c r="A232" s="373">
        <v>13647</v>
      </c>
      <c r="B232" s="390">
        <f t="shared" si="103"/>
        <v>13.647</v>
      </c>
      <c r="C232" s="363">
        <f t="shared" si="84"/>
        <v>101.28948605724112</v>
      </c>
      <c r="D232" s="364">
        <f t="shared" si="85"/>
        <v>1.5609234734055664</v>
      </c>
      <c r="E232" s="364">
        <f t="shared" si="86"/>
        <v>1.0052798504441796</v>
      </c>
      <c r="F232" s="365">
        <f t="shared" si="87"/>
        <v>0.10253510566261756</v>
      </c>
      <c r="G232" s="364">
        <f t="shared" si="88"/>
        <v>1.4223827554148725</v>
      </c>
      <c r="H232" s="365">
        <f t="shared" si="89"/>
        <v>-0.79112511136238561</v>
      </c>
      <c r="I232" s="363">
        <f t="shared" si="90"/>
        <v>20649.263319461596</v>
      </c>
      <c r="J232" s="366">
        <f t="shared" si="91"/>
        <v>1.5707478989171113</v>
      </c>
      <c r="K232" s="374">
        <f t="shared" si="107"/>
        <v>70.079281003282247</v>
      </c>
      <c r="L232" s="375">
        <f t="shared" si="108"/>
        <v>1.5565262896957344</v>
      </c>
      <c r="M232" s="363">
        <f t="shared" si="92"/>
        <v>1.0234028092535208</v>
      </c>
      <c r="N232" s="366">
        <f t="shared" si="93"/>
        <v>0.21426774111209868</v>
      </c>
      <c r="O232" s="367">
        <f t="shared" si="94"/>
        <v>1.000066309606793</v>
      </c>
      <c r="P232" s="368">
        <f t="shared" si="95"/>
        <v>6.5364647953319713E-2</v>
      </c>
      <c r="Q232" s="369">
        <f t="shared" si="96"/>
        <v>-4.0425498982003321</v>
      </c>
      <c r="R232" s="370">
        <f t="shared" si="97"/>
        <v>-145.72422237191802</v>
      </c>
      <c r="S232" s="372">
        <f t="shared" si="98"/>
        <v>34.275777628081983</v>
      </c>
      <c r="U232" s="345">
        <f t="shared" si="104"/>
        <v>13647</v>
      </c>
      <c r="V232" s="345">
        <f t="shared" si="105"/>
        <v>186240609</v>
      </c>
      <c r="X232" s="371">
        <f t="shared" si="99"/>
        <v>38.509443736606507</v>
      </c>
      <c r="Y232" s="372">
        <f t="shared" si="100"/>
        <v>-13.091475452753439</v>
      </c>
      <c r="AA232" s="371">
        <f t="shared" si="101"/>
        <v>29.489206191752409</v>
      </c>
      <c r="AB232" s="372">
        <f t="shared" si="102"/>
        <v>-132.63274691916462</v>
      </c>
      <c r="AD232">
        <f t="shared" si="106"/>
        <v>0</v>
      </c>
      <c r="AE232">
        <f t="shared" si="109"/>
        <v>0</v>
      </c>
    </row>
    <row r="233" spans="1:31" x14ac:dyDescent="0.3">
      <c r="A233" s="373">
        <v>13725.5</v>
      </c>
      <c r="B233" s="390">
        <f t="shared" si="103"/>
        <v>13.7255</v>
      </c>
      <c r="C233" s="363">
        <f t="shared" si="84"/>
        <v>101.87206478261065</v>
      </c>
      <c r="D233" s="364">
        <f t="shared" si="85"/>
        <v>1.560979935396811</v>
      </c>
      <c r="E233" s="364">
        <f t="shared" si="86"/>
        <v>1.0053406046366158</v>
      </c>
      <c r="F233" s="365">
        <f t="shared" si="87"/>
        <v>0.10312074547673762</v>
      </c>
      <c r="G233" s="364">
        <f t="shared" si="88"/>
        <v>1.4265263769912833</v>
      </c>
      <c r="H233" s="365">
        <f t="shared" si="89"/>
        <v>-0.79399266300664373</v>
      </c>
      <c r="I233" s="363">
        <f t="shared" si="90"/>
        <v>20768.041597968742</v>
      </c>
      <c r="J233" s="366">
        <f t="shared" si="91"/>
        <v>1.5707481758897828</v>
      </c>
      <c r="K233" s="374">
        <f t="shared" si="107"/>
        <v>70.482307793160601</v>
      </c>
      <c r="L233" s="375">
        <f t="shared" si="108"/>
        <v>1.5566078930724272</v>
      </c>
      <c r="M233" s="363">
        <f t="shared" si="92"/>
        <v>1.0236696959059914</v>
      </c>
      <c r="N233" s="366">
        <f t="shared" si="93"/>
        <v>0.21546255782169155</v>
      </c>
      <c r="O233" s="367">
        <f t="shared" si="94"/>
        <v>1.000067099610721</v>
      </c>
      <c r="P233" s="368">
        <f t="shared" si="95"/>
        <v>6.5741126206272524E-2</v>
      </c>
      <c r="Q233" s="369">
        <f t="shared" si="96"/>
        <v>-4.0688550357194764</v>
      </c>
      <c r="R233" s="370">
        <f t="shared" si="97"/>
        <v>-145.94357023306844</v>
      </c>
      <c r="S233" s="372">
        <f t="shared" si="98"/>
        <v>34.056429766931558</v>
      </c>
      <c r="U233" s="345">
        <f t="shared" si="104"/>
        <v>13725.5</v>
      </c>
      <c r="V233" s="345">
        <f t="shared" si="105"/>
        <v>188389350.25</v>
      </c>
      <c r="X233" s="371">
        <f t="shared" si="99"/>
        <v>38.50716880826338</v>
      </c>
      <c r="Y233" s="372">
        <f t="shared" si="100"/>
        <v>-13.155273747864312</v>
      </c>
      <c r="AA233" s="371">
        <f t="shared" si="101"/>
        <v>29.46517598257639</v>
      </c>
      <c r="AB233" s="372">
        <f t="shared" si="102"/>
        <v>-132.78829648520411</v>
      </c>
      <c r="AD233">
        <f t="shared" si="106"/>
        <v>0</v>
      </c>
      <c r="AE233">
        <f t="shared" si="109"/>
        <v>0</v>
      </c>
    </row>
    <row r="234" spans="1:31" x14ac:dyDescent="0.3">
      <c r="A234" s="373">
        <v>13804</v>
      </c>
      <c r="B234" s="390">
        <f t="shared" si="103"/>
        <v>13.804</v>
      </c>
      <c r="C234" s="363">
        <f t="shared" si="84"/>
        <v>102.45464382905054</v>
      </c>
      <c r="D234" s="364">
        <f t="shared" si="85"/>
        <v>1.5610357552782839</v>
      </c>
      <c r="E234" s="364">
        <f t="shared" si="86"/>
        <v>1.0054017035929919</v>
      </c>
      <c r="F234" s="365">
        <f t="shared" si="87"/>
        <v>0.10370631431219977</v>
      </c>
      <c r="G234" s="364">
        <f t="shared" si="88"/>
        <v>1.4306816606806487</v>
      </c>
      <c r="H234" s="365">
        <f t="shared" si="89"/>
        <v>-0.79684358089878493</v>
      </c>
      <c r="I234" s="363">
        <f t="shared" si="90"/>
        <v>20886.819876477461</v>
      </c>
      <c r="J234" s="366">
        <f t="shared" si="91"/>
        <v>1.5707484497123012</v>
      </c>
      <c r="K234" s="374">
        <f t="shared" si="107"/>
        <v>70.885335047051385</v>
      </c>
      <c r="L234" s="375">
        <f t="shared" si="108"/>
        <v>1.5566885685176675</v>
      </c>
      <c r="M234" s="363">
        <f t="shared" si="92"/>
        <v>1.0239380431729563</v>
      </c>
      <c r="N234" s="366">
        <f t="shared" si="93"/>
        <v>0.21665674997520037</v>
      </c>
      <c r="O234" s="367">
        <f t="shared" si="94"/>
        <v>1.0000678947201174</v>
      </c>
      <c r="P234" s="368">
        <f t="shared" si="95"/>
        <v>6.6117612857928568E-2</v>
      </c>
      <c r="Q234" s="369">
        <f t="shared" si="96"/>
        <v>-4.0948873419293763</v>
      </c>
      <c r="R234" s="370">
        <f t="shared" si="97"/>
        <v>-146.1619500098696</v>
      </c>
      <c r="S234" s="372">
        <f t="shared" si="98"/>
        <v>33.838049990130401</v>
      </c>
      <c r="U234" s="345">
        <f t="shared" si="104"/>
        <v>13804</v>
      </c>
      <c r="V234" s="345">
        <f t="shared" si="105"/>
        <v>190550416</v>
      </c>
      <c r="X234" s="371">
        <f t="shared" si="99"/>
        <v>38.504882251734578</v>
      </c>
      <c r="Y234" s="372">
        <f t="shared" si="100"/>
        <v>-13.219089244612961</v>
      </c>
      <c r="AA234" s="371">
        <f t="shared" si="101"/>
        <v>29.441430232895293</v>
      </c>
      <c r="AB234" s="372">
        <f t="shared" si="102"/>
        <v>-132.94286076525663</v>
      </c>
      <c r="AD234">
        <f t="shared" si="106"/>
        <v>0</v>
      </c>
      <c r="AE234">
        <f t="shared" si="109"/>
        <v>0</v>
      </c>
    </row>
    <row r="235" spans="1:31" x14ac:dyDescent="0.3">
      <c r="A235" s="373">
        <v>13884.25</v>
      </c>
      <c r="B235" s="390">
        <f t="shared" si="103"/>
        <v>13.88425</v>
      </c>
      <c r="C235" s="363">
        <f t="shared" si="84"/>
        <v>103.05021063267795</v>
      </c>
      <c r="D235" s="364">
        <f t="shared" si="85"/>
        <v>1.5610921671512443</v>
      </c>
      <c r="E235" s="364">
        <f t="shared" si="86"/>
        <v>1.0054645209409003</v>
      </c>
      <c r="F235" s="365">
        <f t="shared" si="87"/>
        <v>0.10430486345552525</v>
      </c>
      <c r="G235" s="364">
        <f t="shared" si="88"/>
        <v>1.434941527562962</v>
      </c>
      <c r="H235" s="365">
        <f t="shared" si="89"/>
        <v>-0.79974096261516014</v>
      </c>
      <c r="I235" s="363">
        <f t="shared" si="90"/>
        <v>21008.24607839403</v>
      </c>
      <c r="J235" s="366">
        <f t="shared" si="91"/>
        <v>1.5707487264385105</v>
      </c>
      <c r="K235" s="374">
        <f t="shared" si="107"/>
        <v>71.297347456395784</v>
      </c>
      <c r="L235" s="375">
        <f t="shared" si="108"/>
        <v>1.5567700996545553</v>
      </c>
      <c r="M235" s="363">
        <f t="shared" si="92"/>
        <v>1.0242138813278923</v>
      </c>
      <c r="N235" s="366">
        <f t="shared" si="93"/>
        <v>0.21787691561637273</v>
      </c>
      <c r="O235" s="367">
        <f t="shared" si="94"/>
        <v>1.0000687128426038</v>
      </c>
      <c r="P235" s="368">
        <f t="shared" si="95"/>
        <v>6.6502501255290863E-2</v>
      </c>
      <c r="Q235" s="369">
        <f t="shared" si="96"/>
        <v>-4.1212221401817084</v>
      </c>
      <c r="R235" s="370">
        <f t="shared" si="97"/>
        <v>-146.3842028641013</v>
      </c>
      <c r="S235" s="372">
        <f t="shared" si="98"/>
        <v>33.615797135898703</v>
      </c>
      <c r="U235" s="345">
        <f t="shared" si="104"/>
        <v>13884.25</v>
      </c>
      <c r="V235" s="345">
        <f t="shared" si="105"/>
        <v>192772398.0625</v>
      </c>
      <c r="X235" s="371">
        <f t="shared" si="99"/>
        <v>38.502532717032423</v>
      </c>
      <c r="Y235" s="372">
        <f t="shared" si="100"/>
        <v>-13.284344051434873</v>
      </c>
      <c r="AA235" s="371">
        <f t="shared" si="101"/>
        <v>29.417444969345116</v>
      </c>
      <c r="AB235" s="372">
        <f t="shared" si="102"/>
        <v>-133.09985881266641</v>
      </c>
      <c r="AD235">
        <f t="shared" si="106"/>
        <v>0</v>
      </c>
      <c r="AE235">
        <f t="shared" si="109"/>
        <v>0</v>
      </c>
    </row>
    <row r="236" spans="1:31" x14ac:dyDescent="0.3">
      <c r="A236" s="373">
        <v>13964.5</v>
      </c>
      <c r="B236" s="390">
        <f t="shared" si="103"/>
        <v>13.964499999999999</v>
      </c>
      <c r="C236" s="363">
        <f t="shared" si="84"/>
        <v>103.64577776047321</v>
      </c>
      <c r="D236" s="364">
        <f t="shared" si="85"/>
        <v>1.5611479307190106</v>
      </c>
      <c r="E236" s="364">
        <f t="shared" si="86"/>
        <v>1.0055276984625285</v>
      </c>
      <c r="F236" s="365">
        <f t="shared" si="87"/>
        <v>0.10490333759929545</v>
      </c>
      <c r="G236" s="364">
        <f t="shared" si="88"/>
        <v>1.4392133691541353</v>
      </c>
      <c r="H236" s="365">
        <f t="shared" si="89"/>
        <v>-0.8026211685011625</v>
      </c>
      <c r="I236" s="363">
        <f t="shared" si="90"/>
        <v>21129.672280312185</v>
      </c>
      <c r="J236" s="366">
        <f t="shared" si="91"/>
        <v>1.5707489999841866</v>
      </c>
      <c r="K236" s="374">
        <f t="shared" si="107"/>
        <v>71.709360334230823</v>
      </c>
      <c r="L236" s="375">
        <f t="shared" si="108"/>
        <v>1.5568506939023352</v>
      </c>
      <c r="M236" s="363">
        <f t="shared" si="92"/>
        <v>1.0244912435143083</v>
      </c>
      <c r="N236" s="366">
        <f t="shared" si="93"/>
        <v>0.21909642239746391</v>
      </c>
      <c r="O236" s="367">
        <f t="shared" si="94"/>
        <v>1.0000695363216099</v>
      </c>
      <c r="P236" s="368">
        <f t="shared" si="95"/>
        <v>6.6887398530528705E-2</v>
      </c>
      <c r="Q236" s="369">
        <f t="shared" si="96"/>
        <v>-4.1472802093607983</v>
      </c>
      <c r="R236" s="370">
        <f t="shared" si="97"/>
        <v>-146.60545502407192</v>
      </c>
      <c r="S236" s="372">
        <f t="shared" si="98"/>
        <v>33.394544975928085</v>
      </c>
      <c r="U236" s="345">
        <f t="shared" si="104"/>
        <v>13964.5</v>
      </c>
      <c r="V236" s="345">
        <f t="shared" si="105"/>
        <v>195007260.25</v>
      </c>
      <c r="X236" s="371">
        <f t="shared" si="99"/>
        <v>38.500171062443712</v>
      </c>
      <c r="Y236" s="372">
        <f t="shared" si="100"/>
        <v>-13.349614605915486</v>
      </c>
      <c r="AA236" s="371">
        <f t="shared" si="101"/>
        <v>29.393748554754737</v>
      </c>
      <c r="AB236" s="372">
        <f t="shared" si="102"/>
        <v>-133.25584041815642</v>
      </c>
      <c r="AD236">
        <f t="shared" si="106"/>
        <v>0</v>
      </c>
      <c r="AE236">
        <f t="shared" si="109"/>
        <v>0</v>
      </c>
    </row>
    <row r="237" spans="1:31" x14ac:dyDescent="0.3">
      <c r="A237" s="373">
        <v>14044.75</v>
      </c>
      <c r="B237" s="390">
        <f t="shared" si="103"/>
        <v>14.044750000000001</v>
      </c>
      <c r="C237" s="363">
        <f t="shared" si="84"/>
        <v>104.24134520688008</v>
      </c>
      <c r="D237" s="364">
        <f t="shared" si="85"/>
        <v>1.5612030570932189</v>
      </c>
      <c r="E237" s="364">
        <f t="shared" si="86"/>
        <v>1.0055912360899912</v>
      </c>
      <c r="F237" s="365">
        <f t="shared" si="87"/>
        <v>0.10550173632897421</v>
      </c>
      <c r="G237" s="364">
        <f t="shared" si="88"/>
        <v>1.4434970791413992</v>
      </c>
      <c r="H237" s="365">
        <f t="shared" si="89"/>
        <v>-0.8054843034710506</v>
      </c>
      <c r="I237" s="363">
        <f t="shared" si="90"/>
        <v>21251.098482231904</v>
      </c>
      <c r="J237" s="366">
        <f t="shared" si="91"/>
        <v>1.570749270403849</v>
      </c>
      <c r="K237" s="374">
        <f t="shared" si="107"/>
        <v>72.121373672527355</v>
      </c>
      <c r="L237" s="375">
        <f t="shared" si="108"/>
        <v>1.5569303673166672</v>
      </c>
      <c r="M237" s="363">
        <f t="shared" si="92"/>
        <v>1.0247701284947313</v>
      </c>
      <c r="N237" s="366">
        <f t="shared" si="93"/>
        <v>0.22031526722763642</v>
      </c>
      <c r="O237" s="367">
        <f t="shared" si="94"/>
        <v>1.0000703651677836</v>
      </c>
      <c r="P237" s="368">
        <f t="shared" si="95"/>
        <v>6.7272304734450186E-2</v>
      </c>
      <c r="Q237" s="369">
        <f t="shared" si="96"/>
        <v>-4.1730656866030902</v>
      </c>
      <c r="R237" s="370">
        <f t="shared" si="97"/>
        <v>-146.82571207034792</v>
      </c>
      <c r="S237" s="372">
        <f t="shared" si="98"/>
        <v>33.174287929652081</v>
      </c>
      <c r="U237" s="345">
        <f t="shared" si="104"/>
        <v>14044.75</v>
      </c>
      <c r="V237" s="345">
        <f t="shared" si="105"/>
        <v>197255002.5625</v>
      </c>
      <c r="X237" s="371">
        <f t="shared" si="99"/>
        <v>38.49779730470776</v>
      </c>
      <c r="Y237" s="372">
        <f t="shared" si="100"/>
        <v>-13.414899814165052</v>
      </c>
      <c r="AA237" s="371">
        <f t="shared" si="101"/>
        <v>29.370336835248402</v>
      </c>
      <c r="AB237" s="372">
        <f t="shared" si="102"/>
        <v>-133.41081225618291</v>
      </c>
      <c r="AD237">
        <f t="shared" si="106"/>
        <v>0</v>
      </c>
      <c r="AE237">
        <f t="shared" si="109"/>
        <v>0</v>
      </c>
    </row>
    <row r="238" spans="1:31" x14ac:dyDescent="0.3">
      <c r="A238" s="373">
        <v>14125</v>
      </c>
      <c r="B238" s="390">
        <f t="shared" si="103"/>
        <v>14.125</v>
      </c>
      <c r="C238" s="363">
        <f t="shared" si="84"/>
        <v>104.83691296646859</v>
      </c>
      <c r="D238" s="364">
        <f t="shared" si="85"/>
        <v>1.5612575571330256</v>
      </c>
      <c r="E238" s="364">
        <f t="shared" si="86"/>
        <v>1.0056551337550339</v>
      </c>
      <c r="F238" s="365">
        <f t="shared" si="87"/>
        <v>0.10610005923034595</v>
      </c>
      <c r="G238" s="364">
        <f t="shared" si="88"/>
        <v>1.4477925521765849</v>
      </c>
      <c r="H238" s="365">
        <f t="shared" si="89"/>
        <v>-0.8083304723186775</v>
      </c>
      <c r="I238" s="363">
        <f t="shared" si="90"/>
        <v>21372.524684153163</v>
      </c>
      <c r="J238" s="366">
        <f t="shared" si="91"/>
        <v>1.5707495377507783</v>
      </c>
      <c r="K238" s="374">
        <f t="shared" si="107"/>
        <v>72.533387463438686</v>
      </c>
      <c r="L238" s="375">
        <f t="shared" si="108"/>
        <v>1.557009135588453</v>
      </c>
      <c r="M238" s="363">
        <f t="shared" si="92"/>
        <v>1.0250505350262433</v>
      </c>
      <c r="N238" s="366">
        <f t="shared" si="93"/>
        <v>0.22153344702727448</v>
      </c>
      <c r="O238" s="367">
        <f t="shared" si="94"/>
        <v>1.0000711993918332</v>
      </c>
      <c r="P238" s="368">
        <f t="shared" si="95"/>
        <v>6.7657219917854686E-2</v>
      </c>
      <c r="Q238" s="369">
        <f t="shared" si="96"/>
        <v>-4.1985826368987453</v>
      </c>
      <c r="R238" s="370">
        <f t="shared" si="97"/>
        <v>-147.04497958358348</v>
      </c>
      <c r="S238" s="372">
        <f t="shared" si="98"/>
        <v>32.955020416416517</v>
      </c>
      <c r="U238" s="345">
        <f t="shared" si="104"/>
        <v>14125</v>
      </c>
      <c r="V238" s="345">
        <f t="shared" si="105"/>
        <v>199515625</v>
      </c>
      <c r="X238" s="371">
        <f t="shared" si="99"/>
        <v>38.495411460755555</v>
      </c>
      <c r="Y238" s="372">
        <f t="shared" si="100"/>
        <v>-13.480198603764865</v>
      </c>
      <c r="AA238" s="371">
        <f t="shared" si="101"/>
        <v>29.347205728904946</v>
      </c>
      <c r="AB238" s="372">
        <f t="shared" si="102"/>
        <v>-133.56478097981864</v>
      </c>
      <c r="AD238">
        <f t="shared" si="106"/>
        <v>0</v>
      </c>
      <c r="AE238">
        <f t="shared" si="109"/>
        <v>0</v>
      </c>
    </row>
    <row r="239" spans="1:31" x14ac:dyDescent="0.3">
      <c r="A239" s="373">
        <v>14207.25</v>
      </c>
      <c r="B239" s="390">
        <f t="shared" si="103"/>
        <v>14.20725</v>
      </c>
      <c r="C239" s="363">
        <f t="shared" si="84"/>
        <v>105.44732385569917</v>
      </c>
      <c r="D239" s="364">
        <f t="shared" si="85"/>
        <v>1.5613127765898054</v>
      </c>
      <c r="E239" s="364">
        <f t="shared" si="86"/>
        <v>1.0057209974221843</v>
      </c>
      <c r="F239" s="365">
        <f t="shared" si="87"/>
        <v>0.10671321448627559</v>
      </c>
      <c r="G239" s="364">
        <f t="shared" si="88"/>
        <v>1.4522071747226561</v>
      </c>
      <c r="H239" s="365">
        <f t="shared" si="89"/>
        <v>-0.81123007758563814</v>
      </c>
      <c r="I239" s="363">
        <f t="shared" si="90"/>
        <v>21496.977084254708</v>
      </c>
      <c r="J239" s="366">
        <f t="shared" si="91"/>
        <v>1.5707498086264844</v>
      </c>
      <c r="K239" s="374">
        <f t="shared" si="107"/>
        <v>72.955669972473316</v>
      </c>
      <c r="L239" s="375">
        <f t="shared" si="108"/>
        <v>1.5570889437161639</v>
      </c>
      <c r="M239" s="363">
        <f t="shared" si="92"/>
        <v>1.0253395074803731</v>
      </c>
      <c r="N239" s="366">
        <f t="shared" si="93"/>
        <v>0.22278129313967263</v>
      </c>
      <c r="O239" s="367">
        <f t="shared" si="94"/>
        <v>1.0000720599983708</v>
      </c>
      <c r="P239" s="368">
        <f t="shared" si="95"/>
        <v>6.8051737374122304E-2</v>
      </c>
      <c r="Q239" s="369">
        <f t="shared" si="96"/>
        <v>-4.2244610537884464</v>
      </c>
      <c r="R239" s="370">
        <f t="shared" si="97"/>
        <v>-147.26869071341599</v>
      </c>
      <c r="S239" s="372">
        <f t="shared" si="98"/>
        <v>32.731309286584008</v>
      </c>
      <c r="U239" s="345">
        <f t="shared" si="104"/>
        <v>14207.25</v>
      </c>
      <c r="V239" s="345">
        <f t="shared" si="105"/>
        <v>201845952.5625</v>
      </c>
      <c r="X239" s="371">
        <f t="shared" si="99"/>
        <v>38.492953632639477</v>
      </c>
      <c r="Y239" s="372">
        <f t="shared" si="100"/>
        <v>-13.547137770709631</v>
      </c>
      <c r="AA239" s="371">
        <f t="shared" si="101"/>
        <v>29.323785140131328</v>
      </c>
      <c r="AB239" s="372">
        <f t="shared" si="102"/>
        <v>-133.72155294270635</v>
      </c>
      <c r="AD239">
        <f t="shared" si="106"/>
        <v>0</v>
      </c>
      <c r="AE239">
        <f t="shared" si="109"/>
        <v>0</v>
      </c>
    </row>
    <row r="240" spans="1:31" x14ac:dyDescent="0.3">
      <c r="A240" s="373">
        <v>14289.5</v>
      </c>
      <c r="B240" s="390">
        <f t="shared" si="103"/>
        <v>14.2895</v>
      </c>
      <c r="C240" s="363">
        <f t="shared" si="84"/>
        <v>106.0577350627574</v>
      </c>
      <c r="D240" s="364">
        <f t="shared" si="85"/>
        <v>1.561367360419839</v>
      </c>
      <c r="E240" s="364">
        <f t="shared" si="86"/>
        <v>1.0057872391499614</v>
      </c>
      <c r="F240" s="365">
        <f t="shared" si="87"/>
        <v>0.10732628920715347</v>
      </c>
      <c r="G240" s="364">
        <f t="shared" si="88"/>
        <v>1.4566339329387223</v>
      </c>
      <c r="H240" s="365">
        <f t="shared" si="89"/>
        <v>-0.81411208297054138</v>
      </c>
      <c r="I240" s="363">
        <f t="shared" si="90"/>
        <v>21621.429484357814</v>
      </c>
      <c r="J240" s="366">
        <f t="shared" si="91"/>
        <v>1.5707500763838829</v>
      </c>
      <c r="K240" s="374">
        <f t="shared" si="107"/>
        <v>73.377952940838867</v>
      </c>
      <c r="L240" s="375">
        <f t="shared" si="108"/>
        <v>1.5571678332683776</v>
      </c>
      <c r="M240" s="363">
        <f t="shared" si="92"/>
        <v>1.0256300756099503</v>
      </c>
      <c r="N240" s="366">
        <f t="shared" si="93"/>
        <v>0.22402843414614945</v>
      </c>
      <c r="O240" s="367">
        <f t="shared" si="94"/>
        <v>1.0000729262771562</v>
      </c>
      <c r="P240" s="368">
        <f t="shared" si="95"/>
        <v>6.8446264371053056E-2</v>
      </c>
      <c r="Q240" s="369">
        <f t="shared" si="96"/>
        <v>-4.2500658130618421</v>
      </c>
      <c r="R240" s="370">
        <f t="shared" si="97"/>
        <v>-147.49137423875376</v>
      </c>
      <c r="S240" s="372">
        <f t="shared" si="98"/>
        <v>32.508625761246236</v>
      </c>
      <c r="U240" s="345">
        <f t="shared" si="104"/>
        <v>14289.5</v>
      </c>
      <c r="V240" s="345">
        <f t="shared" si="105"/>
        <v>204189810.25</v>
      </c>
      <c r="X240" s="371">
        <f t="shared" si="99"/>
        <v>38.490483144985184</v>
      </c>
      <c r="Y240" s="372">
        <f t="shared" si="100"/>
        <v>-13.614088989894292</v>
      </c>
      <c r="AA240" s="371">
        <f t="shared" si="101"/>
        <v>29.300650868512225</v>
      </c>
      <c r="AB240" s="372">
        <f t="shared" si="102"/>
        <v>-133.87728524885947</v>
      </c>
      <c r="AD240">
        <f t="shared" si="106"/>
        <v>0</v>
      </c>
      <c r="AE240">
        <f t="shared" si="109"/>
        <v>0</v>
      </c>
    </row>
    <row r="241" spans="1:31" x14ac:dyDescent="0.3">
      <c r="A241" s="373">
        <v>14371.75</v>
      </c>
      <c r="B241" s="390">
        <f t="shared" si="103"/>
        <v>14.37175</v>
      </c>
      <c r="C241" s="363">
        <f t="shared" si="84"/>
        <v>106.66814658218698</v>
      </c>
      <c r="D241" s="364">
        <f t="shared" si="85"/>
        <v>1.5614213195349749</v>
      </c>
      <c r="E241" s="364">
        <f t="shared" si="86"/>
        <v>1.0058538588636723</v>
      </c>
      <c r="F241" s="365">
        <f t="shared" si="87"/>
        <v>0.10793928294807521</v>
      </c>
      <c r="G241" s="364">
        <f t="shared" si="88"/>
        <v>1.4610727165188264</v>
      </c>
      <c r="H241" s="365">
        <f t="shared" si="89"/>
        <v>-0.81697660078688894</v>
      </c>
      <c r="I241" s="363">
        <f t="shared" si="90"/>
        <v>21745.881884462451</v>
      </c>
      <c r="J241" s="366">
        <f t="shared" si="91"/>
        <v>1.5707503410765125</v>
      </c>
      <c r="K241" s="374">
        <f t="shared" si="107"/>
        <v>73.800236360650473</v>
      </c>
      <c r="L241" s="375">
        <f t="shared" si="108"/>
        <v>1.5572458200123132</v>
      </c>
      <c r="M241" s="363">
        <f t="shared" si="92"/>
        <v>1.0259222380591642</v>
      </c>
      <c r="N241" s="366">
        <f t="shared" si="93"/>
        <v>0.2252748667679651</v>
      </c>
      <c r="O241" s="367">
        <f t="shared" si="94"/>
        <v>1.0000737982399195</v>
      </c>
      <c r="P241" s="368">
        <f t="shared" si="95"/>
        <v>6.8840800963310772E-2</v>
      </c>
      <c r="Q241" s="369">
        <f t="shared" si="96"/>
        <v>-4.2754010649729572</v>
      </c>
      <c r="R241" s="370">
        <f t="shared" si="97"/>
        <v>-147.71303616032696</v>
      </c>
      <c r="S241" s="372">
        <f t="shared" si="98"/>
        <v>32.286963839673035</v>
      </c>
      <c r="U241" s="345">
        <f t="shared" si="104"/>
        <v>14371.75</v>
      </c>
      <c r="V241" s="345">
        <f t="shared" si="105"/>
        <v>206547198.0625</v>
      </c>
      <c r="X241" s="371">
        <f t="shared" si="99"/>
        <v>38.488000016620404</v>
      </c>
      <c r="Y241" s="372">
        <f t="shared" si="100"/>
        <v>-13.681051173133346</v>
      </c>
      <c r="AA241" s="371">
        <f t="shared" si="101"/>
        <v>29.277798744965892</v>
      </c>
      <c r="AB241" s="372">
        <f t="shared" si="102"/>
        <v>-134.03198498719362</v>
      </c>
      <c r="AD241">
        <f t="shared" si="106"/>
        <v>0</v>
      </c>
      <c r="AE241">
        <f t="shared" si="109"/>
        <v>0</v>
      </c>
    </row>
    <row r="242" spans="1:31" x14ac:dyDescent="0.3">
      <c r="A242" s="373">
        <v>14454</v>
      </c>
      <c r="B242" s="390">
        <f t="shared" si="103"/>
        <v>14.454000000000001</v>
      </c>
      <c r="C242" s="363">
        <f t="shared" si="84"/>
        <v>107.27855840865573</v>
      </c>
      <c r="D242" s="364">
        <f t="shared" si="85"/>
        <v>1.5614746645987243</v>
      </c>
      <c r="E242" s="364">
        <f t="shared" si="86"/>
        <v>1.0059208564882176</v>
      </c>
      <c r="F242" s="365">
        <f t="shared" si="87"/>
        <v>0.10855219526449746</v>
      </c>
      <c r="G242" s="364">
        <f t="shared" si="88"/>
        <v>1.4655234161955508</v>
      </c>
      <c r="H242" s="365">
        <f t="shared" si="89"/>
        <v>-0.81982374313730955</v>
      </c>
      <c r="I242" s="363">
        <f t="shared" si="90"/>
        <v>21870.334284568595</v>
      </c>
      <c r="J242" s="366">
        <f t="shared" si="91"/>
        <v>1.5707506027566933</v>
      </c>
      <c r="K242" s="374">
        <f t="shared" si="107"/>
        <v>74.222520224202754</v>
      </c>
      <c r="L242" s="375">
        <f t="shared" si="108"/>
        <v>1.5573229193564084</v>
      </c>
      <c r="M242" s="363">
        <f t="shared" si="92"/>
        <v>1.0262159934663113</v>
      </c>
      <c r="N242" s="366">
        <f t="shared" si="93"/>
        <v>0.22652058773890765</v>
      </c>
      <c r="O242" s="367">
        <f t="shared" si="94"/>
        <v>1.0000746758984587</v>
      </c>
      <c r="P242" s="368">
        <f t="shared" si="95"/>
        <v>6.9235347205549441E-2</v>
      </c>
      <c r="Q242" s="369">
        <f t="shared" si="96"/>
        <v>-4.3004708865434882</v>
      </c>
      <c r="R242" s="370">
        <f t="shared" si="97"/>
        <v>-147.93368247373832</v>
      </c>
      <c r="S242" s="372">
        <f t="shared" si="98"/>
        <v>32.066317526261685</v>
      </c>
      <c r="U242" s="345">
        <f t="shared" si="104"/>
        <v>14454</v>
      </c>
      <c r="V242" s="345">
        <f t="shared" si="105"/>
        <v>208918116</v>
      </c>
      <c r="X242" s="371">
        <f t="shared" si="99"/>
        <v>38.485504266566124</v>
      </c>
      <c r="Y242" s="372">
        <f t="shared" si="100"/>
        <v>-13.748023253445872</v>
      </c>
      <c r="AA242" s="371">
        <f t="shared" si="101"/>
        <v>29.255224673449632</v>
      </c>
      <c r="AB242" s="372">
        <f t="shared" si="102"/>
        <v>-134.18565922029242</v>
      </c>
      <c r="AD242">
        <f t="shared" si="106"/>
        <v>0</v>
      </c>
      <c r="AE242">
        <f t="shared" si="109"/>
        <v>0</v>
      </c>
    </row>
    <row r="243" spans="1:31" x14ac:dyDescent="0.3">
      <c r="A243" s="373">
        <v>14622.5</v>
      </c>
      <c r="B243" s="390">
        <f t="shared" si="103"/>
        <v>14.6225</v>
      </c>
      <c r="C243" s="363">
        <f t="shared" si="84"/>
        <v>108.52906868010105</v>
      </c>
      <c r="D243" s="364">
        <f t="shared" si="85"/>
        <v>1.5615820751413292</v>
      </c>
      <c r="E243" s="364">
        <f t="shared" si="86"/>
        <v>1.0060592897878033</v>
      </c>
      <c r="F243" s="365">
        <f t="shared" si="87"/>
        <v>0.10980757104231473</v>
      </c>
      <c r="G243" s="364">
        <f t="shared" si="88"/>
        <v>1.4746780190904418</v>
      </c>
      <c r="H243" s="365">
        <f t="shared" si="89"/>
        <v>-0.82560270242145084</v>
      </c>
      <c r="I243" s="363">
        <f t="shared" si="90"/>
        <v>22125.291481143224</v>
      </c>
      <c r="J243" s="366">
        <f t="shared" si="91"/>
        <v>1.5707511296502086</v>
      </c>
      <c r="K243" s="374">
        <f t="shared" si="107"/>
        <v>75.087625906720262</v>
      </c>
      <c r="L243" s="375">
        <f t="shared" si="108"/>
        <v>1.5574781595096854</v>
      </c>
      <c r="M243" s="363">
        <f t="shared" si="92"/>
        <v>1.0268227589183205</v>
      </c>
      <c r="N243" s="366">
        <f t="shared" si="93"/>
        <v>0.22907037584063683</v>
      </c>
      <c r="O243" s="367">
        <f t="shared" si="94"/>
        <v>1.0000764917346543</v>
      </c>
      <c r="P243" s="368">
        <f t="shared" si="95"/>
        <v>7.0043657714103577E-2</v>
      </c>
      <c r="Q243" s="369">
        <f t="shared" si="96"/>
        <v>-4.3510176566554053</v>
      </c>
      <c r="R243" s="370">
        <f t="shared" si="97"/>
        <v>-148.38255934894397</v>
      </c>
      <c r="S243" s="372">
        <f t="shared" si="98"/>
        <v>31.617440651056029</v>
      </c>
      <c r="U243" s="345">
        <f t="shared" si="104"/>
        <v>14622.5</v>
      </c>
      <c r="V243" s="345">
        <f t="shared" si="105"/>
        <v>213817506.25</v>
      </c>
      <c r="X243" s="371">
        <f t="shared" si="99"/>
        <v>38.480352059209785</v>
      </c>
      <c r="Y243" s="372">
        <f t="shared" si="100"/>
        <v>-13.885250933665375</v>
      </c>
      <c r="AA243" s="371">
        <f t="shared" si="101"/>
        <v>29.20983011069406</v>
      </c>
      <c r="AB243" s="372">
        <f t="shared" si="102"/>
        <v>-134.49730841527858</v>
      </c>
      <c r="AD243">
        <f t="shared" si="106"/>
        <v>0</v>
      </c>
      <c r="AE243">
        <f t="shared" si="109"/>
        <v>0</v>
      </c>
    </row>
    <row r="244" spans="1:31" x14ac:dyDescent="0.3">
      <c r="A244" s="373">
        <v>14706.75</v>
      </c>
      <c r="B244" s="390">
        <f t="shared" si="103"/>
        <v>14.70675</v>
      </c>
      <c r="C244" s="363">
        <f t="shared" si="84"/>
        <v>109.15432427729336</v>
      </c>
      <c r="D244" s="364">
        <f t="shared" si="85"/>
        <v>1.5616348575126555</v>
      </c>
      <c r="E244" s="364">
        <f t="shared" si="86"/>
        <v>1.0061291008837294</v>
      </c>
      <c r="F244" s="365">
        <f t="shared" si="87"/>
        <v>0.11043512889136446</v>
      </c>
      <c r="G244" s="364">
        <f t="shared" si="88"/>
        <v>1.4792736172675514</v>
      </c>
      <c r="H244" s="365">
        <f t="shared" si="89"/>
        <v>-0.82846531163724368</v>
      </c>
      <c r="I244" s="363">
        <f t="shared" si="90"/>
        <v>22252.770079432805</v>
      </c>
      <c r="J244" s="366">
        <f t="shared" si="91"/>
        <v>1.5707513885693738</v>
      </c>
      <c r="K244" s="374">
        <f t="shared" si="107"/>
        <v>75.520179414909308</v>
      </c>
      <c r="L244" s="375">
        <f t="shared" si="108"/>
        <v>1.5575544458444794</v>
      </c>
      <c r="M244" s="363">
        <f t="shared" si="92"/>
        <v>1.0271286428486224</v>
      </c>
      <c r="N244" s="366">
        <f t="shared" si="93"/>
        <v>0.2303441360557881</v>
      </c>
      <c r="O244" s="367">
        <f t="shared" si="94"/>
        <v>1.0000774086677768</v>
      </c>
      <c r="P244" s="368">
        <f t="shared" si="95"/>
        <v>7.044782838864265E-2</v>
      </c>
      <c r="Q244" s="369">
        <f t="shared" si="96"/>
        <v>-4.375890096269142</v>
      </c>
      <c r="R244" s="370">
        <f t="shared" si="97"/>
        <v>-148.6054248748687</v>
      </c>
      <c r="S244" s="372">
        <f t="shared" si="98"/>
        <v>31.394575125131297</v>
      </c>
      <c r="U244" s="345">
        <f t="shared" si="104"/>
        <v>14706.75</v>
      </c>
      <c r="V244" s="345">
        <f t="shared" si="105"/>
        <v>216288495.5625</v>
      </c>
      <c r="X244" s="371">
        <f t="shared" si="99"/>
        <v>38.47775617362268</v>
      </c>
      <c r="Y244" s="372">
        <f t="shared" si="100"/>
        <v>-13.953875968140819</v>
      </c>
      <c r="AA244" s="371">
        <f t="shared" si="101"/>
        <v>29.187553556667428</v>
      </c>
      <c r="AB244" s="372">
        <f t="shared" si="102"/>
        <v>-134.6515489067279</v>
      </c>
      <c r="AD244">
        <f t="shared" si="106"/>
        <v>0</v>
      </c>
      <c r="AE244">
        <f t="shared" si="109"/>
        <v>0</v>
      </c>
    </row>
    <row r="245" spans="1:31" x14ac:dyDescent="0.3">
      <c r="A245" s="373">
        <v>14791</v>
      </c>
      <c r="B245" s="390">
        <f t="shared" si="103"/>
        <v>14.791</v>
      </c>
      <c r="C245" s="363">
        <f t="shared" si="84"/>
        <v>109.77958017512324</v>
      </c>
      <c r="D245" s="364">
        <f t="shared" si="85"/>
        <v>1.5616870386340769</v>
      </c>
      <c r="E245" s="364">
        <f t="shared" si="86"/>
        <v>1.0061993081672518</v>
      </c>
      <c r="F245" s="365">
        <f t="shared" si="87"/>
        <v>0.11106259941214447</v>
      </c>
      <c r="G245" s="364">
        <f t="shared" si="88"/>
        <v>1.4838812622575333</v>
      </c>
      <c r="H245" s="365">
        <f t="shared" si="89"/>
        <v>-0.83131016649447032</v>
      </c>
      <c r="I245" s="363">
        <f t="shared" si="90"/>
        <v>22380.248677723859</v>
      </c>
      <c r="J245" s="366">
        <f t="shared" si="91"/>
        <v>1.5707516445389158</v>
      </c>
      <c r="K245" s="374">
        <f t="shared" si="107"/>
        <v>75.952733357590063</v>
      </c>
      <c r="L245" s="375">
        <f t="shared" si="108"/>
        <v>1.5576298632720749</v>
      </c>
      <c r="M245" s="363">
        <f t="shared" si="92"/>
        <v>1.027436192265434</v>
      </c>
      <c r="N245" s="366">
        <f t="shared" si="93"/>
        <v>0.23161713576880769</v>
      </c>
      <c r="O245" s="367">
        <f t="shared" si="94"/>
        <v>1.00007833162819</v>
      </c>
      <c r="P245" s="368">
        <f t="shared" si="95"/>
        <v>7.0852009421619788E-2</v>
      </c>
      <c r="Q245" s="369">
        <f t="shared" si="96"/>
        <v>-4.4005007015461715</v>
      </c>
      <c r="R245" s="370">
        <f t="shared" si="97"/>
        <v>-148.82725034108438</v>
      </c>
      <c r="S245" s="372">
        <f t="shared" si="98"/>
        <v>31.17274965891562</v>
      </c>
      <c r="U245" s="345">
        <f t="shared" si="104"/>
        <v>14791</v>
      </c>
      <c r="V245" s="345">
        <f t="shared" si="105"/>
        <v>218773681</v>
      </c>
      <c r="X245" s="371">
        <f t="shared" si="99"/>
        <v>38.475147128352333</v>
      </c>
      <c r="Y245" s="372">
        <f t="shared" si="100"/>
        <v>-14.022507044768121</v>
      </c>
      <c r="AA245" s="371">
        <f t="shared" si="101"/>
        <v>29.165551996660749</v>
      </c>
      <c r="AB245" s="372">
        <f t="shared" si="102"/>
        <v>-134.80474329631627</v>
      </c>
      <c r="AD245">
        <f t="shared" si="106"/>
        <v>0</v>
      </c>
      <c r="AE245">
        <f t="shared" si="109"/>
        <v>0</v>
      </c>
    </row>
    <row r="246" spans="1:31" x14ac:dyDescent="0.3">
      <c r="A246" s="373">
        <v>14877.25</v>
      </c>
      <c r="B246" s="390">
        <f t="shared" si="103"/>
        <v>14.87725</v>
      </c>
      <c r="C246" s="363">
        <f t="shared" si="84"/>
        <v>110.41967924902649</v>
      </c>
      <c r="D246" s="364">
        <f t="shared" si="85"/>
        <v>1.56173984631148</v>
      </c>
      <c r="E246" s="364">
        <f t="shared" si="86"/>
        <v>1.0062715924127341</v>
      </c>
      <c r="F246" s="365">
        <f t="shared" si="87"/>
        <v>0.11170487441633001</v>
      </c>
      <c r="G246" s="364">
        <f t="shared" si="88"/>
        <v>1.4886106499200924</v>
      </c>
      <c r="H246" s="365">
        <f t="shared" si="89"/>
        <v>-0.83420428772085575</v>
      </c>
      <c r="I246" s="363">
        <f t="shared" si="90"/>
        <v>22510.75347419543</v>
      </c>
      <c r="J246" s="366">
        <f t="shared" si="91"/>
        <v>1.570751903581721</v>
      </c>
      <c r="K246" s="374">
        <f t="shared" si="107"/>
        <v>76.395556085503713</v>
      </c>
      <c r="L246" s="375">
        <f t="shared" si="108"/>
        <v>1.5577061863411614</v>
      </c>
      <c r="M246" s="363">
        <f t="shared" si="92"/>
        <v>1.0277527662584254</v>
      </c>
      <c r="N246" s="366">
        <f t="shared" si="93"/>
        <v>0.23291956367007349</v>
      </c>
      <c r="O246" s="367">
        <f t="shared" si="94"/>
        <v>1.0000792827558782</v>
      </c>
      <c r="P246" s="368">
        <f t="shared" si="95"/>
        <v>7.1265796048040467E-2</v>
      </c>
      <c r="Q246" s="369">
        <f t="shared" si="96"/>
        <v>-4.4254284852795882</v>
      </c>
      <c r="R246" s="370">
        <f t="shared" si="97"/>
        <v>-149.05327098452506</v>
      </c>
      <c r="S246" s="372">
        <f t="shared" si="98"/>
        <v>30.946729015474943</v>
      </c>
      <c r="U246" s="345">
        <f t="shared" si="104"/>
        <v>14877.25</v>
      </c>
      <c r="V246" s="345">
        <f t="shared" si="105"/>
        <v>221332567.5625</v>
      </c>
      <c r="X246" s="371">
        <f t="shared" si="99"/>
        <v>38.472462537681288</v>
      </c>
      <c r="Y246" s="372">
        <f t="shared" si="100"/>
        <v>-14.092772519032335</v>
      </c>
      <c r="AA246" s="371">
        <f t="shared" si="101"/>
        <v>29.143308803598373</v>
      </c>
      <c r="AB246" s="372">
        <f t="shared" si="102"/>
        <v>-134.96049846549275</v>
      </c>
      <c r="AD246">
        <f t="shared" si="106"/>
        <v>0</v>
      </c>
      <c r="AE246">
        <f t="shared" si="109"/>
        <v>0</v>
      </c>
    </row>
    <row r="247" spans="1:31" x14ac:dyDescent="0.3">
      <c r="A247" s="373">
        <v>14963.5</v>
      </c>
      <c r="B247" s="390">
        <f t="shared" si="103"/>
        <v>14.9635</v>
      </c>
      <c r="C247" s="363">
        <f t="shared" si="84"/>
        <v>111.05977862730219</v>
      </c>
      <c r="D247" s="364">
        <f t="shared" si="85"/>
        <v>1.5617920452688967</v>
      </c>
      <c r="E247" s="364">
        <f t="shared" si="86"/>
        <v>1.0063442917028045</v>
      </c>
      <c r="F247" s="365">
        <f t="shared" si="87"/>
        <v>0.11234705688825351</v>
      </c>
      <c r="G247" s="364">
        <f t="shared" si="88"/>
        <v>1.4933524270574274</v>
      </c>
      <c r="H247" s="365">
        <f t="shared" si="89"/>
        <v>-0.83708005375231642</v>
      </c>
      <c r="I247" s="363">
        <f t="shared" si="90"/>
        <v>22641.258270668492</v>
      </c>
      <c r="J247" s="366">
        <f t="shared" si="91"/>
        <v>1.5707521596382674</v>
      </c>
      <c r="K247" s="374">
        <f t="shared" si="107"/>
        <v>76.838379253308247</v>
      </c>
      <c r="L247" s="375">
        <f t="shared" si="108"/>
        <v>1.5577816297038607</v>
      </c>
      <c r="M247" s="363">
        <f t="shared" si="92"/>
        <v>1.0280710825719712</v>
      </c>
      <c r="N247" s="366">
        <f t="shared" si="93"/>
        <v>0.23422118725018815</v>
      </c>
      <c r="O247" s="367">
        <f t="shared" si="94"/>
        <v>1.0000802402281737</v>
      </c>
      <c r="P247" s="368">
        <f t="shared" si="95"/>
        <v>7.1679593654984983E-2</v>
      </c>
      <c r="Q247" s="369">
        <f t="shared" si="96"/>
        <v>-4.450090274669031</v>
      </c>
      <c r="R247" s="370">
        <f t="shared" si="97"/>
        <v>-149.27821515467863</v>
      </c>
      <c r="S247" s="372">
        <f t="shared" si="98"/>
        <v>30.721784845321366</v>
      </c>
      <c r="U247" s="345">
        <f t="shared" si="104"/>
        <v>14963.5</v>
      </c>
      <c r="V247" s="345">
        <f t="shared" si="105"/>
        <v>223906332.25</v>
      </c>
      <c r="X247" s="371">
        <f t="shared" si="99"/>
        <v>38.469764200777355</v>
      </c>
      <c r="Y247" s="372">
        <f t="shared" si="100"/>
        <v>-14.16304214145239</v>
      </c>
      <c r="AA247" s="371">
        <f t="shared" si="101"/>
        <v>29.121345351112865</v>
      </c>
      <c r="AB247" s="372">
        <f t="shared" si="102"/>
        <v>-135.11517301322627</v>
      </c>
      <c r="AD247">
        <f t="shared" si="106"/>
        <v>0</v>
      </c>
      <c r="AE247">
        <f t="shared" si="109"/>
        <v>0</v>
      </c>
    </row>
    <row r="248" spans="1:31" x14ac:dyDescent="0.3">
      <c r="A248" s="373">
        <v>15049.75</v>
      </c>
      <c r="B248" s="390">
        <f t="shared" si="103"/>
        <v>15.04975</v>
      </c>
      <c r="C248" s="363">
        <f t="shared" si="84"/>
        <v>111.69987830471776</v>
      </c>
      <c r="D248" s="364">
        <f t="shared" si="85"/>
        <v>1.5618436459709075</v>
      </c>
      <c r="E248" s="364">
        <f t="shared" si="86"/>
        <v>1.0064174059475197</v>
      </c>
      <c r="F248" s="365">
        <f t="shared" si="87"/>
        <v>0.11298914631835508</v>
      </c>
      <c r="G248" s="364">
        <f t="shared" si="88"/>
        <v>1.4981064760247784</v>
      </c>
      <c r="H248" s="365">
        <f t="shared" si="89"/>
        <v>-0.83993759154088909</v>
      </c>
      <c r="I248" s="363">
        <f t="shared" si="90"/>
        <v>22771.763067143023</v>
      </c>
      <c r="J248" s="366">
        <f t="shared" si="91"/>
        <v>1.5707524127598975</v>
      </c>
      <c r="K248" s="374">
        <f t="shared" si="107"/>
        <v>77.281202853441897</v>
      </c>
      <c r="L248" s="375">
        <f t="shared" si="108"/>
        <v>1.5578562084815382</v>
      </c>
      <c r="M248" s="363">
        <f t="shared" si="92"/>
        <v>1.0283911395881784</v>
      </c>
      <c r="N248" s="366">
        <f t="shared" si="93"/>
        <v>0.23552200284760463</v>
      </c>
      <c r="O248" s="367">
        <f t="shared" si="94"/>
        <v>1.0000812040592393</v>
      </c>
      <c r="P248" s="368">
        <f t="shared" si="95"/>
        <v>7.209340230539131E-2</v>
      </c>
      <c r="Q248" s="369">
        <f t="shared" si="96"/>
        <v>-4.474490214138136</v>
      </c>
      <c r="R248" s="370">
        <f t="shared" si="97"/>
        <v>-149.50208968449917</v>
      </c>
      <c r="S248" s="372">
        <f t="shared" si="98"/>
        <v>30.497910315500832</v>
      </c>
      <c r="U248" s="345">
        <f t="shared" si="104"/>
        <v>15049.75</v>
      </c>
      <c r="V248" s="345">
        <f t="shared" si="105"/>
        <v>226494975.0625</v>
      </c>
      <c r="X248" s="371">
        <f t="shared" si="99"/>
        <v>38.467052141037684</v>
      </c>
      <c r="Y248" s="372">
        <f t="shared" si="100"/>
        <v>-14.233314838788379</v>
      </c>
      <c r="AA248" s="371">
        <f t="shared" si="101"/>
        <v>29.099657471383434</v>
      </c>
      <c r="AB248" s="372">
        <f t="shared" si="102"/>
        <v>-135.26877484571079</v>
      </c>
      <c r="AD248">
        <f t="shared" si="106"/>
        <v>0</v>
      </c>
      <c r="AE248">
        <f t="shared" si="109"/>
        <v>0</v>
      </c>
    </row>
    <row r="249" spans="1:31" x14ac:dyDescent="0.3">
      <c r="A249" s="373">
        <v>15136</v>
      </c>
      <c r="B249" s="390">
        <f t="shared" si="103"/>
        <v>15.135999999999999</v>
      </c>
      <c r="C249" s="363">
        <f t="shared" si="84"/>
        <v>112.33997827615974</v>
      </c>
      <c r="D249" s="364">
        <f t="shared" si="85"/>
        <v>1.5618946586436016</v>
      </c>
      <c r="E249" s="364">
        <f t="shared" si="86"/>
        <v>1.0064909350564495</v>
      </c>
      <c r="F249" s="365">
        <f t="shared" si="87"/>
        <v>0.11363114219752932</v>
      </c>
      <c r="G249" s="364">
        <f t="shared" si="88"/>
        <v>1.5028726803634203</v>
      </c>
      <c r="H249" s="365">
        <f t="shared" si="89"/>
        <v>-0.84277702762512008</v>
      </c>
      <c r="I249" s="363">
        <f t="shared" si="90"/>
        <v>22902.267863618999</v>
      </c>
      <c r="J249" s="366">
        <f t="shared" si="91"/>
        <v>1.5707526629967841</v>
      </c>
      <c r="K249" s="374">
        <f t="shared" si="107"/>
        <v>77.724026878515247</v>
      </c>
      <c r="L249" s="375">
        <f t="shared" si="108"/>
        <v>1.5579299374509887</v>
      </c>
      <c r="M249" s="363">
        <f t="shared" si="92"/>
        <v>1.0287129356823248</v>
      </c>
      <c r="N249" s="366">
        <f t="shared" si="93"/>
        <v>0.2368220068162579</v>
      </c>
      <c r="O249" s="367">
        <f t="shared" si="94"/>
        <v>1.0000821742633201</v>
      </c>
      <c r="P249" s="368">
        <f t="shared" si="95"/>
        <v>7.2507222062184892E-2</v>
      </c>
      <c r="Q249" s="369">
        <f t="shared" si="96"/>
        <v>-4.498632373306533</v>
      </c>
      <c r="R249" s="370">
        <f t="shared" si="97"/>
        <v>-149.72490139012052</v>
      </c>
      <c r="S249" s="372">
        <f t="shared" si="98"/>
        <v>30.275098609879478</v>
      </c>
      <c r="U249" s="345">
        <f t="shared" si="104"/>
        <v>15136</v>
      </c>
      <c r="V249" s="345">
        <f t="shared" si="105"/>
        <v>229098496</v>
      </c>
      <c r="X249" s="371">
        <f t="shared" si="99"/>
        <v>38.464326382055724</v>
      </c>
      <c r="Y249" s="372">
        <f t="shared" si="100"/>
        <v>-14.30358955836288</v>
      </c>
      <c r="AA249" s="371">
        <f t="shared" si="101"/>
        <v>29.078241071196995</v>
      </c>
      <c r="AB249" s="372">
        <f t="shared" si="102"/>
        <v>-135.42131183175763</v>
      </c>
      <c r="AD249">
        <f t="shared" si="106"/>
        <v>0</v>
      </c>
      <c r="AE249">
        <f t="shared" si="109"/>
        <v>0</v>
      </c>
    </row>
    <row r="250" spans="1:31" x14ac:dyDescent="0.3">
      <c r="A250" s="373">
        <v>15224</v>
      </c>
      <c r="B250" s="390">
        <f t="shared" si="103"/>
        <v>15.224</v>
      </c>
      <c r="C250" s="363">
        <f t="shared" si="84"/>
        <v>112.9930660811049</v>
      </c>
      <c r="D250" s="364">
        <f t="shared" si="85"/>
        <v>1.5619461106781922</v>
      </c>
      <c r="E250" s="364">
        <f t="shared" si="86"/>
        <v>1.0065663835419163</v>
      </c>
      <c r="F250" s="365">
        <f t="shared" si="87"/>
        <v>0.11428606713488623</v>
      </c>
      <c r="G250" s="364">
        <f t="shared" si="88"/>
        <v>1.5077479985050786</v>
      </c>
      <c r="H250" s="365">
        <f t="shared" si="89"/>
        <v>-0.84565554995295145</v>
      </c>
      <c r="I250" s="363">
        <f t="shared" si="90"/>
        <v>23035.42058350319</v>
      </c>
      <c r="J250" s="366">
        <f t="shared" si="91"/>
        <v>1.5707529153886803</v>
      </c>
      <c r="K250" s="374">
        <f t="shared" si="107"/>
        <v>78.175836169347292</v>
      </c>
      <c r="L250" s="375">
        <f t="shared" si="108"/>
        <v>1.5580043015071057</v>
      </c>
      <c r="M250" s="363">
        <f t="shared" si="92"/>
        <v>1.0290430516440425</v>
      </c>
      <c r="N250" s="366">
        <f t="shared" si="93"/>
        <v>0.23814754741244523</v>
      </c>
      <c r="O250" s="367">
        <f t="shared" si="94"/>
        <v>1.0000831707358555</v>
      </c>
      <c r="P250" s="368">
        <f t="shared" si="95"/>
        <v>7.2929449673842794E-2</v>
      </c>
      <c r="Q250" s="369">
        <f t="shared" si="96"/>
        <v>-4.5230028408496477</v>
      </c>
      <c r="R250" s="370">
        <f t="shared" si="97"/>
        <v>-149.9511455769231</v>
      </c>
      <c r="S250" s="372">
        <f t="shared" si="98"/>
        <v>30.048854423076904</v>
      </c>
      <c r="U250" s="345">
        <f t="shared" si="104"/>
        <v>15224</v>
      </c>
      <c r="V250" s="345">
        <f t="shared" si="105"/>
        <v>231770176</v>
      </c>
      <c r="X250" s="371">
        <f t="shared" si="99"/>
        <v>38.46153122350465</v>
      </c>
      <c r="Y250" s="372">
        <f t="shared" si="100"/>
        <v>-14.375291154607069</v>
      </c>
      <c r="AA250" s="371">
        <f t="shared" si="101"/>
        <v>29.05666576220495</v>
      </c>
      <c r="AB250" s="372">
        <f t="shared" si="102"/>
        <v>-135.57585442231604</v>
      </c>
      <c r="AD250">
        <f t="shared" si="106"/>
        <v>0</v>
      </c>
      <c r="AE250">
        <f t="shared" si="109"/>
        <v>0</v>
      </c>
    </row>
    <row r="251" spans="1:31" x14ac:dyDescent="0.3">
      <c r="A251" s="373">
        <v>15312</v>
      </c>
      <c r="B251" s="390">
        <f t="shared" si="103"/>
        <v>15.311999999999999</v>
      </c>
      <c r="C251" s="363">
        <f t="shared" si="84"/>
        <v>113.64615418173996</v>
      </c>
      <c r="D251" s="364">
        <f t="shared" si="85"/>
        <v>1.5619969713561423</v>
      </c>
      <c r="E251" s="364">
        <f t="shared" si="86"/>
        <v>1.0066422637057266</v>
      </c>
      <c r="F251" s="365">
        <f t="shared" si="87"/>
        <v>0.11494089361728661</v>
      </c>
      <c r="G251" s="364">
        <f t="shared" si="88"/>
        <v>1.5126357290901908</v>
      </c>
      <c r="H251" s="365">
        <f t="shared" si="89"/>
        <v>-0.84851549329968545</v>
      </c>
      <c r="I251" s="363">
        <f t="shared" si="90"/>
        <v>23168.573303388839</v>
      </c>
      <c r="J251" s="366">
        <f t="shared" si="91"/>
        <v>1.5707531648795203</v>
      </c>
      <c r="K251" s="374">
        <f t="shared" si="107"/>
        <v>78.627645887524409</v>
      </c>
      <c r="L251" s="375">
        <f t="shared" si="108"/>
        <v>1.558077810943018</v>
      </c>
      <c r="M251" s="363">
        <f t="shared" si="92"/>
        <v>1.0293749745324106</v>
      </c>
      <c r="N251" s="366">
        <f t="shared" si="93"/>
        <v>0.23947223549141847</v>
      </c>
      <c r="O251" s="367">
        <f t="shared" si="94"/>
        <v>1.0000841738728636</v>
      </c>
      <c r="P251" s="368">
        <f t="shared" si="95"/>
        <v>7.3351688979452725E-2</v>
      </c>
      <c r="Q251" s="369">
        <f t="shared" si="96"/>
        <v>-4.5471132889601105</v>
      </c>
      <c r="R251" s="370">
        <f t="shared" si="97"/>
        <v>-150.17629764962194</v>
      </c>
      <c r="S251" s="372">
        <f t="shared" si="98"/>
        <v>29.823702350378056</v>
      </c>
      <c r="U251" s="345">
        <f t="shared" si="104"/>
        <v>15312</v>
      </c>
      <c r="V251" s="345">
        <f t="shared" si="105"/>
        <v>234457344</v>
      </c>
      <c r="X251" s="371">
        <f t="shared" si="99"/>
        <v>38.458721854386383</v>
      </c>
      <c r="Y251" s="372">
        <f t="shared" si="100"/>
        <v>-14.446992705125453</v>
      </c>
      <c r="AA251" s="371">
        <f t="shared" si="101"/>
        <v>29.035364683212755</v>
      </c>
      <c r="AB251" s="372">
        <f t="shared" si="102"/>
        <v>-135.7293049444965</v>
      </c>
      <c r="AD251">
        <f t="shared" si="106"/>
        <v>0</v>
      </c>
      <c r="AE251">
        <f t="shared" si="109"/>
        <v>0</v>
      </c>
    </row>
    <row r="252" spans="1:31" x14ac:dyDescent="0.3">
      <c r="A252" s="373">
        <v>15400</v>
      </c>
      <c r="B252" s="390">
        <f t="shared" si="103"/>
        <v>15.4</v>
      </c>
      <c r="C252" s="363">
        <f t="shared" si="84"/>
        <v>114.29924257299635</v>
      </c>
      <c r="D252" s="364">
        <f t="shared" si="85"/>
        <v>1.5620472508139509</v>
      </c>
      <c r="E252" s="364">
        <f t="shared" si="86"/>
        <v>1.0067185754502694</v>
      </c>
      <c r="F252" s="365">
        <f t="shared" si="87"/>
        <v>0.1155956211054808</v>
      </c>
      <c r="G252" s="364">
        <f t="shared" si="88"/>
        <v>1.5175357521835049</v>
      </c>
      <c r="H252" s="365">
        <f t="shared" si="89"/>
        <v>-0.85135699062526005</v>
      </c>
      <c r="I252" s="363">
        <f t="shared" si="90"/>
        <v>23301.726023275907</v>
      </c>
      <c r="J252" s="366">
        <f t="shared" si="91"/>
        <v>1.5707534115190365</v>
      </c>
      <c r="K252" s="374">
        <f t="shared" si="107"/>
        <v>79.079456025721839</v>
      </c>
      <c r="L252" s="375">
        <f t="shared" si="108"/>
        <v>1.558150480406207</v>
      </c>
      <c r="M252" s="363">
        <f t="shared" si="92"/>
        <v>1.0297087026000604</v>
      </c>
      <c r="N252" s="366">
        <f t="shared" si="93"/>
        <v>0.24079606723073058</v>
      </c>
      <c r="O252" s="367">
        <f t="shared" si="94"/>
        <v>1.0000851836897373</v>
      </c>
      <c r="P252" s="368">
        <f t="shared" si="95"/>
        <v>7.3773940045807729E-2</v>
      </c>
      <c r="Q252" s="369">
        <f t="shared" si="96"/>
        <v>-4.5709678092746486</v>
      </c>
      <c r="R252" s="370">
        <f t="shared" si="97"/>
        <v>-150.40036478636324</v>
      </c>
      <c r="S252" s="372">
        <f t="shared" si="98"/>
        <v>29.599635213636759</v>
      </c>
      <c r="U252" s="345">
        <f t="shared" si="104"/>
        <v>15400</v>
      </c>
      <c r="V252" s="345">
        <f t="shared" si="105"/>
        <v>237160000</v>
      </c>
      <c r="X252" s="371">
        <f t="shared" si="99"/>
        <v>38.455898300365341</v>
      </c>
      <c r="Y252" s="372">
        <f t="shared" si="100"/>
        <v>-14.518693154518555</v>
      </c>
      <c r="AA252" s="371">
        <f t="shared" si="101"/>
        <v>29.014333716919261</v>
      </c>
      <c r="AB252" s="372">
        <f t="shared" si="102"/>
        <v>-135.88167163184468</v>
      </c>
      <c r="AD252">
        <f t="shared" si="106"/>
        <v>0</v>
      </c>
      <c r="AE252">
        <f t="shared" si="109"/>
        <v>0</v>
      </c>
    </row>
    <row r="253" spans="1:31" x14ac:dyDescent="0.3">
      <c r="A253" s="373">
        <v>15488</v>
      </c>
      <c r="B253" s="390">
        <f t="shared" si="103"/>
        <v>15.488</v>
      </c>
      <c r="C253" s="363">
        <f t="shared" si="84"/>
        <v>114.95233124992065</v>
      </c>
      <c r="D253" s="364">
        <f t="shared" si="85"/>
        <v>1.5620969589577711</v>
      </c>
      <c r="E253" s="364">
        <f t="shared" si="86"/>
        <v>1.0067953186774068</v>
      </c>
      <c r="F253" s="365">
        <f t="shared" si="87"/>
        <v>0.11625024906072164</v>
      </c>
      <c r="G253" s="364">
        <f t="shared" si="88"/>
        <v>1.5224479490941232</v>
      </c>
      <c r="H253" s="365">
        <f t="shared" si="89"/>
        <v>-0.85418017437155525</v>
      </c>
      <c r="I253" s="363">
        <f t="shared" si="90"/>
        <v>23434.87874316438</v>
      </c>
      <c r="J253" s="366">
        <f t="shared" si="91"/>
        <v>1.5707536553558308</v>
      </c>
      <c r="K253" s="374">
        <f t="shared" si="107"/>
        <v>79.53126657678132</v>
      </c>
      <c r="L253" s="375">
        <f t="shared" si="108"/>
        <v>1.5582223242113453</v>
      </c>
      <c r="M253" s="363">
        <f t="shared" si="92"/>
        <v>1.0300442340923903</v>
      </c>
      <c r="N253" s="366">
        <f t="shared" si="93"/>
        <v>0.24211903882488089</v>
      </c>
      <c r="O253" s="367">
        <f t="shared" si="94"/>
        <v>1.0000862002019584</v>
      </c>
      <c r="P253" s="368">
        <f t="shared" si="95"/>
        <v>7.4196202939686928E-2</v>
      </c>
      <c r="Q253" s="369">
        <f t="shared" si="96"/>
        <v>-4.5945704189796217</v>
      </c>
      <c r="R253" s="370">
        <f t="shared" si="97"/>
        <v>-150.62335414235784</v>
      </c>
      <c r="S253" s="372">
        <f t="shared" si="98"/>
        <v>29.37664585764216</v>
      </c>
      <c r="U253" s="345">
        <f t="shared" si="104"/>
        <v>15488</v>
      </c>
      <c r="V253" s="345">
        <f t="shared" si="105"/>
        <v>239878144</v>
      </c>
      <c r="X253" s="371">
        <f t="shared" si="99"/>
        <v>38.453060587301394</v>
      </c>
      <c r="Y253" s="372">
        <f t="shared" si="100"/>
        <v>-14.590391467361604</v>
      </c>
      <c r="AA253" s="371">
        <f t="shared" si="101"/>
        <v>28.993568820278234</v>
      </c>
      <c r="AB253" s="372">
        <f t="shared" si="102"/>
        <v>-136.03296267499624</v>
      </c>
      <c r="AD253">
        <f t="shared" si="106"/>
        <v>0</v>
      </c>
      <c r="AE253">
        <f t="shared" si="109"/>
        <v>0</v>
      </c>
    </row>
    <row r="254" spans="1:31" x14ac:dyDescent="0.3">
      <c r="A254" s="373">
        <v>15578.25</v>
      </c>
      <c r="B254" s="390">
        <f t="shared" si="103"/>
        <v>15.578250000000001</v>
      </c>
      <c r="C254" s="363">
        <f t="shared" si="84"/>
        <v>115.62211850852641</v>
      </c>
      <c r="D254" s="364">
        <f t="shared" si="85"/>
        <v>1.5621473547775928</v>
      </c>
      <c r="E254" s="364">
        <f t="shared" si="86"/>
        <v>1.0068744721579441</v>
      </c>
      <c r="F254" s="365">
        <f t="shared" si="87"/>
        <v>0.11692151071592091</v>
      </c>
      <c r="G254" s="364">
        <f t="shared" si="88"/>
        <v>1.5274982636068466</v>
      </c>
      <c r="H254" s="365">
        <f t="shared" si="89"/>
        <v>-0.85705665803453412</v>
      </c>
      <c r="I254" s="363">
        <f t="shared" si="90"/>
        <v>23571.435936005975</v>
      </c>
      <c r="J254" s="366">
        <f t="shared" si="91"/>
        <v>1.5707539025657145</v>
      </c>
      <c r="K254" s="374">
        <f t="shared" si="107"/>
        <v>79.994629523660791</v>
      </c>
      <c r="L254" s="375">
        <f t="shared" si="108"/>
        <v>1.5582951619923351</v>
      </c>
      <c r="M254" s="363">
        <f t="shared" si="92"/>
        <v>1.0303902158489358</v>
      </c>
      <c r="N254" s="366">
        <f t="shared" si="93"/>
        <v>0.24347493901398165</v>
      </c>
      <c r="O254" s="367">
        <f t="shared" si="94"/>
        <v>1.0000872496751774</v>
      </c>
      <c r="P254" s="368">
        <f t="shared" si="95"/>
        <v>7.4629274682952981E-2</v>
      </c>
      <c r="Q254" s="369">
        <f t="shared" si="96"/>
        <v>-4.6185189815079291</v>
      </c>
      <c r="R254" s="370">
        <f t="shared" si="97"/>
        <v>-150.85093293236903</v>
      </c>
      <c r="S254" s="372">
        <f t="shared" si="98"/>
        <v>29.149067067630966</v>
      </c>
      <c r="U254" s="345">
        <f t="shared" si="104"/>
        <v>15578.25</v>
      </c>
      <c r="V254" s="345">
        <f t="shared" si="105"/>
        <v>242681873.0625</v>
      </c>
      <c r="X254" s="371">
        <f t="shared" si="99"/>
        <v>38.450135639662228</v>
      </c>
      <c r="Y254" s="372">
        <f t="shared" si="100"/>
        <v>-14.663919692365265</v>
      </c>
      <c r="AA254" s="371">
        <f t="shared" si="101"/>
        <v>28.972545205389089</v>
      </c>
      <c r="AB254" s="372">
        <f t="shared" si="102"/>
        <v>-136.18701324000378</v>
      </c>
      <c r="AD254">
        <f t="shared" si="106"/>
        <v>0</v>
      </c>
      <c r="AE254">
        <f t="shared" si="109"/>
        <v>0</v>
      </c>
    </row>
    <row r="255" spans="1:31" x14ac:dyDescent="0.3">
      <c r="A255" s="373">
        <v>15668.5</v>
      </c>
      <c r="B255" s="390">
        <f t="shared" si="103"/>
        <v>15.6685</v>
      </c>
      <c r="C255" s="363">
        <f t="shared" si="84"/>
        <v>116.29190605739957</v>
      </c>
      <c r="D255" s="364">
        <f t="shared" si="85"/>
        <v>1.5621971700843507</v>
      </c>
      <c r="E255" s="364">
        <f t="shared" si="86"/>
        <v>1.006954079256829</v>
      </c>
      <c r="F255" s="365">
        <f t="shared" si="87"/>
        <v>0.11759266653719236</v>
      </c>
      <c r="G255" s="364">
        <f t="shared" si="88"/>
        <v>1.532561133523068</v>
      </c>
      <c r="H255" s="365">
        <f t="shared" si="89"/>
        <v>-0.85991416008001353</v>
      </c>
      <c r="I255" s="363">
        <f t="shared" si="90"/>
        <v>23707.993128848997</v>
      </c>
      <c r="J255" s="366">
        <f t="shared" si="91"/>
        <v>1.5707541469277582</v>
      </c>
      <c r="K255" s="374">
        <f t="shared" si="107"/>
        <v>80.457992890050875</v>
      </c>
      <c r="L255" s="375">
        <f t="shared" si="108"/>
        <v>1.558367160817667</v>
      </c>
      <c r="M255" s="363">
        <f t="shared" si="92"/>
        <v>1.0307380906684098</v>
      </c>
      <c r="N255" s="366">
        <f t="shared" si="93"/>
        <v>0.24482992645827642</v>
      </c>
      <c r="O255" s="367">
        <f t="shared" si="94"/>
        <v>1.0000883062237655</v>
      </c>
      <c r="P255" s="368">
        <f t="shared" si="95"/>
        <v>7.506235900851764E-2</v>
      </c>
      <c r="Q255" s="369">
        <f t="shared" si="96"/>
        <v>-4.6422109119248338</v>
      </c>
      <c r="R255" s="370">
        <f t="shared" si="97"/>
        <v>-151.07739328863346</v>
      </c>
      <c r="S255" s="372">
        <f t="shared" si="98"/>
        <v>28.922606711366541</v>
      </c>
      <c r="U255" s="345">
        <f t="shared" si="104"/>
        <v>15668.5</v>
      </c>
      <c r="V255" s="345">
        <f t="shared" si="105"/>
        <v>245501892.25</v>
      </c>
      <c r="X255" s="371">
        <f t="shared" si="99"/>
        <v>38.447195855389268</v>
      </c>
      <c r="Y255" s="372">
        <f t="shared" si="100"/>
        <v>-14.73744352639295</v>
      </c>
      <c r="AA255" s="371">
        <f t="shared" si="101"/>
        <v>28.951793059245148</v>
      </c>
      <c r="AB255" s="372">
        <f t="shared" si="102"/>
        <v>-136.33994976224051</v>
      </c>
      <c r="AD255">
        <f t="shared" si="106"/>
        <v>0</v>
      </c>
      <c r="AE255">
        <f t="shared" si="109"/>
        <v>0</v>
      </c>
    </row>
    <row r="256" spans="1:31" x14ac:dyDescent="0.3">
      <c r="A256" s="373">
        <v>15758.75</v>
      </c>
      <c r="B256" s="390">
        <f t="shared" si="103"/>
        <v>15.758749999999999</v>
      </c>
      <c r="C256" s="363">
        <f t="shared" si="84"/>
        <v>116.96169389155342</v>
      </c>
      <c r="D256" s="364">
        <f t="shared" si="85"/>
        <v>1.5622464148508191</v>
      </c>
      <c r="E256" s="364">
        <f t="shared" si="86"/>
        <v>1.007034139866485</v>
      </c>
      <c r="F256" s="365">
        <f t="shared" si="87"/>
        <v>0.11826371594506242</v>
      </c>
      <c r="G256" s="364">
        <f t="shared" si="88"/>
        <v>1.537636434821847</v>
      </c>
      <c r="H256" s="365">
        <f t="shared" si="89"/>
        <v>-0.86275282157099009</v>
      </c>
      <c r="I256" s="363">
        <f t="shared" si="90"/>
        <v>23844.550321693412</v>
      </c>
      <c r="J256" s="366">
        <f t="shared" si="91"/>
        <v>1.5707543884908899</v>
      </c>
      <c r="K256" s="374">
        <f t="shared" si="107"/>
        <v>80.921356668745091</v>
      </c>
      <c r="L256" s="375">
        <f t="shared" si="108"/>
        <v>1.5584383350984199</v>
      </c>
      <c r="M256" s="363">
        <f t="shared" si="92"/>
        <v>1.0310878566347321</v>
      </c>
      <c r="N256" s="366">
        <f t="shared" si="93"/>
        <v>0.246183997108646</v>
      </c>
      <c r="O256" s="367">
        <f t="shared" si="94"/>
        <v>1.0000893698647133</v>
      </c>
      <c r="P256" s="368">
        <f t="shared" si="95"/>
        <v>7.549545598836814E-2</v>
      </c>
      <c r="Q256" s="369">
        <f t="shared" si="96"/>
        <v>-4.6656503097005437</v>
      </c>
      <c r="R256" s="370">
        <f t="shared" si="97"/>
        <v>-151.30274284730118</v>
      </c>
      <c r="S256" s="372">
        <f t="shared" si="98"/>
        <v>28.697257152698825</v>
      </c>
      <c r="U256" s="345">
        <f t="shared" si="104"/>
        <v>15758.75</v>
      </c>
      <c r="V256" s="345">
        <f t="shared" si="105"/>
        <v>248338201.5625</v>
      </c>
      <c r="X256" s="371">
        <f t="shared" si="99"/>
        <v>38.444241262991632</v>
      </c>
      <c r="Y256" s="372">
        <f t="shared" si="100"/>
        <v>-14.810961914556573</v>
      </c>
      <c r="AA256" s="371">
        <f t="shared" si="101"/>
        <v>28.931308253867073</v>
      </c>
      <c r="AB256" s="372">
        <f t="shared" si="102"/>
        <v>-136.4917809327446</v>
      </c>
      <c r="AD256">
        <f t="shared" si="106"/>
        <v>0</v>
      </c>
      <c r="AE256">
        <f t="shared" si="109"/>
        <v>0</v>
      </c>
    </row>
    <row r="257" spans="1:31" x14ac:dyDescent="0.3">
      <c r="A257" s="373">
        <v>15849</v>
      </c>
      <c r="B257" s="390">
        <f t="shared" si="103"/>
        <v>15.849</v>
      </c>
      <c r="C257" s="363">
        <f t="shared" si="84"/>
        <v>117.63148200611485</v>
      </c>
      <c r="D257" s="364">
        <f t="shared" si="85"/>
        <v>1.5622950988226456</v>
      </c>
      <c r="E257" s="364">
        <f t="shared" si="86"/>
        <v>1.0071146538787563</v>
      </c>
      <c r="F257" s="365">
        <f t="shared" si="87"/>
        <v>0.11893465836062458</v>
      </c>
      <c r="G257" s="364">
        <f t="shared" si="88"/>
        <v>1.5427240448117472</v>
      </c>
      <c r="H257" s="365">
        <f t="shared" si="89"/>
        <v>-0.86557278293103046</v>
      </c>
      <c r="I257" s="363">
        <f t="shared" si="90"/>
        <v>23981.107514539213</v>
      </c>
      <c r="J257" s="366">
        <f t="shared" si="91"/>
        <v>1.5707546273029243</v>
      </c>
      <c r="K257" s="374">
        <f t="shared" si="107"/>
        <v>81.384720852701093</v>
      </c>
      <c r="L257" s="375">
        <f t="shared" si="108"/>
        <v>1.5585086989175088</v>
      </c>
      <c r="M257" s="363">
        <f t="shared" si="92"/>
        <v>1.0314395118240129</v>
      </c>
      <c r="N257" s="366">
        <f t="shared" si="93"/>
        <v>0.24753714693489617</v>
      </c>
      <c r="O257" s="367">
        <f t="shared" si="94"/>
        <v>1.0000904406151092</v>
      </c>
      <c r="P257" s="368">
        <f t="shared" si="95"/>
        <v>7.5928565694475966E-2</v>
      </c>
      <c r="Q257" s="369">
        <f t="shared" si="96"/>
        <v>-4.6888411987056049</v>
      </c>
      <c r="R257" s="370">
        <f t="shared" si="97"/>
        <v>-151.52698921466185</v>
      </c>
      <c r="S257" s="372">
        <f t="shared" si="98"/>
        <v>28.473010785338147</v>
      </c>
      <c r="U257" s="345">
        <f t="shared" si="104"/>
        <v>15849</v>
      </c>
      <c r="V257" s="345">
        <f t="shared" si="105"/>
        <v>251190801</v>
      </c>
      <c r="X257" s="371">
        <f t="shared" si="99"/>
        <v>38.441271891177429</v>
      </c>
      <c r="Y257" s="372">
        <f t="shared" si="100"/>
        <v>-14.884473821791024</v>
      </c>
      <c r="AA257" s="371">
        <f t="shared" si="101"/>
        <v>28.911086736676218</v>
      </c>
      <c r="AB257" s="372">
        <f t="shared" si="102"/>
        <v>-136.64251539287085</v>
      </c>
      <c r="AD257">
        <f t="shared" si="106"/>
        <v>0</v>
      </c>
      <c r="AE257">
        <f t="shared" si="109"/>
        <v>0</v>
      </c>
    </row>
    <row r="258" spans="1:31" x14ac:dyDescent="0.3">
      <c r="A258" s="373">
        <v>15941.25</v>
      </c>
      <c r="B258" s="390">
        <f t="shared" si="103"/>
        <v>15.94125</v>
      </c>
      <c r="C258" s="363">
        <f t="shared" si="84"/>
        <v>118.3161133554229</v>
      </c>
      <c r="D258" s="364">
        <f t="shared" si="85"/>
        <v>1.5623442920053168</v>
      </c>
      <c r="E258" s="364">
        <f t="shared" si="86"/>
        <v>1.0071974206073611</v>
      </c>
      <c r="F258" s="365">
        <f t="shared" si="87"/>
        <v>0.11962035812894593</v>
      </c>
      <c r="G258" s="364">
        <f t="shared" si="88"/>
        <v>1.547936994130654</v>
      </c>
      <c r="H258" s="365">
        <f t="shared" si="89"/>
        <v>-0.86843605568869997</v>
      </c>
      <c r="I258" s="363">
        <f t="shared" si="90"/>
        <v>24120.690905565811</v>
      </c>
      <c r="J258" s="366">
        <f t="shared" si="91"/>
        <v>1.5707548686126165</v>
      </c>
      <c r="K258" s="374">
        <f t="shared" si="107"/>
        <v>81.858353906694887</v>
      </c>
      <c r="L258" s="375">
        <f t="shared" si="108"/>
        <v>1.5585797987726115</v>
      </c>
      <c r="M258" s="363">
        <f t="shared" si="92"/>
        <v>1.0318009104014552</v>
      </c>
      <c r="N258" s="366">
        <f t="shared" si="93"/>
        <v>0.24891932762549782</v>
      </c>
      <c r="O258" s="367">
        <f t="shared" si="94"/>
        <v>1.0000915424594583</v>
      </c>
      <c r="P258" s="368">
        <f t="shared" si="95"/>
        <v>7.6371286626941273E-2</v>
      </c>
      <c r="Q258" s="369">
        <f t="shared" si="96"/>
        <v>-4.7122932946381217</v>
      </c>
      <c r="R258" s="370">
        <f t="shared" si="97"/>
        <v>-151.75507278397555</v>
      </c>
      <c r="S258" s="372">
        <f t="shared" si="98"/>
        <v>28.24492721602445</v>
      </c>
      <c r="U258" s="345">
        <f t="shared" si="104"/>
        <v>15941.25</v>
      </c>
      <c r="V258" s="345">
        <f t="shared" si="105"/>
        <v>254123451.5625</v>
      </c>
      <c r="X258" s="371">
        <f t="shared" si="99"/>
        <v>38.438221471874286</v>
      </c>
      <c r="Y258" s="372">
        <f t="shared" si="100"/>
        <v>-14.959607046378363</v>
      </c>
      <c r="AA258" s="371">
        <f t="shared" si="101"/>
        <v>28.890685060046835</v>
      </c>
      <c r="AB258" s="372">
        <f t="shared" si="102"/>
        <v>-136.79546573759717</v>
      </c>
      <c r="AD258">
        <f t="shared" si="106"/>
        <v>0</v>
      </c>
      <c r="AE258">
        <f t="shared" si="109"/>
        <v>0</v>
      </c>
    </row>
    <row r="259" spans="1:31" x14ac:dyDescent="0.3">
      <c r="A259" s="373">
        <v>16033.5</v>
      </c>
      <c r="B259" s="390">
        <f t="shared" si="103"/>
        <v>16.0335</v>
      </c>
      <c r="C259" s="363">
        <f t="shared" si="84"/>
        <v>119.00074498775781</v>
      </c>
      <c r="D259" s="364">
        <f t="shared" si="85"/>
        <v>1.5623929191545229</v>
      </c>
      <c r="E259" s="364">
        <f t="shared" si="86"/>
        <v>1.0072806608262967</v>
      </c>
      <c r="F259" s="365">
        <f t="shared" si="87"/>
        <v>0.12030594488909814</v>
      </c>
      <c r="G259" s="364">
        <f t="shared" si="88"/>
        <v>1.5531625487013831</v>
      </c>
      <c r="H259" s="365">
        <f t="shared" si="89"/>
        <v>-0.87128008489410902</v>
      </c>
      <c r="I259" s="363">
        <f t="shared" si="90"/>
        <v>24260.274296593801</v>
      </c>
      <c r="J259" s="366">
        <f t="shared" si="91"/>
        <v>1.5707551071455201</v>
      </c>
      <c r="K259" s="374">
        <f t="shared" si="107"/>
        <v>82.331987369737107</v>
      </c>
      <c r="L259" s="375">
        <f t="shared" si="108"/>
        <v>1.5586500805919259</v>
      </c>
      <c r="M259" s="363">
        <f t="shared" si="92"/>
        <v>1.0321642787730059</v>
      </c>
      <c r="N259" s="366">
        <f t="shared" si="93"/>
        <v>0.25030053777338646</v>
      </c>
      <c r="O259" s="367">
        <f t="shared" si="94"/>
        <v>1.0000926517682642</v>
      </c>
      <c r="P259" s="368">
        <f t="shared" si="95"/>
        <v>7.6814021007967373E-2</v>
      </c>
      <c r="Q259" s="369">
        <f t="shared" si="96"/>
        <v>-4.7354940122656402</v>
      </c>
      <c r="R259" s="370">
        <f t="shared" si="97"/>
        <v>-151.98201969596749</v>
      </c>
      <c r="S259" s="372">
        <f t="shared" si="98"/>
        <v>28.017980304032506</v>
      </c>
      <c r="U259" s="345">
        <f t="shared" si="104"/>
        <v>16033.5</v>
      </c>
      <c r="V259" s="345">
        <f t="shared" si="105"/>
        <v>257073122.25</v>
      </c>
      <c r="X259" s="371">
        <f t="shared" si="99"/>
        <v>38.43515567212593</v>
      </c>
      <c r="Y259" s="372">
        <f t="shared" si="100"/>
        <v>-15.034731373864311</v>
      </c>
      <c r="AA259" s="371">
        <f t="shared" si="101"/>
        <v>28.870550142167673</v>
      </c>
      <c r="AB259" s="372">
        <f t="shared" si="102"/>
        <v>-136.94728832210316</v>
      </c>
      <c r="AD259">
        <f t="shared" si="106"/>
        <v>0</v>
      </c>
      <c r="AE259">
        <f t="shared" si="109"/>
        <v>0</v>
      </c>
    </row>
    <row r="260" spans="1:31" x14ac:dyDescent="0.3">
      <c r="A260" s="373">
        <v>16125.75</v>
      </c>
      <c r="B260" s="390">
        <f t="shared" si="103"/>
        <v>16.12575</v>
      </c>
      <c r="C260" s="363">
        <f t="shared" si="84"/>
        <v>119.68537689826259</v>
      </c>
      <c r="D260" s="364">
        <f t="shared" si="85"/>
        <v>1.5624409899836138</v>
      </c>
      <c r="E260" s="364">
        <f t="shared" si="86"/>
        <v>1.0073643744181875</v>
      </c>
      <c r="F260" s="365">
        <f t="shared" si="87"/>
        <v>0.12099141802468401</v>
      </c>
      <c r="G260" s="364">
        <f t="shared" si="88"/>
        <v>1.5584005817219504</v>
      </c>
      <c r="H260" s="365">
        <f t="shared" si="89"/>
        <v>-0.87410501834937493</v>
      </c>
      <c r="I260" s="363">
        <f t="shared" si="90"/>
        <v>24399.857687623153</v>
      </c>
      <c r="J260" s="366">
        <f t="shared" si="91"/>
        <v>1.5707553429492906</v>
      </c>
      <c r="K260" s="374">
        <f t="shared" si="107"/>
        <v>82.805621234808683</v>
      </c>
      <c r="L260" s="375">
        <f t="shared" si="108"/>
        <v>1.5587195584118221</v>
      </c>
      <c r="M260" s="363">
        <f t="shared" si="92"/>
        <v>1.0325296148590319</v>
      </c>
      <c r="N260" s="366">
        <f t="shared" si="93"/>
        <v>0.25168077313603265</v>
      </c>
      <c r="O260" s="367">
        <f t="shared" si="94"/>
        <v>1.0000937685600946</v>
      </c>
      <c r="P260" s="368">
        <f t="shared" si="95"/>
        <v>7.7256768914365739E-2</v>
      </c>
      <c r="Q260" s="369">
        <f t="shared" si="96"/>
        <v>-4.7584474143767421</v>
      </c>
      <c r="R260" s="370">
        <f t="shared" si="97"/>
        <v>-152.2078379707537</v>
      </c>
      <c r="S260" s="372">
        <f t="shared" si="98"/>
        <v>27.792162029246299</v>
      </c>
      <c r="U260" s="345">
        <f t="shared" si="104"/>
        <v>16125.75</v>
      </c>
      <c r="V260" s="345">
        <f t="shared" si="105"/>
        <v>260039813.0625</v>
      </c>
      <c r="X260" s="371">
        <f t="shared" si="99"/>
        <v>38.432074523210446</v>
      </c>
      <c r="Y260" s="372">
        <f t="shared" si="100"/>
        <v>-15.109845759675499</v>
      </c>
      <c r="AA260" s="371">
        <f t="shared" si="101"/>
        <v>28.850677888972061</v>
      </c>
      <c r="AB260" s="372">
        <f t="shared" si="102"/>
        <v>-137.09799221107824</v>
      </c>
      <c r="AD260">
        <f t="shared" si="106"/>
        <v>0</v>
      </c>
      <c r="AE260">
        <f t="shared" si="109"/>
        <v>0</v>
      </c>
    </row>
    <row r="261" spans="1:31" x14ac:dyDescent="0.3">
      <c r="A261" s="373">
        <v>16218</v>
      </c>
      <c r="B261" s="390">
        <f t="shared" si="103"/>
        <v>16.218</v>
      </c>
      <c r="C261" s="363">
        <f t="shared" si="84"/>
        <v>120.37000908219078</v>
      </c>
      <c r="D261" s="364">
        <f t="shared" si="85"/>
        <v>1.5624885139849625</v>
      </c>
      <c r="E261" s="364">
        <f t="shared" si="86"/>
        <v>1.0074485612650288</v>
      </c>
      <c r="F261" s="365">
        <f t="shared" si="87"/>
        <v>0.12167677691993777</v>
      </c>
      <c r="G261" s="364">
        <f t="shared" si="88"/>
        <v>1.5636509677886734</v>
      </c>
      <c r="H261" s="365">
        <f t="shared" si="89"/>
        <v>-0.87691100309766745</v>
      </c>
      <c r="I261" s="363">
        <f t="shared" si="90"/>
        <v>24539.44107865385</v>
      </c>
      <c r="J261" s="366">
        <f t="shared" si="91"/>
        <v>1.5707555760704985</v>
      </c>
      <c r="K261" s="374">
        <f t="shared" si="107"/>
        <v>83.279255495050236</v>
      </c>
      <c r="L261" s="375">
        <f t="shared" si="108"/>
        <v>1.5587882459493854</v>
      </c>
      <c r="M261" s="363">
        <f t="shared" si="92"/>
        <v>1.0328969165715893</v>
      </c>
      <c r="N261" s="366">
        <f t="shared" si="93"/>
        <v>0.25306002949174911</v>
      </c>
      <c r="O261" s="367">
        <f t="shared" si="94"/>
        <v>1.0000948928536237</v>
      </c>
      <c r="P261" s="368">
        <f t="shared" si="95"/>
        <v>7.7699530422930138E-2</v>
      </c>
      <c r="Q261" s="369">
        <f t="shared" si="96"/>
        <v>-4.7811574880622247</v>
      </c>
      <c r="R261" s="370">
        <f t="shared" si="97"/>
        <v>-152.43253559169332</v>
      </c>
      <c r="S261" s="372">
        <f t="shared" si="98"/>
        <v>27.567464408306677</v>
      </c>
      <c r="U261" s="345">
        <f t="shared" si="104"/>
        <v>16218</v>
      </c>
      <c r="V261" s="345">
        <f t="shared" si="105"/>
        <v>263023524</v>
      </c>
      <c r="X261" s="371">
        <f t="shared" si="99"/>
        <v>38.428978056606063</v>
      </c>
      <c r="Y261" s="372">
        <f t="shared" si="100"/>
        <v>-15.184949178664269</v>
      </c>
      <c r="AA261" s="371">
        <f t="shared" si="101"/>
        <v>28.83106428189096</v>
      </c>
      <c r="AB261" s="372">
        <f t="shared" si="102"/>
        <v>-137.24758641302907</v>
      </c>
      <c r="AD261">
        <f t="shared" si="106"/>
        <v>0</v>
      </c>
      <c r="AE261">
        <f t="shared" si="109"/>
        <v>0</v>
      </c>
    </row>
    <row r="262" spans="1:31" x14ac:dyDescent="0.3">
      <c r="A262" s="373">
        <v>16312.5</v>
      </c>
      <c r="B262" s="390">
        <f t="shared" si="103"/>
        <v>16.3125</v>
      </c>
      <c r="C262" s="363">
        <f t="shared" si="84"/>
        <v>121.07133989072786</v>
      </c>
      <c r="D262" s="364">
        <f t="shared" si="85"/>
        <v>1.5625366398087122</v>
      </c>
      <c r="E262" s="364">
        <f t="shared" si="86"/>
        <v>1.0075352920355085</v>
      </c>
      <c r="F262" s="365">
        <f t="shared" si="87"/>
        <v>0.12237873278897064</v>
      </c>
      <c r="G262" s="364">
        <f t="shared" si="88"/>
        <v>1.5690420910836569</v>
      </c>
      <c r="H262" s="365">
        <f t="shared" si="89"/>
        <v>-0.87976593180357021</v>
      </c>
      <c r="I262" s="363">
        <f t="shared" si="90"/>
        <v>24682.428942637878</v>
      </c>
      <c r="J262" s="366">
        <f t="shared" si="91"/>
        <v>1.5707558121436604</v>
      </c>
      <c r="K262" s="374">
        <f t="shared" si="107"/>
        <v>83.764442213157565</v>
      </c>
      <c r="L262" s="375">
        <f t="shared" si="108"/>
        <v>1.5588578033749734</v>
      </c>
      <c r="M262" s="363">
        <f t="shared" si="92"/>
        <v>1.03327521279562</v>
      </c>
      <c r="N262" s="366">
        <f t="shared" si="93"/>
        <v>0.25447190673991338</v>
      </c>
      <c r="O262" s="367">
        <f t="shared" si="94"/>
        <v>1.000096052366962</v>
      </c>
      <c r="P262" s="368">
        <f t="shared" si="95"/>
        <v>7.8153105176786017E-2</v>
      </c>
      <c r="Q262" s="369">
        <f t="shared" si="96"/>
        <v>-4.8041732527807941</v>
      </c>
      <c r="R262" s="370">
        <f t="shared" si="97"/>
        <v>-152.66155996117624</v>
      </c>
      <c r="S262" s="372">
        <f t="shared" si="98"/>
        <v>27.338440038823762</v>
      </c>
      <c r="U262" s="345">
        <f t="shared" si="104"/>
        <v>16312.5</v>
      </c>
      <c r="V262" s="345">
        <f t="shared" si="105"/>
        <v>266097656.25</v>
      </c>
      <c r="X262" s="371">
        <f t="shared" si="99"/>
        <v>38.425790216888615</v>
      </c>
      <c r="Y262" s="372">
        <f t="shared" si="100"/>
        <v>-15.261871965338376</v>
      </c>
      <c r="AA262" s="371">
        <f t="shared" si="101"/>
        <v>28.811236356889843</v>
      </c>
      <c r="AB262" s="372">
        <f t="shared" si="102"/>
        <v>-137.39968799583789</v>
      </c>
      <c r="AD262">
        <f t="shared" si="106"/>
        <v>0</v>
      </c>
      <c r="AE262">
        <f t="shared" si="109"/>
        <v>0</v>
      </c>
    </row>
    <row r="263" spans="1:31" x14ac:dyDescent="0.3">
      <c r="A263" s="373">
        <v>16407</v>
      </c>
      <c r="B263" s="390">
        <f t="shared" si="103"/>
        <v>16.407</v>
      </c>
      <c r="C263" s="363">
        <f t="shared" si="84"/>
        <v>121.77267097644767</v>
      </c>
      <c r="D263" s="364">
        <f t="shared" si="85"/>
        <v>1.5625842112859192</v>
      </c>
      <c r="E263" s="364">
        <f t="shared" si="86"/>
        <v>1.0076225191753787</v>
      </c>
      <c r="F263" s="365">
        <f t="shared" si="87"/>
        <v>0.1230805674709579</v>
      </c>
      <c r="G263" s="364">
        <f t="shared" si="88"/>
        <v>1.5744459154003128</v>
      </c>
      <c r="H263" s="365">
        <f t="shared" si="89"/>
        <v>-0.88260128607481914</v>
      </c>
      <c r="I263" s="363">
        <f t="shared" si="90"/>
        <v>24825.416806623267</v>
      </c>
      <c r="J263" s="366">
        <f t="shared" si="91"/>
        <v>1.5707560454973837</v>
      </c>
      <c r="K263" s="374">
        <f t="shared" si="107"/>
        <v>84.24962933186913</v>
      </c>
      <c r="L263" s="375">
        <f t="shared" si="108"/>
        <v>1.5589265596491906</v>
      </c>
      <c r="M263" s="363">
        <f t="shared" si="92"/>
        <v>1.0336555672377077</v>
      </c>
      <c r="N263" s="366">
        <f t="shared" si="93"/>
        <v>0.25588274774122743</v>
      </c>
      <c r="O263" s="367">
        <f t="shared" si="94"/>
        <v>1.0000972197924132</v>
      </c>
      <c r="P263" s="368">
        <f t="shared" si="95"/>
        <v>7.8606694367499313E-2</v>
      </c>
      <c r="Q263" s="369">
        <f t="shared" si="96"/>
        <v>-4.8269419080554572</v>
      </c>
      <c r="R263" s="370">
        <f t="shared" si="97"/>
        <v>-152.88942518133467</v>
      </c>
      <c r="S263" s="372">
        <f t="shared" si="98"/>
        <v>27.110574818665327</v>
      </c>
      <c r="U263" s="345">
        <f t="shared" si="104"/>
        <v>16407</v>
      </c>
      <c r="V263" s="345">
        <f t="shared" si="105"/>
        <v>269189649</v>
      </c>
      <c r="X263" s="371">
        <f t="shared" si="99"/>
        <v>38.422586370663048</v>
      </c>
      <c r="Y263" s="372">
        <f t="shared" si="100"/>
        <v>-15.338781126221349</v>
      </c>
      <c r="AA263" s="371">
        <f t="shared" si="101"/>
        <v>28.791671547840743</v>
      </c>
      <c r="AB263" s="372">
        <f t="shared" si="102"/>
        <v>-137.55064405511337</v>
      </c>
      <c r="AD263">
        <f t="shared" si="106"/>
        <v>0</v>
      </c>
      <c r="AE263">
        <f t="shared" si="109"/>
        <v>0</v>
      </c>
    </row>
    <row r="264" spans="1:31" x14ac:dyDescent="0.3">
      <c r="A264" s="373">
        <v>16501.5</v>
      </c>
      <c r="B264" s="390">
        <f t="shared" si="103"/>
        <v>16.5015</v>
      </c>
      <c r="C264" s="363">
        <f t="shared" si="84"/>
        <v>122.47400233458843</v>
      </c>
      <c r="D264" s="364">
        <f t="shared" si="85"/>
        <v>1.5626312379395453</v>
      </c>
      <c r="E264" s="364">
        <f t="shared" si="86"/>
        <v>1.007710242555742</v>
      </c>
      <c r="F264" s="365">
        <f t="shared" si="87"/>
        <v>0.12378228030605139</v>
      </c>
      <c r="G264" s="364">
        <f t="shared" si="88"/>
        <v>1.5798623104093961</v>
      </c>
      <c r="H264" s="365">
        <f t="shared" si="89"/>
        <v>-0.88541722141553925</v>
      </c>
      <c r="I264" s="363">
        <f t="shared" si="90"/>
        <v>24968.404670609994</v>
      </c>
      <c r="J264" s="366">
        <f t="shared" si="91"/>
        <v>1.5707562761783891</v>
      </c>
      <c r="K264" s="374">
        <f t="shared" si="107"/>
        <v>84.734816844303396</v>
      </c>
      <c r="L264" s="375">
        <f t="shared" si="108"/>
        <v>1.5589945285334441</v>
      </c>
      <c r="M264" s="363">
        <f t="shared" si="92"/>
        <v>1.0340379776266038</v>
      </c>
      <c r="N264" s="366">
        <f t="shared" si="93"/>
        <v>0.25729254802582269</v>
      </c>
      <c r="O264" s="367">
        <f t="shared" si="94"/>
        <v>1.0000983951504014</v>
      </c>
      <c r="P264" s="368">
        <f t="shared" si="95"/>
        <v>7.9060298077562804E-2</v>
      </c>
      <c r="Q264" s="369">
        <f t="shared" si="96"/>
        <v>-4.8494675032950498</v>
      </c>
      <c r="R264" s="370">
        <f t="shared" si="97"/>
        <v>-153.11613970815895</v>
      </c>
      <c r="S264" s="372">
        <f t="shared" si="98"/>
        <v>26.883860291841046</v>
      </c>
      <c r="U264" s="345">
        <f t="shared" si="104"/>
        <v>16501.5</v>
      </c>
      <c r="V264" s="345">
        <f t="shared" si="105"/>
        <v>272299502.25</v>
      </c>
      <c r="X264" s="371">
        <f t="shared" si="99"/>
        <v>38.41936655239499</v>
      </c>
      <c r="Y264" s="372">
        <f t="shared" si="100"/>
        <v>-15.415675619414946</v>
      </c>
      <c r="AA264" s="371">
        <f t="shared" si="101"/>
        <v>28.772365770869214</v>
      </c>
      <c r="AB264" s="372">
        <f t="shared" si="102"/>
        <v>-137.70046408874404</v>
      </c>
      <c r="AD264">
        <f t="shared" si="106"/>
        <v>0</v>
      </c>
      <c r="AE264">
        <f t="shared" si="109"/>
        <v>0</v>
      </c>
    </row>
    <row r="265" spans="1:31" x14ac:dyDescent="0.3">
      <c r="A265" s="373">
        <v>16596</v>
      </c>
      <c r="B265" s="390">
        <f t="shared" si="103"/>
        <v>16.596</v>
      </c>
      <c r="C265" s="363">
        <f t="shared" si="84"/>
        <v>123.17533396049689</v>
      </c>
      <c r="D265" s="364">
        <f t="shared" si="85"/>
        <v>1.5626777290756757</v>
      </c>
      <c r="E265" s="364">
        <f t="shared" si="86"/>
        <v>1.0077984620470137</v>
      </c>
      <c r="F265" s="365">
        <f t="shared" si="87"/>
        <v>0.12448387063511202</v>
      </c>
      <c r="G265" s="364">
        <f t="shared" si="88"/>
        <v>1.5852911472617057</v>
      </c>
      <c r="H265" s="365">
        <f t="shared" si="89"/>
        <v>-0.88821389243902393</v>
      </c>
      <c r="I265" s="363">
        <f t="shared" si="90"/>
        <v>25111.392534598031</v>
      </c>
      <c r="J265" s="366">
        <f t="shared" si="91"/>
        <v>1.5707565042323333</v>
      </c>
      <c r="K265" s="374">
        <f t="shared" si="107"/>
        <v>85.220004743735586</v>
      </c>
      <c r="L265" s="375">
        <f t="shared" si="108"/>
        <v>1.5590617234757773</v>
      </c>
      <c r="M265" s="363">
        <f t="shared" si="92"/>
        <v>1.0344224416821504</v>
      </c>
      <c r="N265" s="366">
        <f t="shared" si="93"/>
        <v>0.25870130314697037</v>
      </c>
      <c r="O265" s="367">
        <f t="shared" si="94"/>
        <v>1.0000995784614684</v>
      </c>
      <c r="P265" s="368">
        <f t="shared" si="95"/>
        <v>7.9513916389449393E-2</v>
      </c>
      <c r="Q265" s="369">
        <f t="shared" si="96"/>
        <v>-4.8717540115031763</v>
      </c>
      <c r="R265" s="370">
        <f t="shared" si="97"/>
        <v>-153.34171195334994</v>
      </c>
      <c r="S265" s="372">
        <f t="shared" si="98"/>
        <v>26.658288046650057</v>
      </c>
      <c r="U265" s="345">
        <f t="shared" si="104"/>
        <v>16596</v>
      </c>
      <c r="V265" s="345">
        <f t="shared" si="105"/>
        <v>275427216</v>
      </c>
      <c r="X265" s="371">
        <f t="shared" si="99"/>
        <v>38.416130796753308</v>
      </c>
      <c r="Y265" s="372">
        <f t="shared" si="100"/>
        <v>-15.492554422240168</v>
      </c>
      <c r="AA265" s="371">
        <f t="shared" si="101"/>
        <v>28.753315018302764</v>
      </c>
      <c r="AB265" s="372">
        <f t="shared" si="102"/>
        <v>-137.84915753110977</v>
      </c>
      <c r="AD265">
        <f t="shared" si="106"/>
        <v>0</v>
      </c>
      <c r="AE265">
        <f t="shared" si="109"/>
        <v>0</v>
      </c>
    </row>
    <row r="266" spans="1:31" x14ac:dyDescent="0.3">
      <c r="A266" s="373">
        <v>16692.5</v>
      </c>
      <c r="B266" s="390">
        <f t="shared" si="103"/>
        <v>16.692499999999999</v>
      </c>
      <c r="C266" s="363">
        <f t="shared" si="84"/>
        <v>123.8915088553814</v>
      </c>
      <c r="D266" s="364">
        <f t="shared" si="85"/>
        <v>1.5627246609644208</v>
      </c>
      <c r="E266" s="364">
        <f t="shared" si="86"/>
        <v>1.007889060453645</v>
      </c>
      <c r="F266" s="365">
        <f t="shared" si="87"/>
        <v>0.12520018232992983</v>
      </c>
      <c r="G266" s="364">
        <f t="shared" si="88"/>
        <v>1.5908475873647847</v>
      </c>
      <c r="H266" s="365">
        <f t="shared" si="89"/>
        <v>-0.8910500318086414</v>
      </c>
      <c r="I266" s="363">
        <f t="shared" si="90"/>
        <v>25257.406596767047</v>
      </c>
      <c r="J266" s="366">
        <f t="shared" si="91"/>
        <v>1.5707567344481357</v>
      </c>
      <c r="K266" s="374">
        <f t="shared" si="107"/>
        <v>85.715461562680431</v>
      </c>
      <c r="L266" s="375">
        <f t="shared" si="108"/>
        <v>1.5591295555062532</v>
      </c>
      <c r="M266" s="363">
        <f t="shared" si="92"/>
        <v>1.0348171594865605</v>
      </c>
      <c r="N266" s="366">
        <f t="shared" si="93"/>
        <v>0.26013879001696283</v>
      </c>
      <c r="O266" s="367">
        <f t="shared" si="94"/>
        <v>1.0001007950449652</v>
      </c>
      <c r="P266" s="368">
        <f t="shared" si="95"/>
        <v>7.9977150243221481E-2</v>
      </c>
      <c r="Q266" s="369">
        <f t="shared" si="96"/>
        <v>-4.8942695120532695</v>
      </c>
      <c r="R266" s="370">
        <f t="shared" si="97"/>
        <v>-153.57088810865912</v>
      </c>
      <c r="S266" s="372">
        <f t="shared" si="98"/>
        <v>26.429111891340881</v>
      </c>
      <c r="U266" s="345">
        <f t="shared" si="104"/>
        <v>16692.5</v>
      </c>
      <c r="V266" s="345">
        <f t="shared" si="105"/>
        <v>278639556.25</v>
      </c>
      <c r="X266" s="371">
        <f t="shared" si="99"/>
        <v>38.412810148857211</v>
      </c>
      <c r="Y266" s="372">
        <f t="shared" si="100"/>
        <v>-15.571043054417679</v>
      </c>
      <c r="AA266" s="371">
        <f t="shared" si="101"/>
        <v>28.734120165648772</v>
      </c>
      <c r="AB266" s="372">
        <f t="shared" si="102"/>
        <v>-137.9998450542414</v>
      </c>
      <c r="AD266">
        <f t="shared" si="106"/>
        <v>0</v>
      </c>
      <c r="AE266">
        <f t="shared" si="109"/>
        <v>0</v>
      </c>
    </row>
    <row r="267" spans="1:31" x14ac:dyDescent="0.3">
      <c r="A267" s="373">
        <v>16789</v>
      </c>
      <c r="B267" s="390">
        <f t="shared" si="103"/>
        <v>16.789000000000001</v>
      </c>
      <c r="C267" s="363">
        <f t="shared" si="84"/>
        <v>124.60768402001287</v>
      </c>
      <c r="D267" s="364">
        <f t="shared" si="85"/>
        <v>1.5627710533768548</v>
      </c>
      <c r="E267" s="364">
        <f t="shared" si="86"/>
        <v>1.0079801759174978</v>
      </c>
      <c r="F267" s="365">
        <f t="shared" si="87"/>
        <v>0.12591636489146121</v>
      </c>
      <c r="G267" s="364">
        <f t="shared" si="88"/>
        <v>1.5964167346106735</v>
      </c>
      <c r="H267" s="365">
        <f t="shared" si="89"/>
        <v>-0.89386640578785226</v>
      </c>
      <c r="I267" s="363">
        <f t="shared" si="90"/>
        <v>25403.420658937383</v>
      </c>
      <c r="J267" s="366">
        <f t="shared" si="91"/>
        <v>1.5707569620174644</v>
      </c>
      <c r="K267" s="374">
        <f t="shared" si="107"/>
        <v>86.210918771484742</v>
      </c>
      <c r="L267" s="375">
        <f t="shared" si="108"/>
        <v>1.5591966078708632</v>
      </c>
      <c r="M267" s="363">
        <f t="shared" si="92"/>
        <v>1.0352140139713377</v>
      </c>
      <c r="N267" s="366">
        <f t="shared" si="93"/>
        <v>0.26157517771756628</v>
      </c>
      <c r="O267" s="367">
        <f t="shared" si="94"/>
        <v>1.0001020199654109</v>
      </c>
      <c r="P267" s="368">
        <f t="shared" si="95"/>
        <v>8.0440399497181445E-2</v>
      </c>
      <c r="Q267" s="369">
        <f t="shared" si="96"/>
        <v>-4.9165438354600823</v>
      </c>
      <c r="R267" s="370">
        <f t="shared" si="97"/>
        <v>-153.79889070412327</v>
      </c>
      <c r="S267" s="372">
        <f t="shared" si="98"/>
        <v>26.201109295876734</v>
      </c>
      <c r="U267" s="345">
        <f t="shared" si="104"/>
        <v>16789</v>
      </c>
      <c r="V267" s="345">
        <f t="shared" si="105"/>
        <v>281870521</v>
      </c>
      <c r="X267" s="371">
        <f t="shared" si="99"/>
        <v>38.409472955550619</v>
      </c>
      <c r="Y267" s="372">
        <f t="shared" si="100"/>
        <v>-15.649513228759988</v>
      </c>
      <c r="AA267" s="371">
        <f t="shared" si="101"/>
        <v>28.715183035548542</v>
      </c>
      <c r="AB267" s="372">
        <f t="shared" si="102"/>
        <v>-138.14937747536328</v>
      </c>
      <c r="AD267">
        <f t="shared" si="106"/>
        <v>0</v>
      </c>
      <c r="AE267">
        <f t="shared" si="109"/>
        <v>0</v>
      </c>
    </row>
    <row r="268" spans="1:31" x14ac:dyDescent="0.3">
      <c r="A268" s="373">
        <v>16885.5</v>
      </c>
      <c r="B268" s="390">
        <f t="shared" si="103"/>
        <v>16.8855</v>
      </c>
      <c r="C268" s="363">
        <f t="shared" si="84"/>
        <v>125.32385944976677</v>
      </c>
      <c r="D268" s="364">
        <f t="shared" si="85"/>
        <v>1.5628169155614466</v>
      </c>
      <c r="E268" s="364">
        <f t="shared" si="86"/>
        <v>1.008071808298368</v>
      </c>
      <c r="F268" s="365">
        <f t="shared" si="87"/>
        <v>0.12663241762013661</v>
      </c>
      <c r="G268" s="364">
        <f t="shared" si="88"/>
        <v>1.6019984564749996</v>
      </c>
      <c r="H268" s="365">
        <f t="shared" si="89"/>
        <v>-0.89666317606541768</v>
      </c>
      <c r="I268" s="363">
        <f t="shared" si="90"/>
        <v>25549.434721109024</v>
      </c>
      <c r="J268" s="366">
        <f t="shared" si="91"/>
        <v>1.5707571869856927</v>
      </c>
      <c r="K268" s="374">
        <f t="shared" si="107"/>
        <v>86.706376363465324</v>
      </c>
      <c r="L268" s="375">
        <f t="shared" si="108"/>
        <v>1.5592628939344999</v>
      </c>
      <c r="M268" s="363">
        <f t="shared" si="92"/>
        <v>1.0356130026801076</v>
      </c>
      <c r="N268" s="366">
        <f t="shared" si="93"/>
        <v>0.26301046158869179</v>
      </c>
      <c r="O268" s="367">
        <f t="shared" si="94"/>
        <v>1.0001032532450598</v>
      </c>
      <c r="P268" s="368">
        <f t="shared" si="95"/>
        <v>8.0903664239085238E-2</v>
      </c>
      <c r="Q268" s="369">
        <f t="shared" si="96"/>
        <v>-4.9385809762645936</v>
      </c>
      <c r="R268" s="370">
        <f t="shared" si="97"/>
        <v>-154.0257285486791</v>
      </c>
      <c r="S268" s="372">
        <f t="shared" si="98"/>
        <v>25.974271451320902</v>
      </c>
      <c r="U268" s="345">
        <f t="shared" si="104"/>
        <v>16885.5</v>
      </c>
      <c r="V268" s="345">
        <f t="shared" si="105"/>
        <v>285120110.25</v>
      </c>
      <c r="X268" s="371">
        <f t="shared" si="99"/>
        <v>38.406119254380833</v>
      </c>
      <c r="Y268" s="372">
        <f t="shared" si="100"/>
        <v>-15.727963915111399</v>
      </c>
      <c r="AA268" s="371">
        <f t="shared" si="101"/>
        <v>28.696499595913817</v>
      </c>
      <c r="AB268" s="372">
        <f t="shared" si="102"/>
        <v>-138.29776463356774</v>
      </c>
      <c r="AD268">
        <f t="shared" si="106"/>
        <v>0</v>
      </c>
      <c r="AE268">
        <f t="shared" si="109"/>
        <v>0</v>
      </c>
    </row>
    <row r="269" spans="1:31" x14ac:dyDescent="0.3">
      <c r="A269" s="373">
        <v>16982</v>
      </c>
      <c r="B269" s="390">
        <f t="shared" si="103"/>
        <v>16.981999999999999</v>
      </c>
      <c r="C269" s="363">
        <f t="shared" ref="C269:C332" si="110">SQRT(1+(A269/pole1)^2)</f>
        <v>126.04003514012378</v>
      </c>
      <c r="D269" s="364">
        <f t="shared" ref="D269:D332" si="111">ATAN(A269/pole1)</f>
        <v>1.5628622565564703</v>
      </c>
      <c r="E269" s="364">
        <f t="shared" ref="E269:E332" si="112">SQRT(1+(A269/Zero1)^2)</f>
        <v>1.0081639574553072</v>
      </c>
      <c r="F269" s="365">
        <f t="shared" ref="F269:F332" si="113">ATAN(A269/Zero1)</f>
        <v>0.12734833981717261</v>
      </c>
      <c r="G269" s="364">
        <f t="shared" ref="G269:G332" si="114">IF(VIN_nom&gt;Vout, 1, SQRT(1+(A269/z_RHP)^2))</f>
        <v>1.6075926219767818</v>
      </c>
      <c r="H269" s="365">
        <f t="shared" ref="H269:H332" si="115">IF(VIN_nom&gt;Vout, 0, -ATAN(A269/z_RHP))</f>
        <v>-0.89944050331380321</v>
      </c>
      <c r="I269" s="363">
        <f t="shared" ref="I269:I332" si="116">SQRT(1+(A269/Pole2)^2)</f>
        <v>25695.448783281936</v>
      </c>
      <c r="J269" s="366">
        <f t="shared" ref="J269:J332" si="117">ATAN(A269/Pole2)</f>
        <v>1.5707574093971626</v>
      </c>
      <c r="K269" s="374">
        <f t="shared" si="107"/>
        <v>87.201834332090854</v>
      </c>
      <c r="L269" s="375">
        <f t="shared" si="108"/>
        <v>1.5593284267583394</v>
      </c>
      <c r="M269" s="363">
        <f t="shared" ref="M269:M332" si="118">SQRT(1+(A269/pole4)^2)</f>
        <v>1.0360141231470794</v>
      </c>
      <c r="N269" s="366">
        <f t="shared" ref="N269:N332" si="119">ATAN(A269/pole4)</f>
        <v>0.26444463699560133</v>
      </c>
      <c r="O269" s="367">
        <f t="shared" ref="O269:O332" si="120">SQRT((1-(V269/pterm2))^2+(A269/pterm1)^2)</f>
        <v>1.0001044949062936</v>
      </c>
      <c r="P269" s="368">
        <f t="shared" ref="P269:P332" si="121">IF((ATAN((A269/pterm1)/(1-A269^2/pterm2))&gt;0),ATAN((A269/pterm1)/(1-A269^2/pterm2)),PI()+ATAN((A269/pterm1)/(1-A269^2/pterm2)))</f>
        <v>8.1366944556666695E-2</v>
      </c>
      <c r="Q269" s="369">
        <f t="shared" ref="Q269:Q332" si="122">20*LOG10(((E269*K269*G269)/(C269*I269*O269*M269))*Adc)</f>
        <v>-4.9603848529097041</v>
      </c>
      <c r="R269" s="370">
        <f t="shared" ref="R269:R332" si="123">((F269+L269+H269)-(D269+J269+P269+N269))*radconv</f>
        <v>-154.25141039973929</v>
      </c>
      <c r="S269" s="372">
        <f t="shared" ref="S269:S332" si="124">IF(R269&gt;0,R269,R269+180)</f>
        <v>25.748589600260715</v>
      </c>
      <c r="U269" s="345">
        <f t="shared" si="104"/>
        <v>16982</v>
      </c>
      <c r="V269" s="345">
        <f t="shared" si="105"/>
        <v>288388324</v>
      </c>
      <c r="X269" s="371">
        <f t="shared" ref="X269:X332" si="125">20*LOG10((K269/(I269*M269))*AEA)</f>
        <v>38.402749083099067</v>
      </c>
      <c r="Y269" s="372">
        <f t="shared" ref="Y269:Y332" si="126">(L269-(J269+N269))*radconv</f>
        <v>-15.80639410211136</v>
      </c>
      <c r="AA269" s="371">
        <f t="shared" ref="AA269:AA332" si="127">20*LOG10((E269*G269/(C269*O269))*Acs*Am)</f>
        <v>28.678065890550481</v>
      </c>
      <c r="AB269" s="372">
        <f t="shared" ref="AB269:AB332" si="128">(F269+H269-(D269+P269))*radconv</f>
        <v>-138.44501629762794</v>
      </c>
      <c r="AD269">
        <f t="shared" si="106"/>
        <v>0</v>
      </c>
      <c r="AE269">
        <f t="shared" si="109"/>
        <v>0</v>
      </c>
    </row>
    <row r="270" spans="1:31" x14ac:dyDescent="0.3">
      <c r="A270" s="373">
        <v>17081</v>
      </c>
      <c r="B270" s="390">
        <f t="shared" ref="B270:B333" si="129">A270/1000</f>
        <v>17.081</v>
      </c>
      <c r="C270" s="363">
        <f t="shared" si="110"/>
        <v>126.7747648710306</v>
      </c>
      <c r="D270" s="364">
        <f t="shared" si="111"/>
        <v>1.5629082398289147</v>
      </c>
      <c r="E270" s="364">
        <f t="shared" si="112"/>
        <v>1.0082590307790433</v>
      </c>
      <c r="F270" s="365">
        <f t="shared" si="113"/>
        <v>0.12808267284185942</v>
      </c>
      <c r="G270" s="364">
        <f t="shared" si="114"/>
        <v>1.6133445097406629</v>
      </c>
      <c r="H270" s="365">
        <f t="shared" si="115"/>
        <v>-0.90226974426252959</v>
      </c>
      <c r="I270" s="363">
        <f t="shared" si="116"/>
        <v>25845.245593180844</v>
      </c>
      <c r="J270" s="366">
        <f t="shared" si="117"/>
        <v>1.5707576349590366</v>
      </c>
      <c r="K270" s="374">
        <f t="shared" si="107"/>
        <v>87.710128384103001</v>
      </c>
      <c r="L270" s="375">
        <f t="shared" si="108"/>
        <v>1.5593948879392008</v>
      </c>
      <c r="M270" s="363">
        <f t="shared" si="118"/>
        <v>1.0364278480554869</v>
      </c>
      <c r="N270" s="366">
        <f t="shared" si="119"/>
        <v>0.26591481046336995</v>
      </c>
      <c r="O270" s="367">
        <f t="shared" si="120"/>
        <v>1.0001057774686202</v>
      </c>
      <c r="P270" s="368">
        <f t="shared" si="121"/>
        <v>8.184224323312797E-2</v>
      </c>
      <c r="Q270" s="369">
        <f t="shared" si="122"/>
        <v>-4.9825152183856938</v>
      </c>
      <c r="R270" s="370">
        <f t="shared" si="123"/>
        <v>-154.48174675156093</v>
      </c>
      <c r="S270" s="372">
        <f t="shared" si="124"/>
        <v>25.518253248439066</v>
      </c>
      <c r="U270" s="345">
        <f t="shared" ref="U270:U333" si="130">IF(Q270&lt;0,A270,1000000000)</f>
        <v>17081</v>
      </c>
      <c r="V270" s="345">
        <f t="shared" ref="V270:V333" si="131">A270^2</f>
        <v>291760561</v>
      </c>
      <c r="X270" s="371">
        <f t="shared" si="125"/>
        <v>38.399274525791689</v>
      </c>
      <c r="Y270" s="372">
        <f t="shared" si="126"/>
        <v>-15.886833815637123</v>
      </c>
      <c r="AA270" s="371">
        <f t="shared" si="127"/>
        <v>28.659410082381868</v>
      </c>
      <c r="AB270" s="372">
        <f t="shared" si="128"/>
        <v>-138.59491293592384</v>
      </c>
      <c r="AD270">
        <f t="shared" ref="AD270:AD333" si="132">SUM((Q271&lt;0)*(Q270&gt;0))*A270</f>
        <v>0</v>
      </c>
      <c r="AE270">
        <f t="shared" si="109"/>
        <v>0</v>
      </c>
    </row>
    <row r="271" spans="1:31" x14ac:dyDescent="0.3">
      <c r="A271" s="373">
        <v>17180</v>
      </c>
      <c r="B271" s="390">
        <f t="shared" si="129"/>
        <v>17.18</v>
      </c>
      <c r="C271" s="363">
        <f t="shared" si="110"/>
        <v>127.50949486690855</v>
      </c>
      <c r="D271" s="364">
        <f t="shared" si="111"/>
        <v>1.562953693175591</v>
      </c>
      <c r="E271" s="364">
        <f t="shared" si="112"/>
        <v>1.0083546476987146</v>
      </c>
      <c r="F271" s="365">
        <f t="shared" si="113"/>
        <v>0.12881686699658743</v>
      </c>
      <c r="G271" s="364">
        <f t="shared" si="114"/>
        <v>1.6191092198736485</v>
      </c>
      <c r="H271" s="365">
        <f t="shared" si="115"/>
        <v>-0.90507886098740908</v>
      </c>
      <c r="I271" s="363">
        <f t="shared" si="116"/>
        <v>25995.042403081054</v>
      </c>
      <c r="J271" s="366">
        <f t="shared" si="117"/>
        <v>1.5707578579213037</v>
      </c>
      <c r="K271" s="374">
        <f t="shared" si="107"/>
        <v>88.21842281907405</v>
      </c>
      <c r="L271" s="375">
        <f t="shared" si="108"/>
        <v>1.5594605832520132</v>
      </c>
      <c r="M271" s="363">
        <f t="shared" si="118"/>
        <v>1.036843811318872</v>
      </c>
      <c r="N271" s="366">
        <f t="shared" si="119"/>
        <v>0.26738380748932433</v>
      </c>
      <c r="O271" s="367">
        <f t="shared" si="120"/>
        <v>1.0001070689005744</v>
      </c>
      <c r="P271" s="368">
        <f t="shared" si="121"/>
        <v>8.2317558489747755E-2</v>
      </c>
      <c r="Q271" s="369">
        <f t="shared" si="122"/>
        <v>-5.0044081932633242</v>
      </c>
      <c r="R271" s="370">
        <f t="shared" si="123"/>
        <v>-154.71088494132414</v>
      </c>
      <c r="S271" s="372">
        <f t="shared" si="124"/>
        <v>25.289115058675861</v>
      </c>
      <c r="U271" s="345">
        <f t="shared" si="130"/>
        <v>17180</v>
      </c>
      <c r="V271" s="345">
        <f t="shared" si="131"/>
        <v>295152400</v>
      </c>
      <c r="X271" s="371">
        <f t="shared" si="125"/>
        <v>38.395782715080365</v>
      </c>
      <c r="Y271" s="372">
        <f t="shared" si="126"/>
        <v>-15.967249856072426</v>
      </c>
      <c r="AA271" s="371">
        <f t="shared" si="127"/>
        <v>28.641008918215562</v>
      </c>
      <c r="AB271" s="372">
        <f t="shared" si="128"/>
        <v>-138.7436350852517</v>
      </c>
      <c r="AD271">
        <f t="shared" si="132"/>
        <v>0</v>
      </c>
      <c r="AE271">
        <f t="shared" si="109"/>
        <v>0</v>
      </c>
    </row>
    <row r="272" spans="1:31" x14ac:dyDescent="0.3">
      <c r="A272" s="373">
        <v>17279</v>
      </c>
      <c r="B272" s="390">
        <f t="shared" si="129"/>
        <v>17.279</v>
      </c>
      <c r="C272" s="363">
        <f t="shared" si="110"/>
        <v>128.24422512320348</v>
      </c>
      <c r="D272" s="364">
        <f t="shared" si="111"/>
        <v>1.5629986257043804</v>
      </c>
      <c r="E272" s="364">
        <f t="shared" si="112"/>
        <v>1.008450808059697</v>
      </c>
      <c r="F272" s="365">
        <f t="shared" si="113"/>
        <v>0.12955092152944925</v>
      </c>
      <c r="G272" s="364">
        <f t="shared" si="114"/>
        <v>1.624886615903623</v>
      </c>
      <c r="H272" s="365">
        <f t="shared" si="115"/>
        <v>-0.90786802357670504</v>
      </c>
      <c r="I272" s="363">
        <f t="shared" si="116"/>
        <v>26144.839212982537</v>
      </c>
      <c r="J272" s="366">
        <f t="shared" si="117"/>
        <v>1.5707580783286468</v>
      </c>
      <c r="K272" s="374">
        <f t="shared" si="107"/>
        <v>88.726717630422385</v>
      </c>
      <c r="L272" s="375">
        <f t="shared" si="108"/>
        <v>1.559525525858646</v>
      </c>
      <c r="M272" s="363">
        <f t="shared" si="118"/>
        <v>1.0372620102443562</v>
      </c>
      <c r="N272" s="366">
        <f t="shared" si="119"/>
        <v>0.26885162315257288</v>
      </c>
      <c r="O272" s="367">
        <f t="shared" si="120"/>
        <v>1.0001083692267445</v>
      </c>
      <c r="P272" s="368">
        <f t="shared" si="121"/>
        <v>8.2792890421183249E-2</v>
      </c>
      <c r="Q272" s="369">
        <f t="shared" si="122"/>
        <v>-5.0260677695830926</v>
      </c>
      <c r="R272" s="370">
        <f t="shared" si="123"/>
        <v>-154.93883425121038</v>
      </c>
      <c r="S272" s="372">
        <f t="shared" si="124"/>
        <v>25.06116574878962</v>
      </c>
      <c r="U272" s="345">
        <f t="shared" si="130"/>
        <v>17279</v>
      </c>
      <c r="V272" s="345">
        <f t="shared" si="131"/>
        <v>298563841</v>
      </c>
      <c r="X272" s="371">
        <f t="shared" si="125"/>
        <v>38.39227369236972</v>
      </c>
      <c r="Y272" s="372">
        <f t="shared" si="126"/>
        <v>-16.047641189911506</v>
      </c>
      <c r="AA272" s="371">
        <f t="shared" si="127"/>
        <v>28.622858364606437</v>
      </c>
      <c r="AB272" s="372">
        <f t="shared" si="128"/>
        <v>-138.89119306129885</v>
      </c>
      <c r="AD272">
        <f t="shared" si="132"/>
        <v>0</v>
      </c>
      <c r="AE272">
        <f t="shared" si="109"/>
        <v>0</v>
      </c>
    </row>
    <row r="273" spans="1:31" x14ac:dyDescent="0.3">
      <c r="A273" s="373">
        <v>17378</v>
      </c>
      <c r="B273" s="390">
        <f t="shared" si="129"/>
        <v>17.378</v>
      </c>
      <c r="C273" s="363">
        <f t="shared" si="110"/>
        <v>128.97895563546493</v>
      </c>
      <c r="D273" s="364">
        <f t="shared" si="111"/>
        <v>1.5630430463156404</v>
      </c>
      <c r="E273" s="364">
        <f t="shared" si="112"/>
        <v>1.0085475117065466</v>
      </c>
      <c r="F273" s="365">
        <f t="shared" si="113"/>
        <v>0.13028483568942537</v>
      </c>
      <c r="G273" s="364">
        <f t="shared" si="114"/>
        <v>1.6306765629943174</v>
      </c>
      <c r="H273" s="365">
        <f t="shared" si="115"/>
        <v>-0.91063740095279744</v>
      </c>
      <c r="I273" s="363">
        <f t="shared" si="116"/>
        <v>26294.636022885275</v>
      </c>
      <c r="J273" s="366">
        <f t="shared" si="117"/>
        <v>1.5707582962247313</v>
      </c>
      <c r="K273" s="374">
        <f t="shared" si="107"/>
        <v>89.235012811716317</v>
      </c>
      <c r="L273" s="375">
        <f t="shared" si="108"/>
        <v>1.559589728621108</v>
      </c>
      <c r="M273" s="363">
        <f t="shared" si="118"/>
        <v>1.0376824421289403</v>
      </c>
      <c r="N273" s="366">
        <f t="shared" si="119"/>
        <v>0.27031825256049746</v>
      </c>
      <c r="O273" s="367">
        <f t="shared" si="120"/>
        <v>1.0001096784718599</v>
      </c>
      <c r="P273" s="368">
        <f t="shared" si="121"/>
        <v>8.3268239122066587E-2</v>
      </c>
      <c r="Q273" s="369">
        <f t="shared" si="122"/>
        <v>-5.047497862238961</v>
      </c>
      <c r="R273" s="370">
        <f t="shared" si="123"/>
        <v>-155.16560390340101</v>
      </c>
      <c r="S273" s="372">
        <f t="shared" si="124"/>
        <v>24.834396096598994</v>
      </c>
      <c r="U273" s="345">
        <f t="shared" si="130"/>
        <v>17378</v>
      </c>
      <c r="V273" s="345">
        <f t="shared" si="131"/>
        <v>301994884</v>
      </c>
      <c r="X273" s="371">
        <f t="shared" si="125"/>
        <v>38.388747499272768</v>
      </c>
      <c r="Y273" s="372">
        <f t="shared" si="126"/>
        <v>-16.128006802391052</v>
      </c>
      <c r="AA273" s="371">
        <f t="shared" si="127"/>
        <v>28.60495446504752</v>
      </c>
      <c r="AB273" s="372">
        <f t="shared" si="128"/>
        <v>-139.03759710100994</v>
      </c>
      <c r="AD273">
        <f t="shared" si="132"/>
        <v>0</v>
      </c>
      <c r="AE273">
        <f t="shared" si="109"/>
        <v>0</v>
      </c>
    </row>
    <row r="274" spans="1:31" x14ac:dyDescent="0.3">
      <c r="A274" s="373">
        <v>17479.25</v>
      </c>
      <c r="B274" s="390">
        <f t="shared" si="129"/>
        <v>17.47925</v>
      </c>
      <c r="C274" s="363">
        <f t="shared" si="110"/>
        <v>129.73038482868591</v>
      </c>
      <c r="D274" s="364">
        <f t="shared" si="111"/>
        <v>1.5630879560492732</v>
      </c>
      <c r="E274" s="364">
        <f t="shared" si="112"/>
        <v>1.0086469749479803</v>
      </c>
      <c r="F274" s="365">
        <f t="shared" si="113"/>
        <v>0.13103528374032897</v>
      </c>
      <c r="G274" s="364">
        <f t="shared" si="114"/>
        <v>1.6366109431416309</v>
      </c>
      <c r="H274" s="365">
        <f t="shared" si="115"/>
        <v>-0.91344942872272483</v>
      </c>
      <c r="I274" s="363">
        <f t="shared" si="116"/>
        <v>26447.837305741628</v>
      </c>
      <c r="J274" s="366">
        <f t="shared" si="117"/>
        <v>1.5707585165199514</v>
      </c>
      <c r="K274" s="374">
        <f t="shared" si="107"/>
        <v>89.754860532324045</v>
      </c>
      <c r="L274" s="375">
        <f t="shared" si="108"/>
        <v>1.5596546383793006</v>
      </c>
      <c r="M274" s="363">
        <f t="shared" si="118"/>
        <v>1.0381147361154788</v>
      </c>
      <c r="N274" s="366">
        <f t="shared" si="119"/>
        <v>0.271816982383418</v>
      </c>
      <c r="O274" s="367">
        <f t="shared" si="120"/>
        <v>1.0001110267237714</v>
      </c>
      <c r="P274" s="368">
        <f t="shared" si="121"/>
        <v>8.3754408646577724E-2</v>
      </c>
      <c r="Q274" s="369">
        <f t="shared" si="122"/>
        <v>-5.0691816371907681</v>
      </c>
      <c r="R274" s="370">
        <f t="shared" si="123"/>
        <v>-155.39631678104948</v>
      </c>
      <c r="S274" s="372">
        <f t="shared" si="124"/>
        <v>24.603683218950522</v>
      </c>
      <c r="U274" s="345">
        <f t="shared" si="130"/>
        <v>17479.25</v>
      </c>
      <c r="V274" s="345">
        <f t="shared" si="131"/>
        <v>305524180.5625</v>
      </c>
      <c r="X274" s="371">
        <f t="shared" si="125"/>
        <v>38.385123448831223</v>
      </c>
      <c r="Y274" s="372">
        <f t="shared" si="126"/>
        <v>-16.210171262761378</v>
      </c>
      <c r="AA274" s="371">
        <f t="shared" si="127"/>
        <v>28.586894740537257</v>
      </c>
      <c r="AB274" s="372">
        <f t="shared" si="128"/>
        <v>-139.1861455182881</v>
      </c>
      <c r="AD274">
        <f t="shared" si="132"/>
        <v>0</v>
      </c>
      <c r="AE274">
        <f t="shared" si="109"/>
        <v>0</v>
      </c>
    </row>
    <row r="275" spans="1:31" x14ac:dyDescent="0.3">
      <c r="A275" s="373">
        <v>17580.5</v>
      </c>
      <c r="B275" s="390">
        <f t="shared" si="129"/>
        <v>17.580500000000001</v>
      </c>
      <c r="C275" s="363">
        <f t="shared" si="110"/>
        <v>130.48181428054443</v>
      </c>
      <c r="D275" s="364">
        <f t="shared" si="111"/>
        <v>1.563132348523226</v>
      </c>
      <c r="E275" s="364">
        <f t="shared" si="112"/>
        <v>1.0087470061192223</v>
      </c>
      <c r="F275" s="365">
        <f t="shared" si="113"/>
        <v>0.13178558337917248</v>
      </c>
      <c r="G275" s="364">
        <f t="shared" si="114"/>
        <v>1.6425581712184116</v>
      </c>
      <c r="H275" s="365">
        <f t="shared" si="115"/>
        <v>-0.91624111535650432</v>
      </c>
      <c r="I275" s="363">
        <f t="shared" si="116"/>
        <v>26601.038588599251</v>
      </c>
      <c r="J275" s="366">
        <f t="shared" si="117"/>
        <v>1.5707587342777134</v>
      </c>
      <c r="K275" s="374">
        <f t="shared" si="107"/>
        <v>90.274708626738558</v>
      </c>
      <c r="L275" s="375">
        <f t="shared" si="108"/>
        <v>1.5597188005703722</v>
      </c>
      <c r="M275" s="363">
        <f t="shared" si="118"/>
        <v>1.0385493599618087</v>
      </c>
      <c r="N275" s="366">
        <f t="shared" si="119"/>
        <v>0.27331446115691149</v>
      </c>
      <c r="O275" s="367">
        <f t="shared" si="120"/>
        <v>1.0001123843574169</v>
      </c>
      <c r="P275" s="368">
        <f t="shared" si="121"/>
        <v>8.4240595911579785E-2</v>
      </c>
      <c r="Q275" s="369">
        <f t="shared" si="122"/>
        <v>-5.0906334219226039</v>
      </c>
      <c r="R275" s="370">
        <f t="shared" si="123"/>
        <v>-155.62581508769134</v>
      </c>
      <c r="S275" s="372">
        <f t="shared" si="124"/>
        <v>24.374184912308664</v>
      </c>
      <c r="U275" s="345">
        <f t="shared" si="130"/>
        <v>17580.5</v>
      </c>
      <c r="V275" s="345">
        <f t="shared" si="131"/>
        <v>309073980.25</v>
      </c>
      <c r="X275" s="371">
        <f t="shared" si="125"/>
        <v>38.381481527352946</v>
      </c>
      <c r="Y275" s="372">
        <f t="shared" si="126"/>
        <v>-16.29230673033484</v>
      </c>
      <c r="AA275" s="371">
        <f t="shared" si="127"/>
        <v>28.569084877283704</v>
      </c>
      <c r="AB275" s="372">
        <f t="shared" si="128"/>
        <v>-139.33350835735649</v>
      </c>
      <c r="AD275">
        <f t="shared" si="132"/>
        <v>0</v>
      </c>
      <c r="AE275">
        <f t="shared" si="109"/>
        <v>0</v>
      </c>
    </row>
    <row r="276" spans="1:31" x14ac:dyDescent="0.3">
      <c r="A276" s="373">
        <v>17681.75</v>
      </c>
      <c r="B276" s="390">
        <f t="shared" si="129"/>
        <v>17.681750000000001</v>
      </c>
      <c r="C276" s="363">
        <f t="shared" si="110"/>
        <v>131.23324398659764</v>
      </c>
      <c r="D276" s="364">
        <f t="shared" si="111"/>
        <v>1.5631762326226692</v>
      </c>
      <c r="E276" s="364">
        <f t="shared" si="112"/>
        <v>1.0088476050513353</v>
      </c>
      <c r="F276" s="365">
        <f t="shared" si="113"/>
        <v>0.13253573380546738</v>
      </c>
      <c r="G276" s="364">
        <f t="shared" si="114"/>
        <v>1.6485181081732962</v>
      </c>
      <c r="H276" s="365">
        <f t="shared" si="115"/>
        <v>-0.91901263772352682</v>
      </c>
      <c r="I276" s="363">
        <f t="shared" si="116"/>
        <v>26754.239871458118</v>
      </c>
      <c r="J276" s="366">
        <f t="shared" si="117"/>
        <v>1.5707589495416074</v>
      </c>
      <c r="K276" s="374">
        <f t="shared" si="107"/>
        <v>90.794557088539079</v>
      </c>
      <c r="L276" s="375">
        <f t="shared" si="108"/>
        <v>1.5597822280344806</v>
      </c>
      <c r="M276" s="363">
        <f t="shared" si="118"/>
        <v>1.0389863107440824</v>
      </c>
      <c r="N276" s="366">
        <f t="shared" si="119"/>
        <v>0.27481068373918599</v>
      </c>
      <c r="O276" s="367">
        <f t="shared" si="120"/>
        <v>1.0001137513997116</v>
      </c>
      <c r="P276" s="368">
        <f t="shared" si="121"/>
        <v>8.47268010182224E-2</v>
      </c>
      <c r="Q276" s="369">
        <f t="shared" si="122"/>
        <v>-5.1118571649052589</v>
      </c>
      <c r="R276" s="370">
        <f t="shared" si="123"/>
        <v>-155.8541084901467</v>
      </c>
      <c r="S276" s="372">
        <f t="shared" si="124"/>
        <v>24.1458915098533</v>
      </c>
      <c r="U276" s="345">
        <f t="shared" si="130"/>
        <v>17681.75</v>
      </c>
      <c r="V276" s="345">
        <f t="shared" si="131"/>
        <v>312644283.0625</v>
      </c>
      <c r="X276" s="371">
        <f t="shared" si="125"/>
        <v>38.377821780002719</v>
      </c>
      <c r="Y276" s="372">
        <f t="shared" si="126"/>
        <v>-16.374412177319133</v>
      </c>
      <c r="AA276" s="371">
        <f t="shared" si="127"/>
        <v>28.551520881651271</v>
      </c>
      <c r="AB276" s="372">
        <f t="shared" si="128"/>
        <v>-139.47969631282757</v>
      </c>
      <c r="AD276">
        <f t="shared" si="132"/>
        <v>0</v>
      </c>
      <c r="AE276">
        <f t="shared" si="109"/>
        <v>0</v>
      </c>
    </row>
    <row r="277" spans="1:31" x14ac:dyDescent="0.3">
      <c r="A277" s="373">
        <v>17783</v>
      </c>
      <c r="B277" s="390">
        <f t="shared" si="129"/>
        <v>17.783000000000001</v>
      </c>
      <c r="C277" s="363">
        <f t="shared" si="110"/>
        <v>131.98467394250397</v>
      </c>
      <c r="D277" s="364">
        <f t="shared" si="111"/>
        <v>1.5632196170304367</v>
      </c>
      <c r="E277" s="364">
        <f t="shared" si="112"/>
        <v>1.0089487715744905</v>
      </c>
      <c r="F277" s="365">
        <f t="shared" si="113"/>
        <v>0.13328573421971515</v>
      </c>
      <c r="G277" s="364">
        <f t="shared" si="114"/>
        <v>1.6544906166635132</v>
      </c>
      <c r="H277" s="365">
        <f t="shared" si="115"/>
        <v>-0.92176417138654931</v>
      </c>
      <c r="I277" s="363">
        <f t="shared" si="116"/>
        <v>26907.441154318214</v>
      </c>
      <c r="J277" s="366">
        <f t="shared" si="117"/>
        <v>1.5707591623542314</v>
      </c>
      <c r="K277" s="374">
        <f t="shared" si="107"/>
        <v>91.31440591145109</v>
      </c>
      <c r="L277" s="375">
        <f t="shared" si="108"/>
        <v>1.5598449333194144</v>
      </c>
      <c r="M277" s="363">
        <f t="shared" si="118"/>
        <v>1.0394255855277275</v>
      </c>
      <c r="N277" s="366">
        <f t="shared" si="119"/>
        <v>0.27630564501957006</v>
      </c>
      <c r="O277" s="367">
        <f t="shared" si="120"/>
        <v>1.0001151278777256</v>
      </c>
      <c r="P277" s="368">
        <f t="shared" si="121"/>
        <v>8.5213024067627097E-2</v>
      </c>
      <c r="Q277" s="369">
        <f t="shared" si="122"/>
        <v>-5.1328567374367466</v>
      </c>
      <c r="R277" s="370">
        <f t="shared" si="123"/>
        <v>-156.08120658719747</v>
      </c>
      <c r="S277" s="372">
        <f t="shared" si="124"/>
        <v>23.918793412802529</v>
      </c>
      <c r="U277" s="345">
        <f t="shared" si="130"/>
        <v>17783</v>
      </c>
      <c r="V277" s="345">
        <f t="shared" si="131"/>
        <v>316235089</v>
      </c>
      <c r="X277" s="371">
        <f t="shared" si="125"/>
        <v>38.374144252155588</v>
      </c>
      <c r="Y277" s="372">
        <f t="shared" si="126"/>
        <v>-16.456486594399706</v>
      </c>
      <c r="AA277" s="371">
        <f t="shared" si="127"/>
        <v>28.534198836966915</v>
      </c>
      <c r="AB277" s="372">
        <f t="shared" si="128"/>
        <v>-139.62471999279779</v>
      </c>
      <c r="AD277">
        <f t="shared" si="132"/>
        <v>0</v>
      </c>
      <c r="AE277">
        <f t="shared" si="109"/>
        <v>0</v>
      </c>
    </row>
    <row r="278" spans="1:31" x14ac:dyDescent="0.3">
      <c r="A278" s="373">
        <v>17886.5</v>
      </c>
      <c r="B278" s="390">
        <f t="shared" si="129"/>
        <v>17.886500000000002</v>
      </c>
      <c r="C278" s="363">
        <f t="shared" si="110"/>
        <v>132.75280259570033</v>
      </c>
      <c r="D278" s="364">
        <f t="shared" si="111"/>
        <v>1.5632634578997635</v>
      </c>
      <c r="E278" s="364">
        <f t="shared" si="112"/>
        <v>1.0090527727157308</v>
      </c>
      <c r="F278" s="365">
        <f t="shared" si="113"/>
        <v>0.13405224542892105</v>
      </c>
      <c r="G278" s="364">
        <f t="shared" si="114"/>
        <v>1.6606087000166032</v>
      </c>
      <c r="H278" s="365">
        <f t="shared" si="115"/>
        <v>-0.92455637174055216</v>
      </c>
      <c r="I278" s="363">
        <f t="shared" si="116"/>
        <v>27064.046910131998</v>
      </c>
      <c r="J278" s="366">
        <f t="shared" si="117"/>
        <v>1.5707593774057846</v>
      </c>
      <c r="K278" s="374">
        <f t="shared" si="107"/>
        <v>91.845807297280984</v>
      </c>
      <c r="L278" s="375">
        <f t="shared" si="108"/>
        <v>1.5599082983927921</v>
      </c>
      <c r="M278" s="363">
        <f t="shared" si="118"/>
        <v>1.0398770209484236</v>
      </c>
      <c r="N278" s="366">
        <f t="shared" si="119"/>
        <v>0.27783251871623343</v>
      </c>
      <c r="O278" s="367">
        <f t="shared" si="120"/>
        <v>1.0001165447250622</v>
      </c>
      <c r="P278" s="368">
        <f t="shared" si="121"/>
        <v>8.571007072423148E-2</v>
      </c>
      <c r="Q278" s="369">
        <f t="shared" si="122"/>
        <v>-5.1540952209219801</v>
      </c>
      <c r="R278" s="370">
        <f t="shared" si="123"/>
        <v>-156.31212578743248</v>
      </c>
      <c r="S278" s="372">
        <f t="shared" si="124"/>
        <v>23.687874212567522</v>
      </c>
      <c r="U278" s="345">
        <f t="shared" si="130"/>
        <v>17886.5</v>
      </c>
      <c r="V278" s="345">
        <f t="shared" si="131"/>
        <v>319926882.25</v>
      </c>
      <c r="X278" s="371">
        <f t="shared" si="125"/>
        <v>38.370366671358823</v>
      </c>
      <c r="Y278" s="372">
        <f t="shared" si="126"/>
        <v>-16.540351783437188</v>
      </c>
      <c r="AA278" s="371">
        <f t="shared" si="127"/>
        <v>28.516737934278446</v>
      </c>
      <c r="AB278" s="372">
        <f t="shared" si="128"/>
        <v>-139.77177400399529</v>
      </c>
      <c r="AD278">
        <f t="shared" si="132"/>
        <v>0</v>
      </c>
      <c r="AE278">
        <f t="shared" si="109"/>
        <v>0</v>
      </c>
    </row>
    <row r="279" spans="1:31" x14ac:dyDescent="0.3">
      <c r="A279" s="373">
        <v>17990</v>
      </c>
      <c r="B279" s="390">
        <f t="shared" si="129"/>
        <v>17.989999999999998</v>
      </c>
      <c r="C279" s="363">
        <f t="shared" si="110"/>
        <v>133.5209315011148</v>
      </c>
      <c r="D279" s="364">
        <f t="shared" si="111"/>
        <v>1.5633067943473027</v>
      </c>
      <c r="E279" s="364">
        <f t="shared" si="112"/>
        <v>1.0091573665928659</v>
      </c>
      <c r="F279" s="365">
        <f t="shared" si="113"/>
        <v>0.13481859819856504</v>
      </c>
      <c r="G279" s="364">
        <f t="shared" si="114"/>
        <v>1.6667396350052692</v>
      </c>
      <c r="H279" s="365">
        <f t="shared" si="115"/>
        <v>-0.92732805191219536</v>
      </c>
      <c r="I279" s="363">
        <f t="shared" si="116"/>
        <v>27220.652665947022</v>
      </c>
      <c r="J279" s="366">
        <f t="shared" si="117"/>
        <v>1.5707595899828701</v>
      </c>
      <c r="K279" s="374">
        <f t="shared" ref="K279:K342" si="133">SQRT(1+(A279/Zero2)^2)</f>
        <v>92.37720904764123</v>
      </c>
      <c r="L279" s="375">
        <f t="shared" ref="L279:L342" si="134">ATAN(A279/Zero2)</f>
        <v>1.5599709344487043</v>
      </c>
      <c r="M279" s="363">
        <f t="shared" si="118"/>
        <v>1.0403308785721512</v>
      </c>
      <c r="N279" s="366">
        <f t="shared" si="119"/>
        <v>0.27935806373061062</v>
      </c>
      <c r="O279" s="367">
        <f t="shared" si="120"/>
        <v>1.0001179714898418</v>
      </c>
      <c r="P279" s="368">
        <f t="shared" si="121"/>
        <v>8.6207136343503674E-2</v>
      </c>
      <c r="Q279" s="369">
        <f t="shared" si="122"/>
        <v>-5.1751074011364633</v>
      </c>
      <c r="R279" s="370">
        <f t="shared" si="123"/>
        <v>-156.54181603094162</v>
      </c>
      <c r="S279" s="372">
        <f t="shared" si="124"/>
        <v>23.458183969058382</v>
      </c>
      <c r="U279" s="345">
        <f t="shared" si="130"/>
        <v>17990</v>
      </c>
      <c r="V279" s="345">
        <f t="shared" si="131"/>
        <v>323640100</v>
      </c>
      <c r="X279" s="371">
        <f t="shared" si="125"/>
        <v>38.36657060757625</v>
      </c>
      <c r="Y279" s="372">
        <f t="shared" si="126"/>
        <v>-16.624182472434722</v>
      </c>
      <c r="AA279" s="371">
        <f t="shared" si="127"/>
        <v>28.499521817846535</v>
      </c>
      <c r="AB279" s="372">
        <f t="shared" si="128"/>
        <v>-139.91763355850691</v>
      </c>
      <c r="AD279">
        <f t="shared" si="132"/>
        <v>0</v>
      </c>
      <c r="AE279">
        <f t="shared" si="109"/>
        <v>0</v>
      </c>
    </row>
    <row r="280" spans="1:31" x14ac:dyDescent="0.3">
      <c r="A280" s="373">
        <v>18093.5</v>
      </c>
      <c r="B280" s="390">
        <f t="shared" si="129"/>
        <v>18.093499999999999</v>
      </c>
      <c r="C280" s="363">
        <f t="shared" si="110"/>
        <v>134.28906065441922</v>
      </c>
      <c r="D280" s="364">
        <f t="shared" si="111"/>
        <v>1.5633496350287202</v>
      </c>
      <c r="E280" s="364">
        <f t="shared" si="112"/>
        <v>1.0092625530216133</v>
      </c>
      <c r="F280" s="365">
        <f t="shared" si="113"/>
        <v>0.13558479167789411</v>
      </c>
      <c r="G280" s="364">
        <f t="shared" si="114"/>
        <v>1.6728832803299838</v>
      </c>
      <c r="H280" s="365">
        <f t="shared" si="115"/>
        <v>-0.9300793951616918</v>
      </c>
      <c r="I280" s="363">
        <f t="shared" si="116"/>
        <v>27377.258421763261</v>
      </c>
      <c r="J280" s="366">
        <f t="shared" si="117"/>
        <v>1.5707598001279521</v>
      </c>
      <c r="K280" s="374">
        <f t="shared" si="133"/>
        <v>92.908611156276876</v>
      </c>
      <c r="L280" s="375">
        <f t="shared" si="134"/>
        <v>1.5600328539957677</v>
      </c>
      <c r="M280" s="363">
        <f t="shared" si="118"/>
        <v>1.0407871552301495</v>
      </c>
      <c r="N280" s="366">
        <f t="shared" si="119"/>
        <v>0.28088227470480048</v>
      </c>
      <c r="O280" s="367">
        <f t="shared" si="120"/>
        <v>1.0001194082014826</v>
      </c>
      <c r="P280" s="368">
        <f t="shared" si="121"/>
        <v>8.670422103336535E-2</v>
      </c>
      <c r="Q280" s="369">
        <f t="shared" si="122"/>
        <v>-5.1958971742105176</v>
      </c>
      <c r="R280" s="370">
        <f t="shared" si="123"/>
        <v>-156.77028734737974</v>
      </c>
      <c r="S280" s="372">
        <f t="shared" si="124"/>
        <v>23.229712652620265</v>
      </c>
      <c r="U280" s="345">
        <f t="shared" si="130"/>
        <v>18093.5</v>
      </c>
      <c r="V280" s="345">
        <f t="shared" si="131"/>
        <v>327374742.25</v>
      </c>
      <c r="X280" s="371">
        <f t="shared" si="125"/>
        <v>38.362756109929506</v>
      </c>
      <c r="Y280" s="372">
        <f t="shared" si="126"/>
        <v>-16.707977640149267</v>
      </c>
      <c r="AA280" s="371">
        <f t="shared" si="127"/>
        <v>28.482546542419218</v>
      </c>
      <c r="AB280" s="372">
        <f t="shared" si="128"/>
        <v>-140.0623097072305</v>
      </c>
      <c r="AD280">
        <f t="shared" si="132"/>
        <v>0</v>
      </c>
      <c r="AE280">
        <f t="shared" si="109"/>
        <v>0</v>
      </c>
    </row>
    <row r="281" spans="1:31" x14ac:dyDescent="0.3">
      <c r="A281" s="373">
        <v>18197</v>
      </c>
      <c r="B281" s="390">
        <f t="shared" si="129"/>
        <v>18.196999999999999</v>
      </c>
      <c r="C281" s="363">
        <f t="shared" si="110"/>
        <v>135.05719005138411</v>
      </c>
      <c r="D281" s="364">
        <f t="shared" si="111"/>
        <v>1.5633919884027743</v>
      </c>
      <c r="E281" s="364">
        <f t="shared" si="112"/>
        <v>1.0093683318167228</v>
      </c>
      <c r="F281" s="365">
        <f t="shared" si="113"/>
        <v>0.13635082501725701</v>
      </c>
      <c r="G281" s="364">
        <f t="shared" si="114"/>
        <v>1.6790394964684898</v>
      </c>
      <c r="H281" s="365">
        <f t="shared" si="115"/>
        <v>-0.93281058330147626</v>
      </c>
      <c r="I281" s="363">
        <f t="shared" si="116"/>
        <v>27533.86417758069</v>
      </c>
      <c r="J281" s="366">
        <f t="shared" si="117"/>
        <v>1.5707600078825286</v>
      </c>
      <c r="K281" s="374">
        <f t="shared" si="133"/>
        <v>93.440013617075294</v>
      </c>
      <c r="L281" s="375">
        <f t="shared" si="134"/>
        <v>1.5600940692580703</v>
      </c>
      <c r="M281" s="363">
        <f t="shared" si="118"/>
        <v>1.0412458477423367</v>
      </c>
      <c r="N281" s="366">
        <f t="shared" si="119"/>
        <v>0.28240514631506214</v>
      </c>
      <c r="O281" s="367">
        <f t="shared" si="120"/>
        <v>1.0001208548895726</v>
      </c>
      <c r="P281" s="368">
        <f t="shared" si="121"/>
        <v>8.7201324901706789E-2</v>
      </c>
      <c r="Q281" s="369">
        <f t="shared" si="122"/>
        <v>-5.2164683592897561</v>
      </c>
      <c r="R281" s="370">
        <f t="shared" si="123"/>
        <v>-156.99754969030747</v>
      </c>
      <c r="S281" s="372">
        <f t="shared" si="124"/>
        <v>23.002450309692534</v>
      </c>
      <c r="U281" s="345">
        <f t="shared" si="130"/>
        <v>18197</v>
      </c>
      <c r="V281" s="345">
        <f t="shared" si="131"/>
        <v>331130809</v>
      </c>
      <c r="X281" s="371">
        <f t="shared" si="125"/>
        <v>38.358923227751703</v>
      </c>
      <c r="Y281" s="372">
        <f t="shared" si="126"/>
        <v>-16.791736283541937</v>
      </c>
      <c r="AA281" s="371">
        <f t="shared" si="127"/>
        <v>28.465808239517788</v>
      </c>
      <c r="AB281" s="372">
        <f t="shared" si="128"/>
        <v>-140.20581340676551</v>
      </c>
      <c r="AD281">
        <f t="shared" si="132"/>
        <v>0</v>
      </c>
      <c r="AE281">
        <f t="shared" si="109"/>
        <v>0</v>
      </c>
    </row>
    <row r="282" spans="1:31" x14ac:dyDescent="0.3">
      <c r="A282" s="373">
        <v>18303</v>
      </c>
      <c r="B282" s="390">
        <f t="shared" si="129"/>
        <v>18.303000000000001</v>
      </c>
      <c r="C282" s="363">
        <f t="shared" si="110"/>
        <v>135.84387354675823</v>
      </c>
      <c r="D282" s="364">
        <f t="shared" si="111"/>
        <v>1.563434868336794</v>
      </c>
      <c r="E282" s="364">
        <f t="shared" si="112"/>
        <v>1.0094772794623341</v>
      </c>
      <c r="F282" s="365">
        <f t="shared" si="113"/>
        <v>0.13713519470191141</v>
      </c>
      <c r="G282" s="364">
        <f t="shared" si="114"/>
        <v>1.6853572994877055</v>
      </c>
      <c r="H282" s="365">
        <f t="shared" si="115"/>
        <v>-0.93558703936704191</v>
      </c>
      <c r="I282" s="363">
        <f t="shared" si="116"/>
        <v>27694.252681124402</v>
      </c>
      <c r="J282" s="366">
        <f t="shared" si="117"/>
        <v>1.570760218219889</v>
      </c>
      <c r="K282" s="374">
        <f t="shared" si="133"/>
        <v>93.984252244889035</v>
      </c>
      <c r="L282" s="375">
        <f t="shared" si="134"/>
        <v>1.5601560456240953</v>
      </c>
      <c r="M282" s="363">
        <f t="shared" si="118"/>
        <v>1.0417181205391355</v>
      </c>
      <c r="N282" s="366">
        <f t="shared" si="119"/>
        <v>0.28396340845474621</v>
      </c>
      <c r="O282" s="367">
        <f t="shared" si="120"/>
        <v>1.0001223468937381</v>
      </c>
      <c r="P282" s="368">
        <f t="shared" si="121"/>
        <v>8.7710456101508169E-2</v>
      </c>
      <c r="Q282" s="369">
        <f t="shared" si="122"/>
        <v>-5.2373137726848871</v>
      </c>
      <c r="R282" s="370">
        <f t="shared" si="123"/>
        <v>-157.22905865205502</v>
      </c>
      <c r="S282" s="372">
        <f t="shared" si="124"/>
        <v>22.770941347944984</v>
      </c>
      <c r="U282" s="345">
        <f t="shared" si="130"/>
        <v>18303</v>
      </c>
      <c r="V282" s="345">
        <f t="shared" si="131"/>
        <v>334999809</v>
      </c>
      <c r="X282" s="371">
        <f t="shared" si="125"/>
        <v>38.354978759642705</v>
      </c>
      <c r="Y282" s="372">
        <f t="shared" si="126"/>
        <v>-16.877479194859074</v>
      </c>
      <c r="AA282" s="371">
        <f t="shared" si="127"/>
        <v>28.44890729423166</v>
      </c>
      <c r="AB282" s="372">
        <f t="shared" si="128"/>
        <v>-140.35157945719595</v>
      </c>
      <c r="AD282">
        <f t="shared" si="132"/>
        <v>0</v>
      </c>
      <c r="AE282">
        <f t="shared" ref="AE282:AE345" si="135">IF(AD282&gt;0,S282,0)</f>
        <v>0</v>
      </c>
    </row>
    <row r="283" spans="1:31" x14ac:dyDescent="0.3">
      <c r="A283" s="373">
        <v>18409</v>
      </c>
      <c r="B283" s="390">
        <f t="shared" si="129"/>
        <v>18.408999999999999</v>
      </c>
      <c r="C283" s="363">
        <f t="shared" si="110"/>
        <v>136.63055728903069</v>
      </c>
      <c r="D283" s="364">
        <f t="shared" si="111"/>
        <v>1.5634772544875435</v>
      </c>
      <c r="E283" s="364">
        <f t="shared" si="112"/>
        <v>1.0095868480402439</v>
      </c>
      <c r="F283" s="365">
        <f t="shared" si="113"/>
        <v>0.13791939461658828</v>
      </c>
      <c r="G283" s="364">
        <f t="shared" si="114"/>
        <v>1.6916879973368373</v>
      </c>
      <c r="H283" s="365">
        <f t="shared" si="115"/>
        <v>-0.93834273622864062</v>
      </c>
      <c r="I283" s="363">
        <f t="shared" si="116"/>
        <v>27854.641184669323</v>
      </c>
      <c r="J283" s="366">
        <f t="shared" si="117"/>
        <v>1.5707604261349819</v>
      </c>
      <c r="K283" s="374">
        <f t="shared" si="133"/>
        <v>94.528491229546006</v>
      </c>
      <c r="L283" s="375">
        <f t="shared" si="134"/>
        <v>1.5602173083440425</v>
      </c>
      <c r="M283" s="363">
        <f t="shared" si="118"/>
        <v>1.0421929205199094</v>
      </c>
      <c r="N283" s="366">
        <f t="shared" si="119"/>
        <v>0.28552025455252805</v>
      </c>
      <c r="O283" s="367">
        <f t="shared" si="120"/>
        <v>1.0001238494254914</v>
      </c>
      <c r="P283" s="368">
        <f t="shared" si="121"/>
        <v>8.8219607646437687E-2</v>
      </c>
      <c r="Q283" s="369">
        <f t="shared" si="122"/>
        <v>-5.2579377791761424</v>
      </c>
      <c r="R283" s="370">
        <f t="shared" si="123"/>
        <v>-157.45932041702162</v>
      </c>
      <c r="S283" s="372">
        <f t="shared" si="124"/>
        <v>22.540679582978385</v>
      </c>
      <c r="U283" s="345">
        <f t="shared" si="130"/>
        <v>18409</v>
      </c>
      <c r="V283" s="345">
        <f t="shared" si="131"/>
        <v>338891281</v>
      </c>
      <c r="X283" s="371">
        <f t="shared" si="125"/>
        <v>38.351015113536036</v>
      </c>
      <c r="Y283" s="372">
        <f t="shared" si="126"/>
        <v>-16.963181723074161</v>
      </c>
      <c r="AA283" s="371">
        <f t="shared" si="127"/>
        <v>28.432246933847072</v>
      </c>
      <c r="AB283" s="372">
        <f t="shared" si="128"/>
        <v>-140.49613869394744</v>
      </c>
      <c r="AD283">
        <f t="shared" si="132"/>
        <v>0</v>
      </c>
      <c r="AE283">
        <f t="shared" si="135"/>
        <v>0</v>
      </c>
    </row>
    <row r="284" spans="1:31" x14ac:dyDescent="0.3">
      <c r="A284" s="373">
        <v>18515</v>
      </c>
      <c r="B284" s="390">
        <f t="shared" si="129"/>
        <v>18.515000000000001</v>
      </c>
      <c r="C284" s="363">
        <f t="shared" si="110"/>
        <v>137.41724127396114</v>
      </c>
      <c r="D284" s="364">
        <f t="shared" si="111"/>
        <v>1.5635191553352765</v>
      </c>
      <c r="E284" s="364">
        <f t="shared" si="112"/>
        <v>1.0096970373483085</v>
      </c>
      <c r="F284" s="365">
        <f t="shared" si="113"/>
        <v>0.13870342385219572</v>
      </c>
      <c r="G284" s="364">
        <f t="shared" si="114"/>
        <v>1.6980314457901662</v>
      </c>
      <c r="H284" s="365">
        <f t="shared" si="115"/>
        <v>-0.94107786445312924</v>
      </c>
      <c r="I284" s="363">
        <f t="shared" si="116"/>
        <v>28015.029688215436</v>
      </c>
      <c r="J284" s="366">
        <f t="shared" si="117"/>
        <v>1.5707606316694107</v>
      </c>
      <c r="K284" s="374">
        <f t="shared" si="133"/>
        <v>95.072730564918004</v>
      </c>
      <c r="L284" s="375">
        <f t="shared" si="134"/>
        <v>1.5602778696731472</v>
      </c>
      <c r="M284" s="363">
        <f t="shared" si="118"/>
        <v>1.0426702442322535</v>
      </c>
      <c r="N284" s="366">
        <f t="shared" si="119"/>
        <v>0.28707567900117353</v>
      </c>
      <c r="O284" s="367">
        <f t="shared" si="120"/>
        <v>1.0001253625171691</v>
      </c>
      <c r="P284" s="368">
        <f t="shared" si="121"/>
        <v>8.8728779652290285E-2</v>
      </c>
      <c r="Q284" s="369">
        <f t="shared" si="122"/>
        <v>-5.2783442414690631</v>
      </c>
      <c r="R284" s="370">
        <f t="shared" si="123"/>
        <v>-157.68834542742795</v>
      </c>
      <c r="S284" s="372">
        <f t="shared" si="124"/>
        <v>22.311654572572053</v>
      </c>
      <c r="U284" s="345">
        <f t="shared" si="130"/>
        <v>18515</v>
      </c>
      <c r="V284" s="345">
        <f t="shared" si="131"/>
        <v>342805225</v>
      </c>
      <c r="X284" s="371">
        <f t="shared" si="125"/>
        <v>38.347032343088323</v>
      </c>
      <c r="Y284" s="372">
        <f t="shared" si="126"/>
        <v>-17.048842847126807</v>
      </c>
      <c r="AA284" s="371">
        <f t="shared" si="127"/>
        <v>28.41582324200186</v>
      </c>
      <c r="AB284" s="372">
        <f t="shared" si="128"/>
        <v>-140.63950258030113</v>
      </c>
      <c r="AD284">
        <f t="shared" si="132"/>
        <v>0</v>
      </c>
      <c r="AE284">
        <f t="shared" si="135"/>
        <v>0</v>
      </c>
    </row>
    <row r="285" spans="1:31" x14ac:dyDescent="0.3">
      <c r="A285" s="373">
        <v>18621</v>
      </c>
      <c r="B285" s="390">
        <f t="shared" si="129"/>
        <v>18.620999999999999</v>
      </c>
      <c r="C285" s="363">
        <f t="shared" si="110"/>
        <v>138.20392549740583</v>
      </c>
      <c r="D285" s="364">
        <f t="shared" si="111"/>
        <v>1.5635605791671683</v>
      </c>
      <c r="E285" s="364">
        <f t="shared" si="112"/>
        <v>1.0098078471833272</v>
      </c>
      <c r="F285" s="365">
        <f t="shared" si="113"/>
        <v>0.1394872815008768</v>
      </c>
      <c r="G285" s="364">
        <f t="shared" si="114"/>
        <v>1.7043875024807769</v>
      </c>
      <c r="H285" s="365">
        <f t="shared" si="115"/>
        <v>-0.94379261300424167</v>
      </c>
      <c r="I285" s="363">
        <f t="shared" si="116"/>
        <v>28175.418191762717</v>
      </c>
      <c r="J285" s="366">
        <f t="shared" si="117"/>
        <v>1.5707608348638309</v>
      </c>
      <c r="K285" s="374">
        <f t="shared" si="133"/>
        <v>95.61697024501639</v>
      </c>
      <c r="L285" s="375">
        <f t="shared" si="134"/>
        <v>1.5603377415876452</v>
      </c>
      <c r="M285" s="363">
        <f t="shared" si="118"/>
        <v>1.0431500882117468</v>
      </c>
      <c r="N285" s="366">
        <f t="shared" si="119"/>
        <v>0.28862967623120006</v>
      </c>
      <c r="O285" s="367">
        <f t="shared" si="120"/>
        <v>1.0001268862012955</v>
      </c>
      <c r="P285" s="368">
        <f t="shared" si="121"/>
        <v>8.9237972234825588E-2</v>
      </c>
      <c r="Q285" s="369">
        <f t="shared" si="122"/>
        <v>-5.2985369449593893</v>
      </c>
      <c r="R285" s="370">
        <f t="shared" si="123"/>
        <v>-157.91614404060121</v>
      </c>
      <c r="S285" s="372">
        <f t="shared" si="124"/>
        <v>22.08385595939879</v>
      </c>
      <c r="U285" s="345">
        <f t="shared" si="130"/>
        <v>18621</v>
      </c>
      <c r="V285" s="345">
        <f t="shared" si="131"/>
        <v>346741641</v>
      </c>
      <c r="X285" s="371">
        <f t="shared" si="125"/>
        <v>38.343030502170194</v>
      </c>
      <c r="Y285" s="372">
        <f t="shared" si="126"/>
        <v>-17.134461564050788</v>
      </c>
      <c r="AA285" s="371">
        <f t="shared" si="127"/>
        <v>28.399632379429661</v>
      </c>
      <c r="AB285" s="372">
        <f t="shared" si="128"/>
        <v>-140.7816824765504</v>
      </c>
      <c r="AD285">
        <f t="shared" si="132"/>
        <v>0</v>
      </c>
      <c r="AE285">
        <f t="shared" si="135"/>
        <v>0</v>
      </c>
    </row>
    <row r="286" spans="1:31" x14ac:dyDescent="0.3">
      <c r="A286" s="373">
        <v>18729.5</v>
      </c>
      <c r="B286" s="390">
        <f t="shared" si="129"/>
        <v>18.729500000000002</v>
      </c>
      <c r="C286" s="363">
        <f t="shared" si="110"/>
        <v>139.00916383683679</v>
      </c>
      <c r="D286" s="364">
        <f t="shared" si="111"/>
        <v>1.5636024944053291</v>
      </c>
      <c r="E286" s="364">
        <f t="shared" si="112"/>
        <v>1.0099219128967856</v>
      </c>
      <c r="F286" s="365">
        <f t="shared" si="113"/>
        <v>0.14028944770699628</v>
      </c>
      <c r="G286" s="364">
        <f t="shared" si="114"/>
        <v>1.7109063772830848</v>
      </c>
      <c r="H286" s="365">
        <f t="shared" si="115"/>
        <v>-0.94655047787926738</v>
      </c>
      <c r="I286" s="363">
        <f t="shared" si="116"/>
        <v>28339.589443036362</v>
      </c>
      <c r="J286" s="366">
        <f t="shared" si="117"/>
        <v>1.5707610404685997</v>
      </c>
      <c r="K286" s="374">
        <f t="shared" si="133"/>
        <v>96.174046117535667</v>
      </c>
      <c r="L286" s="375">
        <f t="shared" si="134"/>
        <v>1.5603983237957344</v>
      </c>
      <c r="M286" s="363">
        <f t="shared" si="118"/>
        <v>1.043643855766067</v>
      </c>
      <c r="N286" s="366">
        <f t="shared" si="119"/>
        <v>0.29021884045877067</v>
      </c>
      <c r="O286" s="367">
        <f t="shared" si="120"/>
        <v>1.0001284568256388</v>
      </c>
      <c r="P286" s="368">
        <f t="shared" si="121"/>
        <v>8.9759195507529352E-2</v>
      </c>
      <c r="Q286" s="369">
        <f t="shared" si="122"/>
        <v>-5.3189883828419706</v>
      </c>
      <c r="R286" s="370">
        <f t="shared" si="123"/>
        <v>-158.14805585918901</v>
      </c>
      <c r="S286" s="372">
        <f t="shared" si="124"/>
        <v>21.851944140810986</v>
      </c>
      <c r="U286" s="345">
        <f t="shared" si="130"/>
        <v>18729.5</v>
      </c>
      <c r="V286" s="345">
        <f t="shared" si="131"/>
        <v>350794170.25</v>
      </c>
      <c r="X286" s="371">
        <f t="shared" si="125"/>
        <v>38.33891458422427</v>
      </c>
      <c r="Y286" s="372">
        <f t="shared" si="126"/>
        <v>-17.222054642792234</v>
      </c>
      <c r="AA286" s="371">
        <f t="shared" si="127"/>
        <v>28.383296859493012</v>
      </c>
      <c r="AB286" s="372">
        <f t="shared" si="128"/>
        <v>-140.92600121639683</v>
      </c>
      <c r="AD286">
        <f t="shared" si="132"/>
        <v>0</v>
      </c>
      <c r="AE286">
        <f t="shared" si="135"/>
        <v>0</v>
      </c>
    </row>
    <row r="287" spans="1:31" x14ac:dyDescent="0.3">
      <c r="A287" s="373">
        <v>18838</v>
      </c>
      <c r="B287" s="390">
        <f t="shared" si="129"/>
        <v>18.838000000000001</v>
      </c>
      <c r="C287" s="363">
        <f t="shared" si="110"/>
        <v>139.814402417678</v>
      </c>
      <c r="D287" s="364">
        <f t="shared" si="111"/>
        <v>1.5636439268354059</v>
      </c>
      <c r="E287" s="364">
        <f t="shared" si="112"/>
        <v>1.0100366283183024</v>
      </c>
      <c r="F287" s="365">
        <f t="shared" si="113"/>
        <v>0.14109143221620565</v>
      </c>
      <c r="G287" s="364">
        <f t="shared" si="114"/>
        <v>1.7174381660859548</v>
      </c>
      <c r="H287" s="365">
        <f t="shared" si="115"/>
        <v>-0.94928738592587514</v>
      </c>
      <c r="I287" s="363">
        <f t="shared" si="116"/>
        <v>28503.76069431119</v>
      </c>
      <c r="J287" s="366">
        <f t="shared" si="117"/>
        <v>1.5707612437049518</v>
      </c>
      <c r="K287" s="374">
        <f t="shared" si="133"/>
        <v>96.73112233896768</v>
      </c>
      <c r="L287" s="375">
        <f t="shared" si="134"/>
        <v>1.5604582082160545</v>
      </c>
      <c r="M287" s="363">
        <f t="shared" si="118"/>
        <v>1.0441402564867381</v>
      </c>
      <c r="N287" s="366">
        <f t="shared" si="119"/>
        <v>0.29180649766531147</v>
      </c>
      <c r="O287" s="367">
        <f t="shared" si="120"/>
        <v>1.00013003861752</v>
      </c>
      <c r="P287" s="368">
        <f t="shared" si="121"/>
        <v>9.0280440584274341E-2</v>
      </c>
      <c r="Q287" s="369">
        <f t="shared" si="122"/>
        <v>-5.3392236450896338</v>
      </c>
      <c r="R287" s="370">
        <f t="shared" si="123"/>
        <v>-158.37870443548451</v>
      </c>
      <c r="S287" s="372">
        <f t="shared" si="124"/>
        <v>21.621295564515492</v>
      </c>
      <c r="U287" s="345">
        <f t="shared" si="130"/>
        <v>18838</v>
      </c>
      <c r="V287" s="345">
        <f t="shared" si="131"/>
        <v>354870244</v>
      </c>
      <c r="X287" s="371">
        <f t="shared" si="125"/>
        <v>38.334778800531517</v>
      </c>
      <c r="Y287" s="372">
        <f t="shared" si="126"/>
        <v>-17.309601220182881</v>
      </c>
      <c r="AA287" s="371">
        <f t="shared" si="127"/>
        <v>28.367197380938091</v>
      </c>
      <c r="AB287" s="372">
        <f t="shared" si="128"/>
        <v>-141.0691032153016</v>
      </c>
      <c r="AD287">
        <f t="shared" si="132"/>
        <v>0</v>
      </c>
      <c r="AE287">
        <f t="shared" si="135"/>
        <v>0</v>
      </c>
    </row>
    <row r="288" spans="1:31" x14ac:dyDescent="0.3">
      <c r="A288" s="373">
        <v>18946.5</v>
      </c>
      <c r="B288" s="390">
        <f t="shared" si="129"/>
        <v>18.9465</v>
      </c>
      <c r="C288" s="363">
        <f t="shared" si="110"/>
        <v>140.61964123578235</v>
      </c>
      <c r="D288" s="364">
        <f t="shared" si="111"/>
        <v>1.5636848847514557</v>
      </c>
      <c r="E288" s="364">
        <f t="shared" si="112"/>
        <v>1.0101519932265304</v>
      </c>
      <c r="F288" s="365">
        <f t="shared" si="113"/>
        <v>0.14189323405894391</v>
      </c>
      <c r="G288" s="364">
        <f t="shared" si="114"/>
        <v>1.7239827221045276</v>
      </c>
      <c r="H288" s="365">
        <f t="shared" si="115"/>
        <v>-0.95200353457550646</v>
      </c>
      <c r="I288" s="363">
        <f t="shared" si="116"/>
        <v>28667.931945587185</v>
      </c>
      <c r="J288" s="366">
        <f t="shared" si="117"/>
        <v>1.5707614446135763</v>
      </c>
      <c r="K288" s="374">
        <f t="shared" si="133"/>
        <v>97.288198903318758</v>
      </c>
      <c r="L288" s="375">
        <f t="shared" si="134"/>
        <v>1.5605174068348635</v>
      </c>
      <c r="M288" s="363">
        <f t="shared" si="118"/>
        <v>1.0446392866200085</v>
      </c>
      <c r="N288" s="366">
        <f t="shared" si="119"/>
        <v>0.29339264200103155</v>
      </c>
      <c r="O288" s="367">
        <f t="shared" si="120"/>
        <v>1.0001316316124256</v>
      </c>
      <c r="P288" s="368">
        <f t="shared" si="121"/>
        <v>9.0801707589088745E-2</v>
      </c>
      <c r="Q288" s="369">
        <f t="shared" si="122"/>
        <v>-5.3592465509456897</v>
      </c>
      <c r="R288" s="370">
        <f t="shared" si="123"/>
        <v>-158.60810059974935</v>
      </c>
      <c r="S288" s="372">
        <f t="shared" si="124"/>
        <v>21.391899400250651</v>
      </c>
      <c r="U288" s="345">
        <f t="shared" si="130"/>
        <v>18946.5</v>
      </c>
      <c r="V288" s="345">
        <f t="shared" si="131"/>
        <v>358969862.25</v>
      </c>
      <c r="X288" s="371">
        <f t="shared" si="125"/>
        <v>38.330623209532263</v>
      </c>
      <c r="Y288" s="372">
        <f t="shared" si="126"/>
        <v>-17.397100276623693</v>
      </c>
      <c r="AA288" s="371">
        <f t="shared" si="127"/>
        <v>28.351330066081296</v>
      </c>
      <c r="AB288" s="372">
        <f t="shared" si="128"/>
        <v>-141.21100032312566</v>
      </c>
      <c r="AD288">
        <f t="shared" si="132"/>
        <v>0</v>
      </c>
      <c r="AE288">
        <f t="shared" si="135"/>
        <v>0</v>
      </c>
    </row>
    <row r="289" spans="1:31" x14ac:dyDescent="0.3">
      <c r="A289" s="373">
        <v>19055</v>
      </c>
      <c r="B289" s="390">
        <f t="shared" si="129"/>
        <v>19.055</v>
      </c>
      <c r="C289" s="363">
        <f t="shared" si="110"/>
        <v>141.42488028709698</v>
      </c>
      <c r="D289" s="364">
        <f t="shared" si="111"/>
        <v>1.5637253762586438</v>
      </c>
      <c r="E289" s="364">
        <f t="shared" si="112"/>
        <v>1.0102680073989703</v>
      </c>
      <c r="F289" s="365">
        <f t="shared" si="113"/>
        <v>0.14269485226703116</v>
      </c>
      <c r="G289" s="364">
        <f t="shared" si="114"/>
        <v>1.7305399004896351</v>
      </c>
      <c r="H289" s="365">
        <f t="shared" si="115"/>
        <v>-0.95469911950122754</v>
      </c>
      <c r="I289" s="363">
        <f t="shared" si="116"/>
        <v>28832.103196864318</v>
      </c>
      <c r="J289" s="366">
        <f t="shared" si="117"/>
        <v>1.5707616432342359</v>
      </c>
      <c r="K289" s="374">
        <f t="shared" si="133"/>
        <v>97.84527580473177</v>
      </c>
      <c r="L289" s="375">
        <f t="shared" si="134"/>
        <v>1.560575931365467</v>
      </c>
      <c r="M289" s="363">
        <f t="shared" si="118"/>
        <v>1.0451409423994302</v>
      </c>
      <c r="N289" s="366">
        <f t="shared" si="119"/>
        <v>0.29497726765773236</v>
      </c>
      <c r="O289" s="367">
        <f t="shared" si="120"/>
        <v>1.0001332358460462</v>
      </c>
      <c r="P289" s="368">
        <f t="shared" si="121"/>
        <v>9.1322996645960899E-2</v>
      </c>
      <c r="Q289" s="369">
        <f t="shared" si="122"/>
        <v>-5.3790608422664885</v>
      </c>
      <c r="R289" s="370">
        <f t="shared" si="123"/>
        <v>-158.83625508856292</v>
      </c>
      <c r="S289" s="372">
        <f t="shared" si="124"/>
        <v>21.163744911437078</v>
      </c>
      <c r="U289" s="345">
        <f t="shared" si="130"/>
        <v>19055</v>
      </c>
      <c r="V289" s="345">
        <f t="shared" si="131"/>
        <v>363093025</v>
      </c>
      <c r="X289" s="371">
        <f t="shared" si="125"/>
        <v>38.326447869882358</v>
      </c>
      <c r="Y289" s="372">
        <f t="shared" si="126"/>
        <v>-17.484550810484691</v>
      </c>
      <c r="AA289" s="371">
        <f t="shared" si="127"/>
        <v>28.335691114410398</v>
      </c>
      <c r="AB289" s="372">
        <f t="shared" si="128"/>
        <v>-141.35170427807824</v>
      </c>
      <c r="AD289">
        <f t="shared" si="132"/>
        <v>0</v>
      </c>
      <c r="AE289">
        <f t="shared" si="135"/>
        <v>0</v>
      </c>
    </row>
    <row r="290" spans="1:31" x14ac:dyDescent="0.3">
      <c r="A290" s="373">
        <v>19165.75</v>
      </c>
      <c r="B290" s="390">
        <f t="shared" si="129"/>
        <v>19.165749999999999</v>
      </c>
      <c r="C290" s="363">
        <f t="shared" si="110"/>
        <v>142.24681808048598</v>
      </c>
      <c r="D290" s="364">
        <f t="shared" si="111"/>
        <v>1.563766234659449</v>
      </c>
      <c r="E290" s="364">
        <f t="shared" si="112"/>
        <v>1.0103870967628301</v>
      </c>
      <c r="F290" s="365">
        <f t="shared" si="113"/>
        <v>0.14351290350394835</v>
      </c>
      <c r="G290" s="364">
        <f t="shared" si="114"/>
        <v>1.7372459265149491</v>
      </c>
      <c r="H290" s="365">
        <f t="shared" si="115"/>
        <v>-0.95742959721654586</v>
      </c>
      <c r="I290" s="363">
        <f t="shared" si="116"/>
        <v>28999.678921095368</v>
      </c>
      <c r="J290" s="366">
        <f t="shared" si="117"/>
        <v>1.5707618436544826</v>
      </c>
      <c r="K290" s="374">
        <f t="shared" si="133"/>
        <v>98.413905333793849</v>
      </c>
      <c r="L290" s="375">
        <f t="shared" si="134"/>
        <v>1.5606349862239424</v>
      </c>
      <c r="M290" s="363">
        <f t="shared" si="118"/>
        <v>1.0456557051385369</v>
      </c>
      <c r="N290" s="366">
        <f t="shared" si="119"/>
        <v>0.29659318198149492</v>
      </c>
      <c r="O290" s="367">
        <f t="shared" si="120"/>
        <v>1.0001348849751848</v>
      </c>
      <c r="P290" s="368">
        <f t="shared" si="121"/>
        <v>9.1855118716029763E-2</v>
      </c>
      <c r="Q290" s="369">
        <f t="shared" si="122"/>
        <v>-5.3990746872838766</v>
      </c>
      <c r="R290" s="370">
        <f t="shared" si="123"/>
        <v>-159.06787137728375</v>
      </c>
      <c r="S290" s="372">
        <f t="shared" si="124"/>
        <v>20.932128622716249</v>
      </c>
      <c r="U290" s="345">
        <f t="shared" si="130"/>
        <v>19165.75</v>
      </c>
      <c r="V290" s="345">
        <f t="shared" si="131"/>
        <v>367325973.0625</v>
      </c>
      <c r="X290" s="371">
        <f t="shared" si="125"/>
        <v>38.322165638780994</v>
      </c>
      <c r="Y290" s="372">
        <f t="shared" si="126"/>
        <v>-17.573763770476834</v>
      </c>
      <c r="AA290" s="371">
        <f t="shared" si="127"/>
        <v>28.319959500494377</v>
      </c>
      <c r="AB290" s="372">
        <f t="shared" si="128"/>
        <v>-141.49410760680689</v>
      </c>
      <c r="AD290">
        <f t="shared" si="132"/>
        <v>0</v>
      </c>
      <c r="AE290">
        <f t="shared" si="135"/>
        <v>0</v>
      </c>
    </row>
    <row r="291" spans="1:31" x14ac:dyDescent="0.3">
      <c r="A291" s="373">
        <v>19276.5</v>
      </c>
      <c r="B291" s="390">
        <f t="shared" si="129"/>
        <v>19.276499999999999</v>
      </c>
      <c r="C291" s="363">
        <f t="shared" si="110"/>
        <v>143.06875610861454</v>
      </c>
      <c r="D291" s="364">
        <f t="shared" si="111"/>
        <v>1.5638066235927124</v>
      </c>
      <c r="E291" s="364">
        <f t="shared" si="112"/>
        <v>1.0105068621260065</v>
      </c>
      <c r="F291" s="365">
        <f t="shared" si="113"/>
        <v>0.14433076137706391</v>
      </c>
      <c r="G291" s="364">
        <f t="shared" si="114"/>
        <v>1.7439648049276215</v>
      </c>
      <c r="H291" s="365">
        <f t="shared" si="115"/>
        <v>-0.96013905587669579</v>
      </c>
      <c r="I291" s="363">
        <f t="shared" si="116"/>
        <v>29167.254645327568</v>
      </c>
      <c r="J291" s="366">
        <f t="shared" si="117"/>
        <v>1.5707620417717651</v>
      </c>
      <c r="K291" s="374">
        <f t="shared" si="133"/>
        <v>98.982535202128702</v>
      </c>
      <c r="L291" s="375">
        <f t="shared" si="134"/>
        <v>1.5606933625718833</v>
      </c>
      <c r="M291" s="363">
        <f t="shared" si="118"/>
        <v>1.0461731955808664</v>
      </c>
      <c r="N291" s="366">
        <f t="shared" si="119"/>
        <v>0.29820750189033807</v>
      </c>
      <c r="O291" s="367">
        <f t="shared" si="120"/>
        <v>1.00013654588979</v>
      </c>
      <c r="P291" s="368">
        <f t="shared" si="121"/>
        <v>9.2387264023160318E-2</v>
      </c>
      <c r="Q291" s="369">
        <f t="shared" si="122"/>
        <v>-5.4188788151493137</v>
      </c>
      <c r="R291" s="370">
        <f t="shared" si="123"/>
        <v>-159.29821626525336</v>
      </c>
      <c r="S291" s="372">
        <f t="shared" si="124"/>
        <v>20.701783734746641</v>
      </c>
      <c r="U291" s="345">
        <f t="shared" si="130"/>
        <v>19276.5</v>
      </c>
      <c r="V291" s="345">
        <f t="shared" si="131"/>
        <v>371583452.25</v>
      </c>
      <c r="X291" s="371">
        <f t="shared" si="125"/>
        <v>38.317862955629266</v>
      </c>
      <c r="Y291" s="372">
        <f t="shared" si="126"/>
        <v>-17.66292412106311</v>
      </c>
      <c r="AA291" s="371">
        <f t="shared" si="127"/>
        <v>28.304458055780671</v>
      </c>
      <c r="AB291" s="372">
        <f t="shared" si="128"/>
        <v>-141.63529214419023</v>
      </c>
      <c r="AD291">
        <f t="shared" si="132"/>
        <v>0</v>
      </c>
      <c r="AE291">
        <f t="shared" si="135"/>
        <v>0</v>
      </c>
    </row>
    <row r="292" spans="1:31" x14ac:dyDescent="0.3">
      <c r="A292" s="373">
        <v>19387.25</v>
      </c>
      <c r="B292" s="390">
        <f t="shared" si="129"/>
        <v>19.387250000000002</v>
      </c>
      <c r="C292" s="363">
        <f t="shared" si="110"/>
        <v>143.89069436746001</v>
      </c>
      <c r="D292" s="364">
        <f t="shared" si="111"/>
        <v>1.5638465511034358</v>
      </c>
      <c r="E292" s="364">
        <f t="shared" si="112"/>
        <v>1.0106273032481699</v>
      </c>
      <c r="F292" s="365">
        <f t="shared" si="113"/>
        <v>0.14514842486120105</v>
      </c>
      <c r="G292" s="364">
        <f t="shared" si="114"/>
        <v>1.7506963877517525</v>
      </c>
      <c r="H292" s="365">
        <f t="shared" si="115"/>
        <v>-0.96282769793089928</v>
      </c>
      <c r="I292" s="363">
        <f t="shared" si="116"/>
        <v>29334.830369560899</v>
      </c>
      <c r="J292" s="366">
        <f t="shared" si="117"/>
        <v>1.570762237625551</v>
      </c>
      <c r="K292" s="374">
        <f t="shared" si="133"/>
        <v>99.551165403922653</v>
      </c>
      <c r="L292" s="375">
        <f t="shared" si="134"/>
        <v>1.5607510720357214</v>
      </c>
      <c r="M292" s="363">
        <f t="shared" si="118"/>
        <v>1.0466934096806482</v>
      </c>
      <c r="N292" s="366">
        <f t="shared" si="119"/>
        <v>0.29982022134145464</v>
      </c>
      <c r="O292" s="367">
        <f t="shared" si="120"/>
        <v>1.0001382186284793</v>
      </c>
      <c r="P292" s="368">
        <f t="shared" si="121"/>
        <v>9.2919432699085661E-2</v>
      </c>
      <c r="Q292" s="369">
        <f t="shared" si="122"/>
        <v>-5.4384769672172251</v>
      </c>
      <c r="R292" s="370">
        <f t="shared" si="123"/>
        <v>-159.52730086907692</v>
      </c>
      <c r="S292" s="372">
        <f t="shared" si="124"/>
        <v>20.472699130923075</v>
      </c>
      <c r="U292" s="345">
        <f t="shared" si="130"/>
        <v>19387.25</v>
      </c>
      <c r="V292" s="345">
        <f t="shared" si="131"/>
        <v>375865462.5625</v>
      </c>
      <c r="X292" s="371">
        <f t="shared" si="125"/>
        <v>38.313539883473261</v>
      </c>
      <c r="Y292" s="372">
        <f t="shared" si="126"/>
        <v>-17.752030852132012</v>
      </c>
      <c r="AA292" s="371">
        <f t="shared" si="127"/>
        <v>28.289182975868762</v>
      </c>
      <c r="AB292" s="372">
        <f t="shared" si="128"/>
        <v>-141.77527001694492</v>
      </c>
      <c r="AD292">
        <f t="shared" si="132"/>
        <v>0</v>
      </c>
      <c r="AE292">
        <f t="shared" si="135"/>
        <v>0</v>
      </c>
    </row>
    <row r="293" spans="1:31" x14ac:dyDescent="0.3">
      <c r="A293" s="373">
        <v>19498</v>
      </c>
      <c r="B293" s="390">
        <f t="shared" si="129"/>
        <v>19.498000000000001</v>
      </c>
      <c r="C293" s="363">
        <f t="shared" si="110"/>
        <v>144.71263285309107</v>
      </c>
      <c r="D293" s="364">
        <f t="shared" si="111"/>
        <v>1.5638860250538509</v>
      </c>
      <c r="E293" s="364">
        <f t="shared" si="112"/>
        <v>1.0107484198877488</v>
      </c>
      <c r="F293" s="365">
        <f t="shared" si="113"/>
        <v>0.14596589293271015</v>
      </c>
      <c r="G293" s="364">
        <f t="shared" si="114"/>
        <v>1.7574405290009609</v>
      </c>
      <c r="H293" s="365">
        <f t="shared" si="115"/>
        <v>-0.96549572393343097</v>
      </c>
      <c r="I293" s="363">
        <f t="shared" si="116"/>
        <v>29502.40609379534</v>
      </c>
      <c r="J293" s="366">
        <f t="shared" si="117"/>
        <v>1.5707624312544104</v>
      </c>
      <c r="K293" s="374">
        <f t="shared" si="133"/>
        <v>100.11979593349402</v>
      </c>
      <c r="L293" s="375">
        <f t="shared" si="134"/>
        <v>1.5608081259777769</v>
      </c>
      <c r="M293" s="363">
        <f t="shared" si="118"/>
        <v>1.0472163433788788</v>
      </c>
      <c r="N293" s="366">
        <f t="shared" si="119"/>
        <v>0.30143133433731378</v>
      </c>
      <c r="O293" s="367">
        <f t="shared" si="120"/>
        <v>1.0001399032300928</v>
      </c>
      <c r="P293" s="368">
        <f t="shared" si="121"/>
        <v>9.3451624875494646E-2</v>
      </c>
      <c r="Q293" s="369">
        <f t="shared" si="122"/>
        <v>-5.4578728083024028</v>
      </c>
      <c r="R293" s="370">
        <f t="shared" si="123"/>
        <v>-159.75513620390041</v>
      </c>
      <c r="S293" s="372">
        <f t="shared" si="124"/>
        <v>20.244863796099594</v>
      </c>
      <c r="U293" s="345">
        <f t="shared" si="130"/>
        <v>19498</v>
      </c>
      <c r="V293" s="345">
        <f t="shared" si="131"/>
        <v>380172004</v>
      </c>
      <c r="X293" s="371">
        <f t="shared" si="125"/>
        <v>38.309196485573167</v>
      </c>
      <c r="Y293" s="372">
        <f t="shared" si="126"/>
        <v>-17.84108297124725</v>
      </c>
      <c r="AA293" s="371">
        <f t="shared" si="127"/>
        <v>28.274130532683678</v>
      </c>
      <c r="AB293" s="372">
        <f t="shared" si="128"/>
        <v>-141.91405323265315</v>
      </c>
      <c r="AD293">
        <f t="shared" si="132"/>
        <v>0</v>
      </c>
      <c r="AE293">
        <f t="shared" si="135"/>
        <v>0</v>
      </c>
    </row>
    <row r="294" spans="1:31" x14ac:dyDescent="0.3">
      <c r="A294" s="373">
        <v>19611.75</v>
      </c>
      <c r="B294" s="390">
        <f t="shared" si="129"/>
        <v>19.611750000000001</v>
      </c>
      <c r="C294" s="363">
        <f t="shared" si="110"/>
        <v>145.55683627015534</v>
      </c>
      <c r="D294" s="364">
        <f t="shared" si="111"/>
        <v>1.5639261041909438</v>
      </c>
      <c r="E294" s="364">
        <f t="shared" si="112"/>
        <v>1.0108735202970895</v>
      </c>
      <c r="F294" s="365">
        <f t="shared" si="113"/>
        <v>0.14680530011090934</v>
      </c>
      <c r="G294" s="364">
        <f t="shared" si="114"/>
        <v>1.7643802778298654</v>
      </c>
      <c r="H294" s="365">
        <f t="shared" si="115"/>
        <v>-0.9682147688963576</v>
      </c>
      <c r="I294" s="363">
        <f t="shared" si="116"/>
        <v>29674.521115301381</v>
      </c>
      <c r="J294" s="366">
        <f t="shared" si="117"/>
        <v>1.5707626278517426</v>
      </c>
      <c r="K294" s="374">
        <f t="shared" si="133"/>
        <v>100.70382988277153</v>
      </c>
      <c r="L294" s="375">
        <f t="shared" si="134"/>
        <v>1.5608660546651876</v>
      </c>
      <c r="M294" s="363">
        <f t="shared" si="118"/>
        <v>1.0477562691456841</v>
      </c>
      <c r="N294" s="366">
        <f t="shared" si="119"/>
        <v>0.3030844106500909</v>
      </c>
      <c r="O294" s="367">
        <f t="shared" si="120"/>
        <v>1.0001416458545793</v>
      </c>
      <c r="P294" s="368">
        <f t="shared" si="121"/>
        <v>9.3998257695056722E-2</v>
      </c>
      <c r="Q294" s="369">
        <f t="shared" si="122"/>
        <v>-5.4775872095649429</v>
      </c>
      <c r="R294" s="370">
        <f t="shared" si="123"/>
        <v>-159.98785412598193</v>
      </c>
      <c r="S294" s="372">
        <f t="shared" si="124"/>
        <v>20.012145874018074</v>
      </c>
      <c r="U294" s="345">
        <f t="shared" si="130"/>
        <v>19611.75</v>
      </c>
      <c r="V294" s="345">
        <f t="shared" si="131"/>
        <v>384620738.0625</v>
      </c>
      <c r="X294" s="371">
        <f t="shared" si="125"/>
        <v>38.304714341145655</v>
      </c>
      <c r="Y294" s="372">
        <f t="shared" si="126"/>
        <v>-17.932489462182904</v>
      </c>
      <c r="AA294" s="371">
        <f t="shared" si="127"/>
        <v>28.258898275848651</v>
      </c>
      <c r="AB294" s="372">
        <f t="shared" si="128"/>
        <v>-142.055364663799</v>
      </c>
      <c r="AD294">
        <f t="shared" si="132"/>
        <v>0</v>
      </c>
      <c r="AE294">
        <f t="shared" si="135"/>
        <v>0</v>
      </c>
    </row>
    <row r="295" spans="1:31" x14ac:dyDescent="0.3">
      <c r="A295" s="373">
        <v>19725.5</v>
      </c>
      <c r="B295" s="390">
        <f t="shared" si="129"/>
        <v>19.7255</v>
      </c>
      <c r="C295" s="363">
        <f t="shared" si="110"/>
        <v>146.40103991833641</v>
      </c>
      <c r="D295" s="364">
        <f t="shared" si="111"/>
        <v>1.5639657211052389</v>
      </c>
      <c r="E295" s="364">
        <f t="shared" si="112"/>
        <v>1.010999332795808</v>
      </c>
      <c r="F295" s="365">
        <f t="shared" si="113"/>
        <v>0.14764449896241755</v>
      </c>
      <c r="G295" s="364">
        <f t="shared" si="114"/>
        <v>1.7713329688175545</v>
      </c>
      <c r="H295" s="365">
        <f t="shared" si="115"/>
        <v>-0.97091248852905587</v>
      </c>
      <c r="I295" s="363">
        <f t="shared" si="116"/>
        <v>29846.636136808556</v>
      </c>
      <c r="J295" s="366">
        <f t="shared" si="117"/>
        <v>1.5707628221816596</v>
      </c>
      <c r="K295" s="374">
        <f t="shared" si="133"/>
        <v>101.28786416608706</v>
      </c>
      <c r="L295" s="375">
        <f t="shared" si="134"/>
        <v>1.5609233153094904</v>
      </c>
      <c r="M295" s="363">
        <f t="shared" si="118"/>
        <v>1.0482990551215916</v>
      </c>
      <c r="N295" s="366">
        <f t="shared" si="119"/>
        <v>0.30473577961919113</v>
      </c>
      <c r="O295" s="367">
        <f t="shared" si="120"/>
        <v>1.0001434010771562</v>
      </c>
      <c r="P295" s="368">
        <f t="shared" si="121"/>
        <v>9.4544915586968328E-2</v>
      </c>
      <c r="Q295" s="369">
        <f t="shared" si="122"/>
        <v>-5.4970957873538406</v>
      </c>
      <c r="R295" s="370">
        <f t="shared" si="123"/>
        <v>-160.21927740855804</v>
      </c>
      <c r="S295" s="372">
        <f t="shared" si="124"/>
        <v>19.780722591441958</v>
      </c>
      <c r="U295" s="345">
        <f t="shared" si="130"/>
        <v>19725.5</v>
      </c>
      <c r="V295" s="345">
        <f t="shared" si="131"/>
        <v>389095350.25</v>
      </c>
      <c r="X295" s="371">
        <f t="shared" si="125"/>
        <v>38.300210890839267</v>
      </c>
      <c r="Y295" s="372">
        <f t="shared" si="126"/>
        <v>-18.023836275668927</v>
      </c>
      <c r="AA295" s="371">
        <f t="shared" si="127"/>
        <v>28.243893148366141</v>
      </c>
      <c r="AB295" s="372">
        <f t="shared" si="128"/>
        <v>-142.19544113288916</v>
      </c>
      <c r="AD295">
        <f t="shared" si="132"/>
        <v>0</v>
      </c>
      <c r="AE295">
        <f t="shared" si="135"/>
        <v>0</v>
      </c>
    </row>
    <row r="296" spans="1:31" x14ac:dyDescent="0.3">
      <c r="A296" s="373">
        <v>19839.25</v>
      </c>
      <c r="B296" s="390">
        <f t="shared" si="129"/>
        <v>19.83925</v>
      </c>
      <c r="C296" s="363">
        <f t="shared" si="110"/>
        <v>147.24524379365917</v>
      </c>
      <c r="D296" s="364">
        <f t="shared" si="111"/>
        <v>1.5640048837468221</v>
      </c>
      <c r="E296" s="364">
        <f t="shared" si="112"/>
        <v>1.0111258571180926</v>
      </c>
      <c r="F296" s="365">
        <f t="shared" si="113"/>
        <v>0.14848348838320199</v>
      </c>
      <c r="G296" s="364">
        <f t="shared" si="114"/>
        <v>1.7782984501624668</v>
      </c>
      <c r="H296" s="365">
        <f t="shared" si="115"/>
        <v>-0.97358909392371973</v>
      </c>
      <c r="I296" s="363">
        <f t="shared" si="116"/>
        <v>30018.751158316849</v>
      </c>
      <c r="J296" s="366">
        <f t="shared" si="117"/>
        <v>1.5707630142831632</v>
      </c>
      <c r="K296" s="374">
        <f t="shared" si="133"/>
        <v>101.87189877769549</v>
      </c>
      <c r="L296" s="375">
        <f t="shared" si="134"/>
        <v>1.5609799194000389</v>
      </c>
      <c r="M296" s="363">
        <f t="shared" si="118"/>
        <v>1.0488446968660543</v>
      </c>
      <c r="N296" s="366">
        <f t="shared" si="119"/>
        <v>0.30638543489569303</v>
      </c>
      <c r="O296" s="367">
        <f t="shared" si="120"/>
        <v>1.0001451689406378</v>
      </c>
      <c r="P296" s="368">
        <f t="shared" si="121"/>
        <v>9.5091598693764851E-2</v>
      </c>
      <c r="Q296" s="369">
        <f t="shared" si="122"/>
        <v>-5.5164022718394525</v>
      </c>
      <c r="R296" s="370">
        <f t="shared" si="123"/>
        <v>-160.44941765342682</v>
      </c>
      <c r="S296" s="372">
        <f t="shared" si="124"/>
        <v>19.550582346573179</v>
      </c>
      <c r="U296" s="345">
        <f t="shared" si="130"/>
        <v>19839.25</v>
      </c>
      <c r="V296" s="345">
        <f t="shared" si="131"/>
        <v>393595840.5625</v>
      </c>
      <c r="X296" s="371">
        <f t="shared" si="125"/>
        <v>38.295686203869209</v>
      </c>
      <c r="Y296" s="372">
        <f t="shared" si="126"/>
        <v>-18.115122391882075</v>
      </c>
      <c r="AA296" s="371">
        <f t="shared" si="127"/>
        <v>28.229111350850587</v>
      </c>
      <c r="AB296" s="372">
        <f t="shared" si="128"/>
        <v>-142.33429526154475</v>
      </c>
      <c r="AD296">
        <f t="shared" si="132"/>
        <v>0</v>
      </c>
      <c r="AE296">
        <f t="shared" si="135"/>
        <v>0</v>
      </c>
    </row>
    <row r="297" spans="1:31" x14ac:dyDescent="0.3">
      <c r="A297" s="373">
        <v>19953</v>
      </c>
      <c r="B297" s="390">
        <f t="shared" si="129"/>
        <v>19.952999999999999</v>
      </c>
      <c r="C297" s="363">
        <f t="shared" si="110"/>
        <v>148.08944789223901</v>
      </c>
      <c r="D297" s="364">
        <f t="shared" si="111"/>
        <v>1.5640435998845033</v>
      </c>
      <c r="E297" s="364">
        <f t="shared" si="112"/>
        <v>1.0112530929967607</v>
      </c>
      <c r="F297" s="365">
        <f t="shared" si="113"/>
        <v>0.14932226727096023</v>
      </c>
      <c r="G297" s="364">
        <f t="shared" si="114"/>
        <v>1.7852765721550414</v>
      </c>
      <c r="H297" s="365">
        <f t="shared" si="115"/>
        <v>-0.97624479409138332</v>
      </c>
      <c r="I297" s="363">
        <f t="shared" si="116"/>
        <v>30190.866179826233</v>
      </c>
      <c r="J297" s="366">
        <f t="shared" si="117"/>
        <v>1.5707632041943649</v>
      </c>
      <c r="K297" s="374">
        <f t="shared" si="133"/>
        <v>102.45593371198262</v>
      </c>
      <c r="L297" s="375">
        <f t="shared" si="134"/>
        <v>1.5610358781642306</v>
      </c>
      <c r="M297" s="363">
        <f t="shared" si="118"/>
        <v>1.0493931899244222</v>
      </c>
      <c r="N297" s="366">
        <f t="shared" si="119"/>
        <v>0.30803337018115362</v>
      </c>
      <c r="O297" s="367">
        <f t="shared" si="120"/>
        <v>1.0001469494880855</v>
      </c>
      <c r="P297" s="368">
        <f t="shared" si="121"/>
        <v>9.5638307157931299E-2</v>
      </c>
      <c r="Q297" s="369">
        <f t="shared" si="122"/>
        <v>-5.5355103156701233</v>
      </c>
      <c r="R297" s="370">
        <f t="shared" si="123"/>
        <v>-160.67828635050637</v>
      </c>
      <c r="S297" s="372">
        <f t="shared" si="124"/>
        <v>19.321713649493631</v>
      </c>
      <c r="U297" s="345">
        <f t="shared" si="130"/>
        <v>19953</v>
      </c>
      <c r="V297" s="345">
        <f t="shared" si="131"/>
        <v>398122209</v>
      </c>
      <c r="X297" s="371">
        <f t="shared" si="125"/>
        <v>38.291140349667849</v>
      </c>
      <c r="Y297" s="372">
        <f t="shared" si="126"/>
        <v>-18.206346808849272</v>
      </c>
      <c r="AA297" s="371">
        <f t="shared" si="127"/>
        <v>28.214549161221278</v>
      </c>
      <c r="AB297" s="372">
        <f t="shared" si="128"/>
        <v>-142.47193954165709</v>
      </c>
      <c r="AD297">
        <f t="shared" si="132"/>
        <v>0</v>
      </c>
      <c r="AE297">
        <f t="shared" si="135"/>
        <v>0</v>
      </c>
    </row>
    <row r="298" spans="1:31" x14ac:dyDescent="0.3">
      <c r="A298" s="373">
        <v>20069</v>
      </c>
      <c r="B298" s="390">
        <f t="shared" si="129"/>
        <v>20.068999999999999</v>
      </c>
      <c r="C298" s="363">
        <f t="shared" si="110"/>
        <v>148.9503507594178</v>
      </c>
      <c r="D298" s="364">
        <f t="shared" si="111"/>
        <v>1.5640826298668347</v>
      </c>
      <c r="E298" s="364">
        <f t="shared" si="112"/>
        <v>1.0113835781583684</v>
      </c>
      <c r="F298" s="365">
        <f t="shared" si="113"/>
        <v>0.15017741942777052</v>
      </c>
      <c r="G298" s="364">
        <f t="shared" si="114"/>
        <v>1.7924055880576433</v>
      </c>
      <c r="H298" s="365">
        <f t="shared" si="115"/>
        <v>-0.97893170952388364</v>
      </c>
      <c r="I298" s="363">
        <f t="shared" si="116"/>
        <v>30366.385674289657</v>
      </c>
      <c r="J298" s="366">
        <f t="shared" si="117"/>
        <v>1.5707633956449434</v>
      </c>
      <c r="K298" s="374">
        <f t="shared" si="133"/>
        <v>103.05152131225776</v>
      </c>
      <c r="L298" s="375">
        <f t="shared" si="134"/>
        <v>1.5610922905792441</v>
      </c>
      <c r="M298" s="363">
        <f t="shared" si="118"/>
        <v>1.0499554641346911</v>
      </c>
      <c r="N298" s="366">
        <f t="shared" si="119"/>
        <v>0.30971212415180638</v>
      </c>
      <c r="O298" s="367">
        <f t="shared" si="120"/>
        <v>1.0001487783628358</v>
      </c>
      <c r="P298" s="368">
        <f t="shared" si="121"/>
        <v>9.6195855898021751E-2</v>
      </c>
      <c r="Q298" s="369">
        <f t="shared" si="122"/>
        <v>-5.5547956612085772</v>
      </c>
      <c r="R298" s="370">
        <f t="shared" si="123"/>
        <v>-160.91038439185468</v>
      </c>
      <c r="S298" s="372">
        <f t="shared" si="124"/>
        <v>19.089615608145323</v>
      </c>
      <c r="U298" s="345">
        <f t="shared" si="130"/>
        <v>20069</v>
      </c>
      <c r="V298" s="345">
        <f t="shared" si="131"/>
        <v>402764761</v>
      </c>
      <c r="X298" s="371">
        <f t="shared" si="125"/>
        <v>38.286482850258693</v>
      </c>
      <c r="Y298" s="372">
        <f t="shared" si="126"/>
        <v>-18.299311102332442</v>
      </c>
      <c r="AA298" s="371">
        <f t="shared" si="127"/>
        <v>28.199921315091974</v>
      </c>
      <c r="AB298" s="372">
        <f t="shared" si="128"/>
        <v>-142.61107328952227</v>
      </c>
      <c r="AD298">
        <f t="shared" si="132"/>
        <v>0</v>
      </c>
      <c r="AE298">
        <f t="shared" si="135"/>
        <v>0</v>
      </c>
    </row>
    <row r="299" spans="1:31" x14ac:dyDescent="0.3">
      <c r="A299" s="373">
        <v>20185</v>
      </c>
      <c r="B299" s="390">
        <f t="shared" si="129"/>
        <v>20.184999999999999</v>
      </c>
      <c r="C299" s="363">
        <f t="shared" si="110"/>
        <v>149.81125385089075</v>
      </c>
      <c r="D299" s="364">
        <f t="shared" si="111"/>
        <v>1.564121211271009</v>
      </c>
      <c r="E299" s="364">
        <f t="shared" si="112"/>
        <v>1.0115148027386953</v>
      </c>
      <c r="F299" s="365">
        <f t="shared" si="113"/>
        <v>0.15103235033057225</v>
      </c>
      <c r="G299" s="364">
        <f t="shared" si="114"/>
        <v>1.7995474416766597</v>
      </c>
      <c r="H299" s="365">
        <f t="shared" si="115"/>
        <v>-0.98159731698203068</v>
      </c>
      <c r="I299" s="363">
        <f t="shared" si="116"/>
        <v>30541.90516875418</v>
      </c>
      <c r="J299" s="366">
        <f t="shared" si="117"/>
        <v>1.5707635848950494</v>
      </c>
      <c r="K299" s="374">
        <f t="shared" si="133"/>
        <v>103.64710923671105</v>
      </c>
      <c r="L299" s="375">
        <f t="shared" si="134"/>
        <v>1.5611480546685239</v>
      </c>
      <c r="M299" s="363">
        <f t="shared" si="118"/>
        <v>1.0505206941727112</v>
      </c>
      <c r="N299" s="366">
        <f t="shared" si="119"/>
        <v>0.31138907634547414</v>
      </c>
      <c r="O299" s="367">
        <f t="shared" si="120"/>
        <v>1.0001506205195327</v>
      </c>
      <c r="P299" s="368">
        <f t="shared" si="121"/>
        <v>9.6753431307676593E-2</v>
      </c>
      <c r="Q299" s="369">
        <f t="shared" si="122"/>
        <v>-5.5738820718890478</v>
      </c>
      <c r="R299" s="370">
        <f t="shared" si="123"/>
        <v>-161.14118386557399</v>
      </c>
      <c r="S299" s="372">
        <f t="shared" si="124"/>
        <v>18.858816134426007</v>
      </c>
      <c r="U299" s="345">
        <f t="shared" si="130"/>
        <v>20185</v>
      </c>
      <c r="V299" s="345">
        <f t="shared" si="131"/>
        <v>407434225</v>
      </c>
      <c r="X299" s="371">
        <f t="shared" si="125"/>
        <v>38.281803484459957</v>
      </c>
      <c r="Y299" s="372">
        <f t="shared" si="126"/>
        <v>-18.392209181849186</v>
      </c>
      <c r="AA299" s="371">
        <f t="shared" si="127"/>
        <v>28.185514270210241</v>
      </c>
      <c r="AB299" s="372">
        <f t="shared" si="128"/>
        <v>-142.74897468372478</v>
      </c>
      <c r="AD299">
        <f t="shared" si="132"/>
        <v>0</v>
      </c>
      <c r="AE299">
        <f t="shared" si="135"/>
        <v>0</v>
      </c>
    </row>
    <row r="300" spans="1:31" x14ac:dyDescent="0.3">
      <c r="A300" s="373">
        <v>20301</v>
      </c>
      <c r="B300" s="390">
        <f t="shared" si="129"/>
        <v>20.300999999999998</v>
      </c>
      <c r="C300" s="363">
        <f t="shared" si="110"/>
        <v>150.67215716281314</v>
      </c>
      <c r="D300" s="364">
        <f t="shared" si="111"/>
        <v>1.564159351786103</v>
      </c>
      <c r="E300" s="364">
        <f t="shared" si="112"/>
        <v>1.0116467664500031</v>
      </c>
      <c r="F300" s="365">
        <f t="shared" si="113"/>
        <v>0.15188705881595913</v>
      </c>
      <c r="G300" s="364">
        <f t="shared" si="114"/>
        <v>1.8067019807704559</v>
      </c>
      <c r="H300" s="365">
        <f t="shared" si="115"/>
        <v>-0.98424183149810041</v>
      </c>
      <c r="I300" s="363">
        <f t="shared" si="116"/>
        <v>30717.42466321979</v>
      </c>
      <c r="J300" s="366">
        <f t="shared" si="117"/>
        <v>1.5707637719824037</v>
      </c>
      <c r="K300" s="374">
        <f t="shared" si="133"/>
        <v>104.2426974797859</v>
      </c>
      <c r="L300" s="375">
        <f t="shared" si="134"/>
        <v>1.5612031815443026</v>
      </c>
      <c r="M300" s="363">
        <f t="shared" si="118"/>
        <v>1.051088875269935</v>
      </c>
      <c r="N300" s="366">
        <f t="shared" si="119"/>
        <v>0.31306422024479774</v>
      </c>
      <c r="O300" s="367">
        <f t="shared" si="120"/>
        <v>1.0001524760046383</v>
      </c>
      <c r="P300" s="368">
        <f t="shared" si="121"/>
        <v>9.7311033537840305E-2</v>
      </c>
      <c r="Q300" s="369">
        <f t="shared" si="122"/>
        <v>-5.5927731838871342</v>
      </c>
      <c r="R300" s="370">
        <f t="shared" si="123"/>
        <v>-161.3706966000245</v>
      </c>
      <c r="S300" s="372">
        <f t="shared" si="124"/>
        <v>18.629303399975498</v>
      </c>
      <c r="U300" s="345">
        <f t="shared" si="130"/>
        <v>20301</v>
      </c>
      <c r="V300" s="345">
        <f t="shared" si="131"/>
        <v>412130601</v>
      </c>
      <c r="X300" s="371">
        <f t="shared" si="125"/>
        <v>38.277102326571004</v>
      </c>
      <c r="Y300" s="372">
        <f t="shared" si="126"/>
        <v>-18.485040039459534</v>
      </c>
      <c r="AA300" s="371">
        <f t="shared" si="127"/>
        <v>28.171324316101114</v>
      </c>
      <c r="AB300" s="372">
        <f t="shared" si="128"/>
        <v>-142.88565656056494</v>
      </c>
      <c r="AD300">
        <f t="shared" si="132"/>
        <v>0</v>
      </c>
      <c r="AE300">
        <f t="shared" si="135"/>
        <v>0</v>
      </c>
    </row>
    <row r="301" spans="1:31" x14ac:dyDescent="0.3">
      <c r="A301" s="373">
        <v>20417</v>
      </c>
      <c r="B301" s="390">
        <f t="shared" si="129"/>
        <v>20.417000000000002</v>
      </c>
      <c r="C301" s="363">
        <f t="shared" si="110"/>
        <v>151.53306069142766</v>
      </c>
      <c r="D301" s="364">
        <f t="shared" si="111"/>
        <v>1.5641970589264633</v>
      </c>
      <c r="E301" s="364">
        <f t="shared" si="112"/>
        <v>1.0117794690030826</v>
      </c>
      <c r="F301" s="365">
        <f t="shared" si="113"/>
        <v>0.15274154372242985</v>
      </c>
      <c r="G301" s="364">
        <f t="shared" si="114"/>
        <v>1.8138690552310823</v>
      </c>
      <c r="H301" s="365">
        <f t="shared" si="115"/>
        <v>-0.98686546589491586</v>
      </c>
      <c r="I301" s="363">
        <f t="shared" si="116"/>
        <v>30892.944157686459</v>
      </c>
      <c r="J301" s="366">
        <f t="shared" si="117"/>
        <v>1.5707639569438694</v>
      </c>
      <c r="K301" s="374">
        <f t="shared" si="133"/>
        <v>104.83828603605205</v>
      </c>
      <c r="L301" s="375">
        <f t="shared" si="134"/>
        <v>1.5612576820663131</v>
      </c>
      <c r="M301" s="363">
        <f t="shared" si="118"/>
        <v>1.0516600026432499</v>
      </c>
      <c r="N301" s="366">
        <f t="shared" si="119"/>
        <v>0.31473754938705972</v>
      </c>
      <c r="O301" s="367">
        <f t="shared" si="120"/>
        <v>1.000154344864882</v>
      </c>
      <c r="P301" s="368">
        <f t="shared" si="121"/>
        <v>9.7868662739401535E-2</v>
      </c>
      <c r="Q301" s="369">
        <f t="shared" si="122"/>
        <v>-5.6114725571502326</v>
      </c>
      <c r="R301" s="370">
        <f t="shared" si="123"/>
        <v>-161.59893430439942</v>
      </c>
      <c r="S301" s="372">
        <f t="shared" si="124"/>
        <v>18.401065695600579</v>
      </c>
      <c r="U301" s="345">
        <f t="shared" si="130"/>
        <v>20417</v>
      </c>
      <c r="V301" s="345">
        <f t="shared" si="131"/>
        <v>416853889</v>
      </c>
      <c r="X301" s="371">
        <f t="shared" si="125"/>
        <v>38.272379451104172</v>
      </c>
      <c r="Y301" s="372">
        <f t="shared" si="126"/>
        <v>-18.57780268477228</v>
      </c>
      <c r="AA301" s="371">
        <f t="shared" si="127"/>
        <v>28.157347818304842</v>
      </c>
      <c r="AB301" s="372">
        <f t="shared" si="128"/>
        <v>-143.02113161962711</v>
      </c>
      <c r="AD301">
        <f t="shared" si="132"/>
        <v>0</v>
      </c>
      <c r="AE301">
        <f t="shared" si="135"/>
        <v>0</v>
      </c>
    </row>
    <row r="302" spans="1:31" x14ac:dyDescent="0.3">
      <c r="A302" s="373">
        <v>20536</v>
      </c>
      <c r="B302" s="390">
        <f t="shared" si="129"/>
        <v>20.536000000000001</v>
      </c>
      <c r="C302" s="363">
        <f t="shared" si="110"/>
        <v>152.41622918779419</v>
      </c>
      <c r="D302" s="364">
        <f t="shared" si="111"/>
        <v>1.5642352986164667</v>
      </c>
      <c r="E302" s="364">
        <f t="shared" si="112"/>
        <v>1.0119163709649022</v>
      </c>
      <c r="F302" s="365">
        <f t="shared" si="113"/>
        <v>0.15361789383414154</v>
      </c>
      <c r="G302" s="364">
        <f t="shared" si="114"/>
        <v>1.8212343558017789</v>
      </c>
      <c r="H302" s="365">
        <f t="shared" si="115"/>
        <v>-0.98953547653720941</v>
      </c>
      <c r="I302" s="363">
        <f t="shared" si="116"/>
        <v>31073.002949424907</v>
      </c>
      <c r="J302" s="366">
        <f t="shared" si="117"/>
        <v>1.5707641445175093</v>
      </c>
      <c r="K302" s="374">
        <f t="shared" si="133"/>
        <v>105.44927806451913</v>
      </c>
      <c r="L302" s="375">
        <f t="shared" si="134"/>
        <v>1.5613129523462772</v>
      </c>
      <c r="M302" s="363">
        <f t="shared" si="118"/>
        <v>1.0522489570803784</v>
      </c>
      <c r="N302" s="366">
        <f t="shared" si="119"/>
        <v>0.31645226180314717</v>
      </c>
      <c r="O302" s="367">
        <f t="shared" si="120"/>
        <v>1.0001562760054505</v>
      </c>
      <c r="P302" s="368">
        <f t="shared" si="121"/>
        <v>9.8440741570637175E-2</v>
      </c>
      <c r="Q302" s="369">
        <f t="shared" si="122"/>
        <v>-5.6304599465202205</v>
      </c>
      <c r="R302" s="370">
        <f t="shared" si="123"/>
        <v>-161.8317619362966</v>
      </c>
      <c r="S302" s="372">
        <f t="shared" si="124"/>
        <v>18.168238063703399</v>
      </c>
      <c r="U302" s="345">
        <f t="shared" si="130"/>
        <v>20536</v>
      </c>
      <c r="V302" s="345">
        <f t="shared" si="131"/>
        <v>421727296</v>
      </c>
      <c r="X302" s="371">
        <f t="shared" si="125"/>
        <v>38.267511943287637</v>
      </c>
      <c r="Y302" s="372">
        <f t="shared" si="126"/>
        <v>-18.672892462804896</v>
      </c>
      <c r="AA302" s="371">
        <f t="shared" si="127"/>
        <v>28.143227936751391</v>
      </c>
      <c r="AB302" s="372">
        <f t="shared" si="128"/>
        <v>-143.15886947349171</v>
      </c>
      <c r="AD302">
        <f t="shared" si="132"/>
        <v>0</v>
      </c>
      <c r="AE302">
        <f t="shared" si="135"/>
        <v>0</v>
      </c>
    </row>
    <row r="303" spans="1:31" x14ac:dyDescent="0.3">
      <c r="A303" s="373">
        <v>20655</v>
      </c>
      <c r="B303" s="390">
        <f t="shared" si="129"/>
        <v>20.655000000000001</v>
      </c>
      <c r="C303" s="363">
        <f t="shared" si="110"/>
        <v>153.29939790446701</v>
      </c>
      <c r="D303" s="364">
        <f t="shared" si="111"/>
        <v>1.5642730977033859</v>
      </c>
      <c r="E303" s="364">
        <f t="shared" si="112"/>
        <v>1.0120540498572901</v>
      </c>
      <c r="F303" s="365">
        <f t="shared" si="113"/>
        <v>0.15449400618283662</v>
      </c>
      <c r="G303" s="364">
        <f t="shared" si="114"/>
        <v>1.82861253522973</v>
      </c>
      <c r="H303" s="365">
        <f t="shared" si="115"/>
        <v>-0.99218395974262996</v>
      </c>
      <c r="I303" s="363">
        <f t="shared" si="116"/>
        <v>31253.061741164431</v>
      </c>
      <c r="J303" s="366">
        <f t="shared" si="117"/>
        <v>1.5707643299298069</v>
      </c>
      <c r="K303" s="374">
        <f t="shared" si="133"/>
        <v>106.06027041140166</v>
      </c>
      <c r="L303" s="375">
        <f t="shared" si="134"/>
        <v>1.5613675858239933</v>
      </c>
      <c r="M303" s="363">
        <f t="shared" si="118"/>
        <v>1.0528410019138921</v>
      </c>
      <c r="N303" s="366">
        <f t="shared" si="119"/>
        <v>0.31816505077961704</v>
      </c>
      <c r="O303" s="367">
        <f t="shared" si="120"/>
        <v>1.0001582213224107</v>
      </c>
      <c r="P303" s="368">
        <f t="shared" si="121"/>
        <v>9.9012849107895512E-2</v>
      </c>
      <c r="Q303" s="369">
        <f t="shared" si="122"/>
        <v>-5.6492529027258112</v>
      </c>
      <c r="R303" s="370">
        <f t="shared" si="123"/>
        <v>-162.06327231704304</v>
      </c>
      <c r="S303" s="372">
        <f t="shared" si="124"/>
        <v>17.936727682956956</v>
      </c>
      <c r="U303" s="345">
        <f t="shared" si="130"/>
        <v>20655</v>
      </c>
      <c r="V303" s="345">
        <f t="shared" si="131"/>
        <v>426629025</v>
      </c>
      <c r="X303" s="371">
        <f t="shared" si="125"/>
        <v>38.262621739569965</v>
      </c>
      <c r="Y303" s="372">
        <f t="shared" si="126"/>
        <v>-18.767908398110588</v>
      </c>
      <c r="AA303" s="371">
        <f t="shared" si="127"/>
        <v>28.129325184263475</v>
      </c>
      <c r="AB303" s="372">
        <f t="shared" si="128"/>
        <v>-143.29536391893245</v>
      </c>
      <c r="AD303">
        <f t="shared" si="132"/>
        <v>0</v>
      </c>
      <c r="AE303">
        <f t="shared" si="135"/>
        <v>0</v>
      </c>
    </row>
    <row r="304" spans="1:31" x14ac:dyDescent="0.3">
      <c r="A304" s="373">
        <v>20774</v>
      </c>
      <c r="B304" s="390">
        <f t="shared" si="129"/>
        <v>20.774000000000001</v>
      </c>
      <c r="C304" s="363">
        <f t="shared" si="110"/>
        <v>154.18256683766032</v>
      </c>
      <c r="D304" s="364">
        <f t="shared" si="111"/>
        <v>1.5643104637585314</v>
      </c>
      <c r="E304" s="364">
        <f t="shared" si="112"/>
        <v>1.0121925053632108</v>
      </c>
      <c r="F304" s="365">
        <f t="shared" si="113"/>
        <v>0.15536987952085257</v>
      </c>
      <c r="G304" s="364">
        <f t="shared" si="114"/>
        <v>1.8360034382496777</v>
      </c>
      <c r="H304" s="365">
        <f t="shared" si="115"/>
        <v>-0.99481113810930888</v>
      </c>
      <c r="I304" s="363">
        <f t="shared" si="116"/>
        <v>31433.120532905017</v>
      </c>
      <c r="J304" s="366">
        <f t="shared" si="117"/>
        <v>1.5707645132179047</v>
      </c>
      <c r="K304" s="374">
        <f t="shared" si="133"/>
        <v>106.67126307122817</v>
      </c>
      <c r="L304" s="375">
        <f t="shared" si="134"/>
        <v>1.5614215934415783</v>
      </c>
      <c r="M304" s="363">
        <f t="shared" si="118"/>
        <v>1.0534361319332619</v>
      </c>
      <c r="N304" s="366">
        <f t="shared" si="119"/>
        <v>0.3198759095185294</v>
      </c>
      <c r="O304" s="367">
        <f t="shared" si="120"/>
        <v>1.0001601808670892</v>
      </c>
      <c r="P304" s="368">
        <f t="shared" si="121"/>
        <v>9.9584985513891888E-2</v>
      </c>
      <c r="Q304" s="369">
        <f t="shared" si="122"/>
        <v>-5.6678550307382194</v>
      </c>
      <c r="R304" s="370">
        <f t="shared" si="123"/>
        <v>-162.29347770088282</v>
      </c>
      <c r="S304" s="372">
        <f t="shared" si="124"/>
        <v>17.706522299117182</v>
      </c>
      <c r="U304" s="345">
        <f t="shared" si="130"/>
        <v>20774</v>
      </c>
      <c r="V304" s="345">
        <f t="shared" si="131"/>
        <v>431559076</v>
      </c>
      <c r="X304" s="371">
        <f t="shared" si="125"/>
        <v>38.257708921059219</v>
      </c>
      <c r="Y304" s="372">
        <f t="shared" si="126"/>
        <v>-18.862849476387098</v>
      </c>
      <c r="AA304" s="371">
        <f t="shared" si="127"/>
        <v>28.115635874761811</v>
      </c>
      <c r="AB304" s="372">
        <f t="shared" si="128"/>
        <v>-143.43062822449571</v>
      </c>
      <c r="AD304">
        <f t="shared" si="132"/>
        <v>0</v>
      </c>
      <c r="AE304">
        <f t="shared" si="135"/>
        <v>0</v>
      </c>
    </row>
    <row r="305" spans="1:31" x14ac:dyDescent="0.3">
      <c r="A305" s="373">
        <v>20893</v>
      </c>
      <c r="B305" s="390">
        <f t="shared" si="129"/>
        <v>20.893000000000001</v>
      </c>
      <c r="C305" s="363">
        <f t="shared" si="110"/>
        <v>155.06573598367459</v>
      </c>
      <c r="D305" s="364">
        <f t="shared" si="111"/>
        <v>1.5643474041807304</v>
      </c>
      <c r="E305" s="364">
        <f t="shared" si="112"/>
        <v>1.0123317371640146</v>
      </c>
      <c r="F305" s="365">
        <f t="shared" si="113"/>
        <v>0.15624551260267433</v>
      </c>
      <c r="G305" s="364">
        <f t="shared" si="114"/>
        <v>1.8434069118208098</v>
      </c>
      <c r="H305" s="365">
        <f t="shared" si="115"/>
        <v>-0.99741723184501041</v>
      </c>
      <c r="I305" s="363">
        <f t="shared" si="116"/>
        <v>31613.179324646651</v>
      </c>
      <c r="J305" s="366">
        <f t="shared" si="117"/>
        <v>1.5707646944180991</v>
      </c>
      <c r="K305" s="374">
        <f t="shared" si="133"/>
        <v>107.28225603865181</v>
      </c>
      <c r="L305" s="375">
        <f t="shared" si="134"/>
        <v>1.5614749858918939</v>
      </c>
      <c r="M305" s="363">
        <f t="shared" si="118"/>
        <v>1.054034341912605</v>
      </c>
      <c r="N305" s="366">
        <f t="shared" si="119"/>
        <v>0.32158483128245652</v>
      </c>
      <c r="O305" s="367">
        <f t="shared" si="120"/>
        <v>1.0001621546911084</v>
      </c>
      <c r="P305" s="368">
        <f t="shared" si="121"/>
        <v>0.1001571509512784</v>
      </c>
      <c r="Q305" s="369">
        <f t="shared" si="122"/>
        <v>-5.6862698588441152</v>
      </c>
      <c r="R305" s="370">
        <f t="shared" si="123"/>
        <v>-162.52239021279257</v>
      </c>
      <c r="S305" s="372">
        <f t="shared" si="124"/>
        <v>17.477609787207427</v>
      </c>
      <c r="U305" s="345">
        <f t="shared" si="130"/>
        <v>20893</v>
      </c>
      <c r="V305" s="345">
        <f t="shared" si="131"/>
        <v>436517449</v>
      </c>
      <c r="X305" s="371">
        <f t="shared" si="125"/>
        <v>38.252773569076034</v>
      </c>
      <c r="Y305" s="372">
        <f t="shared" si="126"/>
        <v>-18.957714701032003</v>
      </c>
      <c r="AA305" s="371">
        <f t="shared" si="127"/>
        <v>28.102156398639103</v>
      </c>
      <c r="AB305" s="372">
        <f t="shared" si="128"/>
        <v>-143.56467551176058</v>
      </c>
      <c r="AD305">
        <f t="shared" si="132"/>
        <v>0</v>
      </c>
      <c r="AE305">
        <f t="shared" si="135"/>
        <v>0</v>
      </c>
    </row>
    <row r="306" spans="1:31" x14ac:dyDescent="0.3">
      <c r="A306" s="373">
        <v>21014.75</v>
      </c>
      <c r="B306" s="390">
        <f t="shared" si="129"/>
        <v>21.014749999999999</v>
      </c>
      <c r="C306" s="363">
        <f t="shared" si="110"/>
        <v>155.96931471719481</v>
      </c>
      <c r="D306" s="364">
        <f t="shared" si="111"/>
        <v>1.5643847653079495</v>
      </c>
      <c r="E306" s="364">
        <f t="shared" si="112"/>
        <v>1.0124749895839731</v>
      </c>
      <c r="F306" s="365">
        <f t="shared" si="113"/>
        <v>0.15714113095752907</v>
      </c>
      <c r="G306" s="364">
        <f t="shared" si="114"/>
        <v>1.8509943264093305</v>
      </c>
      <c r="H306" s="365">
        <f t="shared" si="115"/>
        <v>-1.000061956464684</v>
      </c>
      <c r="I306" s="363">
        <f t="shared" si="116"/>
        <v>31797.399138887573</v>
      </c>
      <c r="J306" s="366">
        <f t="shared" si="117"/>
        <v>1.5707648776818481</v>
      </c>
      <c r="K306" s="374">
        <f t="shared" si="133"/>
        <v>107.90736890434971</v>
      </c>
      <c r="L306" s="375">
        <f t="shared" si="134"/>
        <v>1.5615289864433519</v>
      </c>
      <c r="M306" s="363">
        <f t="shared" si="118"/>
        <v>1.0546495581518534</v>
      </c>
      <c r="N306" s="366">
        <f t="shared" si="119"/>
        <v>0.3233312333376292</v>
      </c>
      <c r="O306" s="367">
        <f t="shared" si="120"/>
        <v>1.0001641889609858</v>
      </c>
      <c r="P306" s="368">
        <f t="shared" si="121"/>
        <v>0.10074256891423851</v>
      </c>
      <c r="Q306" s="369">
        <f t="shared" si="122"/>
        <v>-5.7049199983958871</v>
      </c>
      <c r="R306" s="370">
        <f t="shared" si="123"/>
        <v>-162.75526719703279</v>
      </c>
      <c r="S306" s="372">
        <f t="shared" si="124"/>
        <v>17.244732802967206</v>
      </c>
      <c r="U306" s="345">
        <f t="shared" si="130"/>
        <v>21014.75</v>
      </c>
      <c r="V306" s="345">
        <f t="shared" si="131"/>
        <v>441619717.5625</v>
      </c>
      <c r="X306" s="371">
        <f t="shared" si="125"/>
        <v>38.247700929281095</v>
      </c>
      <c r="Y306" s="372">
        <f t="shared" si="126"/>
        <v>-19.054692664786625</v>
      </c>
      <c r="AA306" s="371">
        <f t="shared" si="127"/>
        <v>28.088578898882268</v>
      </c>
      <c r="AB306" s="372">
        <f t="shared" si="128"/>
        <v>-143.70057453224615</v>
      </c>
      <c r="AD306">
        <f t="shared" si="132"/>
        <v>0</v>
      </c>
      <c r="AE306">
        <f t="shared" si="135"/>
        <v>0</v>
      </c>
    </row>
    <row r="307" spans="1:31" x14ac:dyDescent="0.3">
      <c r="A307" s="373">
        <v>21136.5</v>
      </c>
      <c r="B307" s="390">
        <f t="shared" si="129"/>
        <v>21.136500000000002</v>
      </c>
      <c r="C307" s="363">
        <f t="shared" si="110"/>
        <v>156.87289366591739</v>
      </c>
      <c r="D307" s="364">
        <f t="shared" si="111"/>
        <v>1.5644216960392823</v>
      </c>
      <c r="E307" s="364">
        <f t="shared" si="112"/>
        <v>1.0126190539125983</v>
      </c>
      <c r="F307" s="365">
        <f t="shared" si="113"/>
        <v>0.15803649519290869</v>
      </c>
      <c r="G307" s="364">
        <f t="shared" si="114"/>
        <v>1.8585945821441991</v>
      </c>
      <c r="H307" s="365">
        <f t="shared" si="115"/>
        <v>-1.0026850694329994</v>
      </c>
      <c r="I307" s="363">
        <f t="shared" si="116"/>
        <v>31981.618953129557</v>
      </c>
      <c r="J307" s="366">
        <f t="shared" si="117"/>
        <v>1.5707650588343338</v>
      </c>
      <c r="K307" s="374">
        <f t="shared" si="133"/>
        <v>108.53248208108717</v>
      </c>
      <c r="L307" s="375">
        <f t="shared" si="134"/>
        <v>1.5615823649423655</v>
      </c>
      <c r="M307" s="363">
        <f t="shared" si="118"/>
        <v>1.0552679872317876</v>
      </c>
      <c r="N307" s="366">
        <f t="shared" si="119"/>
        <v>0.32507559378542505</v>
      </c>
      <c r="O307" s="367">
        <f t="shared" si="120"/>
        <v>1.0001662382880683</v>
      </c>
      <c r="P307" s="368">
        <f t="shared" si="121"/>
        <v>0.10132801761012225</v>
      </c>
      <c r="Q307" s="369">
        <f t="shared" si="122"/>
        <v>-5.723381315178095</v>
      </c>
      <c r="R307" s="370">
        <f t="shared" si="123"/>
        <v>-162.98681613035981</v>
      </c>
      <c r="S307" s="372">
        <f t="shared" si="124"/>
        <v>17.013183869640187</v>
      </c>
      <c r="U307" s="345">
        <f t="shared" si="130"/>
        <v>21136.5</v>
      </c>
      <c r="V307" s="345">
        <f t="shared" si="131"/>
        <v>446751632.25</v>
      </c>
      <c r="X307" s="371">
        <f t="shared" si="125"/>
        <v>38.242604875386149</v>
      </c>
      <c r="Y307" s="372">
        <f t="shared" si="126"/>
        <v>-19.151589173068253</v>
      </c>
      <c r="AA307" s="371">
        <f t="shared" si="127"/>
        <v>28.075213635995002</v>
      </c>
      <c r="AB307" s="372">
        <f t="shared" si="128"/>
        <v>-143.83522695729158</v>
      </c>
      <c r="AD307">
        <f t="shared" si="132"/>
        <v>0</v>
      </c>
      <c r="AE307">
        <f t="shared" si="135"/>
        <v>0</v>
      </c>
    </row>
    <row r="308" spans="1:31" x14ac:dyDescent="0.3">
      <c r="A308" s="373">
        <v>21258.25</v>
      </c>
      <c r="B308" s="390">
        <f t="shared" si="129"/>
        <v>21.25825</v>
      </c>
      <c r="C308" s="363">
        <f t="shared" si="110"/>
        <v>157.77647282614495</v>
      </c>
      <c r="D308" s="364">
        <f t="shared" si="111"/>
        <v>1.5644582037692039</v>
      </c>
      <c r="E308" s="364">
        <f t="shared" si="112"/>
        <v>1.0127639298034117</v>
      </c>
      <c r="F308" s="365">
        <f t="shared" si="113"/>
        <v>0.15893160398197931</v>
      </c>
      <c r="G308" s="364">
        <f t="shared" si="114"/>
        <v>1.8662075221361245</v>
      </c>
      <c r="H308" s="365">
        <f t="shared" si="115"/>
        <v>-1.0052867989158563</v>
      </c>
      <c r="I308" s="363">
        <f t="shared" si="116"/>
        <v>32165.83876737257</v>
      </c>
      <c r="J308" s="366">
        <f t="shared" si="117"/>
        <v>1.5707652379118306</v>
      </c>
      <c r="K308" s="374">
        <f t="shared" si="133"/>
        <v>109.15759556352053</v>
      </c>
      <c r="L308" s="375">
        <f t="shared" si="134"/>
        <v>1.5616351320755624</v>
      </c>
      <c r="M308" s="363">
        <f t="shared" si="118"/>
        <v>1.0558896235071751</v>
      </c>
      <c r="N308" s="366">
        <f t="shared" si="119"/>
        <v>0.3268179056070194</v>
      </c>
      <c r="O308" s="367">
        <f t="shared" si="120"/>
        <v>1.0001683027286028</v>
      </c>
      <c r="P308" s="368">
        <f t="shared" si="121"/>
        <v>0.10191349721291222</v>
      </c>
      <c r="Q308" s="369">
        <f t="shared" si="122"/>
        <v>-5.7416573503582002</v>
      </c>
      <c r="R308" s="370">
        <f t="shared" si="123"/>
        <v>-163.21704958301024</v>
      </c>
      <c r="S308" s="372">
        <f t="shared" si="124"/>
        <v>16.782950416989763</v>
      </c>
      <c r="U308" s="345">
        <f t="shared" si="130"/>
        <v>21258.25</v>
      </c>
      <c r="V308" s="345">
        <f t="shared" si="131"/>
        <v>451913193.0625</v>
      </c>
      <c r="X308" s="371">
        <f t="shared" si="125"/>
        <v>38.237485495134763</v>
      </c>
      <c r="Y308" s="372">
        <f t="shared" si="126"/>
        <v>-19.248403213507579</v>
      </c>
      <c r="AA308" s="371">
        <f t="shared" si="127"/>
        <v>28.062056981066291</v>
      </c>
      <c r="AB308" s="372">
        <f t="shared" si="128"/>
        <v>-143.96864636950266</v>
      </c>
      <c r="AD308">
        <f t="shared" si="132"/>
        <v>0</v>
      </c>
      <c r="AE308">
        <f t="shared" si="135"/>
        <v>0</v>
      </c>
    </row>
    <row r="309" spans="1:31" x14ac:dyDescent="0.3">
      <c r="A309" s="373">
        <v>21380</v>
      </c>
      <c r="B309" s="390">
        <f t="shared" si="129"/>
        <v>21.38</v>
      </c>
      <c r="C309" s="363">
        <f t="shared" si="110"/>
        <v>158.68005219426439</v>
      </c>
      <c r="D309" s="364">
        <f t="shared" si="111"/>
        <v>1.5644942957237677</v>
      </c>
      <c r="E309" s="364">
        <f t="shared" si="112"/>
        <v>1.012909616908181</v>
      </c>
      <c r="F309" s="365">
        <f t="shared" si="113"/>
        <v>0.15982645600030138</v>
      </c>
      <c r="G309" s="364">
        <f t="shared" si="114"/>
        <v>1.8738329917857088</v>
      </c>
      <c r="H309" s="365">
        <f t="shared" si="115"/>
        <v>-1.0078673705323629</v>
      </c>
      <c r="I309" s="363">
        <f t="shared" si="116"/>
        <v>32350.058581616609</v>
      </c>
      <c r="J309" s="366">
        <f t="shared" si="117"/>
        <v>1.5707654149497872</v>
      </c>
      <c r="K309" s="374">
        <f t="shared" si="133"/>
        <v>109.78270934642777</v>
      </c>
      <c r="L309" s="375">
        <f t="shared" si="134"/>
        <v>1.5616872982861814</v>
      </c>
      <c r="M309" s="363">
        <f t="shared" si="118"/>
        <v>1.056514461316828</v>
      </c>
      <c r="N309" s="366">
        <f t="shared" si="119"/>
        <v>0.32855816184981496</v>
      </c>
      <c r="O309" s="367">
        <f t="shared" si="120"/>
        <v>1.0001703823391594</v>
      </c>
      <c r="P309" s="368">
        <f t="shared" si="121"/>
        <v>0.10249900789651989</v>
      </c>
      <c r="Q309" s="369">
        <f t="shared" si="122"/>
        <v>-5.7597515688728933</v>
      </c>
      <c r="R309" s="370">
        <f t="shared" si="123"/>
        <v>-163.44597998720124</v>
      </c>
      <c r="S309" s="372">
        <f t="shared" si="124"/>
        <v>16.554020012798759</v>
      </c>
      <c r="U309" s="345">
        <f t="shared" si="130"/>
        <v>21380</v>
      </c>
      <c r="V309" s="345">
        <f t="shared" si="131"/>
        <v>457104400</v>
      </c>
      <c r="X309" s="371">
        <f t="shared" si="125"/>
        <v>38.232342876478683</v>
      </c>
      <c r="Y309" s="372">
        <f t="shared" si="126"/>
        <v>-19.345133791427649</v>
      </c>
      <c r="AA309" s="371">
        <f t="shared" si="127"/>
        <v>28.049105381207671</v>
      </c>
      <c r="AB309" s="372">
        <f t="shared" si="128"/>
        <v>-144.10084619577361</v>
      </c>
      <c r="AD309">
        <f t="shared" si="132"/>
        <v>0</v>
      </c>
      <c r="AE309">
        <f t="shared" si="135"/>
        <v>0</v>
      </c>
    </row>
    <row r="310" spans="1:31" x14ac:dyDescent="0.3">
      <c r="A310" s="373">
        <v>21504.5</v>
      </c>
      <c r="B310" s="390">
        <f t="shared" si="129"/>
        <v>21.5045</v>
      </c>
      <c r="C310" s="363">
        <f t="shared" si="110"/>
        <v>159.60404116393838</v>
      </c>
      <c r="D310" s="364">
        <f t="shared" si="111"/>
        <v>1.5645307802862822</v>
      </c>
      <c r="E310" s="364">
        <f t="shared" si="112"/>
        <v>1.0130594332276641</v>
      </c>
      <c r="F310" s="365">
        <f t="shared" si="113"/>
        <v>0.16074125336855397</v>
      </c>
      <c r="G310" s="364">
        <f t="shared" si="114"/>
        <v>1.8816434986204535</v>
      </c>
      <c r="H310" s="365">
        <f t="shared" si="115"/>
        <v>-1.0104845825323514</v>
      </c>
      <c r="I310" s="363">
        <f t="shared" si="116"/>
        <v>32538.439418360009</v>
      </c>
      <c r="J310" s="366">
        <f t="shared" si="117"/>
        <v>1.570765593913479</v>
      </c>
      <c r="K310" s="374">
        <f t="shared" si="133"/>
        <v>110.42194304791518</v>
      </c>
      <c r="L310" s="375">
        <f t="shared" si="134"/>
        <v>1.5617400319866312</v>
      </c>
      <c r="M310" s="363">
        <f t="shared" si="118"/>
        <v>1.0571567174129852</v>
      </c>
      <c r="N310" s="366">
        <f t="shared" si="119"/>
        <v>0.33033559280575381</v>
      </c>
      <c r="O310" s="367">
        <f t="shared" si="120"/>
        <v>1.0001725246695883</v>
      </c>
      <c r="P310" s="368">
        <f t="shared" si="121"/>
        <v>0.10309777599035658</v>
      </c>
      <c r="Q310" s="369">
        <f t="shared" si="122"/>
        <v>-5.778069995464735</v>
      </c>
      <c r="R310" s="370">
        <f t="shared" si="123"/>
        <v>-163.67874658452192</v>
      </c>
      <c r="S310" s="372">
        <f t="shared" si="124"/>
        <v>16.321253415478083</v>
      </c>
      <c r="U310" s="345">
        <f t="shared" si="130"/>
        <v>21504.5</v>
      </c>
      <c r="V310" s="345">
        <f t="shared" si="131"/>
        <v>462443520.25</v>
      </c>
      <c r="X310" s="371">
        <f t="shared" si="125"/>
        <v>38.22706016029165</v>
      </c>
      <c r="Y310" s="372">
        <f t="shared" si="126"/>
        <v>-19.44396191908212</v>
      </c>
      <c r="AA310" s="371">
        <f t="shared" si="127"/>
        <v>28.036069670802863</v>
      </c>
      <c r="AB310" s="372">
        <f t="shared" si="128"/>
        <v>-144.23478466543983</v>
      </c>
      <c r="AD310">
        <f t="shared" si="132"/>
        <v>0</v>
      </c>
      <c r="AE310">
        <f t="shared" si="135"/>
        <v>0</v>
      </c>
    </row>
    <row r="311" spans="1:31" x14ac:dyDescent="0.3">
      <c r="A311" s="373">
        <v>21629</v>
      </c>
      <c r="B311" s="390">
        <f t="shared" si="129"/>
        <v>21.629000000000001</v>
      </c>
      <c r="C311" s="363">
        <f t="shared" si="110"/>
        <v>160.52803034361929</v>
      </c>
      <c r="D311" s="364">
        <f t="shared" si="111"/>
        <v>1.56456684484318</v>
      </c>
      <c r="E311" s="364">
        <f t="shared" si="112"/>
        <v>1.0132100970790889</v>
      </c>
      <c r="F311" s="365">
        <f t="shared" si="113"/>
        <v>0.16165577944208992</v>
      </c>
      <c r="G311" s="364">
        <f t="shared" si="114"/>
        <v>1.8894667877252826</v>
      </c>
      <c r="H311" s="365">
        <f t="shared" si="115"/>
        <v>-1.013080139189747</v>
      </c>
      <c r="I311" s="363">
        <f t="shared" si="116"/>
        <v>32726.820255104441</v>
      </c>
      <c r="J311" s="366">
        <f t="shared" si="117"/>
        <v>1.5707657708168834</v>
      </c>
      <c r="K311" s="374">
        <f t="shared" si="133"/>
        <v>111.06117705293393</v>
      </c>
      <c r="L311" s="375">
        <f t="shared" si="134"/>
        <v>1.5617921586492762</v>
      </c>
      <c r="M311" s="363">
        <f t="shared" si="118"/>
        <v>1.0578023092811397</v>
      </c>
      <c r="N311" s="366">
        <f t="shared" si="119"/>
        <v>0.33211085978150051</v>
      </c>
      <c r="O311" s="367">
        <f t="shared" si="120"/>
        <v>1.0001746829837626</v>
      </c>
      <c r="P311" s="368">
        <f t="shared" si="121"/>
        <v>0.10369657695252091</v>
      </c>
      <c r="Q311" s="369">
        <f t="shared" si="122"/>
        <v>-5.7962053913332454</v>
      </c>
      <c r="R311" s="370">
        <f t="shared" si="123"/>
        <v>-163.91017646054266</v>
      </c>
      <c r="S311" s="372">
        <f t="shared" si="124"/>
        <v>16.089823539457342</v>
      </c>
      <c r="U311" s="345">
        <f t="shared" si="130"/>
        <v>21629</v>
      </c>
      <c r="V311" s="345">
        <f t="shared" si="131"/>
        <v>467813641</v>
      </c>
      <c r="X311" s="371">
        <f t="shared" si="125"/>
        <v>38.221753330717398</v>
      </c>
      <c r="Y311" s="372">
        <f t="shared" si="126"/>
        <v>-19.542700722462978</v>
      </c>
      <c r="AA311" s="371">
        <f t="shared" si="127"/>
        <v>28.023241104508607</v>
      </c>
      <c r="AB311" s="372">
        <f t="shared" si="128"/>
        <v>-144.36747573807966</v>
      </c>
      <c r="AD311">
        <f t="shared" si="132"/>
        <v>0</v>
      </c>
      <c r="AE311">
        <f t="shared" si="135"/>
        <v>0</v>
      </c>
    </row>
    <row r="312" spans="1:31" x14ac:dyDescent="0.3">
      <c r="A312" s="373">
        <v>21753.5</v>
      </c>
      <c r="B312" s="390">
        <f t="shared" si="129"/>
        <v>21.753499999999999</v>
      </c>
      <c r="C312" s="363">
        <f t="shared" si="110"/>
        <v>161.45201972970153</v>
      </c>
      <c r="D312" s="364">
        <f t="shared" si="111"/>
        <v>1.5646024966054393</v>
      </c>
      <c r="E312" s="364">
        <f t="shared" si="112"/>
        <v>1.013361608084429</v>
      </c>
      <c r="F312" s="365">
        <f t="shared" si="113"/>
        <v>0.16257003281251567</v>
      </c>
      <c r="G312" s="364">
        <f t="shared" si="114"/>
        <v>1.8973027009819525</v>
      </c>
      <c r="H312" s="365">
        <f t="shared" si="115"/>
        <v>-1.0156542736265006</v>
      </c>
      <c r="I312" s="363">
        <f t="shared" si="116"/>
        <v>32915.201091849878</v>
      </c>
      <c r="J312" s="366">
        <f t="shared" si="117"/>
        <v>1.5707659456953746</v>
      </c>
      <c r="K312" s="374">
        <f t="shared" si="133"/>
        <v>111.70041135627294</v>
      </c>
      <c r="L312" s="375">
        <f t="shared" si="134"/>
        <v>1.5618436886956197</v>
      </c>
      <c r="M312" s="363">
        <f t="shared" si="118"/>
        <v>1.0584512308174279</v>
      </c>
      <c r="N312" s="366">
        <f t="shared" si="119"/>
        <v>0.33388395555725292</v>
      </c>
      <c r="O312" s="367">
        <f t="shared" si="120"/>
        <v>1.0001768573432259</v>
      </c>
      <c r="P312" s="368">
        <f t="shared" si="121"/>
        <v>0.10429541096874369</v>
      </c>
      <c r="Q312" s="369">
        <f t="shared" si="122"/>
        <v>-5.8141612260708628</v>
      </c>
      <c r="R312" s="370">
        <f t="shared" si="123"/>
        <v>-164.1402824679169</v>
      </c>
      <c r="S312" s="372">
        <f t="shared" si="124"/>
        <v>15.859717532083096</v>
      </c>
      <c r="U312" s="345">
        <f t="shared" si="130"/>
        <v>21753.5</v>
      </c>
      <c r="V312" s="345">
        <f t="shared" si="131"/>
        <v>473214762.25</v>
      </c>
      <c r="X312" s="371">
        <f t="shared" si="125"/>
        <v>38.216422482439484</v>
      </c>
      <c r="Y312" s="372">
        <f t="shared" si="126"/>
        <v>-19.64134919282467</v>
      </c>
      <c r="AA312" s="371">
        <f t="shared" si="127"/>
        <v>28.010616118048901</v>
      </c>
      <c r="AB312" s="372">
        <f t="shared" si="128"/>
        <v>-144.49893327509224</v>
      </c>
      <c r="AD312">
        <f t="shared" si="132"/>
        <v>0</v>
      </c>
      <c r="AE312">
        <f t="shared" si="135"/>
        <v>0</v>
      </c>
    </row>
    <row r="313" spans="1:31" x14ac:dyDescent="0.3">
      <c r="A313" s="373">
        <v>21878</v>
      </c>
      <c r="B313" s="390">
        <f t="shared" si="129"/>
        <v>21.878</v>
      </c>
      <c r="C313" s="363">
        <f t="shared" si="110"/>
        <v>162.37600931866157</v>
      </c>
      <c r="D313" s="364">
        <f t="shared" si="111"/>
        <v>1.5646377426199074</v>
      </c>
      <c r="E313" s="364">
        <f t="shared" si="112"/>
        <v>1.0135139658637591</v>
      </c>
      <c r="F313" s="365">
        <f t="shared" si="113"/>
        <v>0.16348401207410099</v>
      </c>
      <c r="G313" s="364">
        <f t="shared" si="114"/>
        <v>1.9051510826205258</v>
      </c>
      <c r="H313" s="365">
        <f t="shared" si="115"/>
        <v>-1.0182072162679945</v>
      </c>
      <c r="I313" s="363">
        <f t="shared" si="116"/>
        <v>33103.581928596315</v>
      </c>
      <c r="J313" s="366">
        <f t="shared" si="117"/>
        <v>1.5707661185835222</v>
      </c>
      <c r="K313" s="374">
        <f t="shared" si="133"/>
        <v>112.33964595283967</v>
      </c>
      <c r="L313" s="375">
        <f t="shared" si="134"/>
        <v>1.5618946323099772</v>
      </c>
      <c r="M313" s="363">
        <f t="shared" si="118"/>
        <v>1.0591034759015032</v>
      </c>
      <c r="N313" s="366">
        <f t="shared" si="119"/>
        <v>0.33565487298546531</v>
      </c>
      <c r="O313" s="367">
        <f t="shared" si="120"/>
        <v>1.0001790478098769</v>
      </c>
      <c r="P313" s="368">
        <f t="shared" si="121"/>
        <v>0.10489427822467602</v>
      </c>
      <c r="Q313" s="369">
        <f t="shared" si="122"/>
        <v>-5.8319408937215211</v>
      </c>
      <c r="R313" s="370">
        <f t="shared" si="123"/>
        <v>-164.36907731291885</v>
      </c>
      <c r="S313" s="372">
        <f t="shared" si="124"/>
        <v>15.630922687081153</v>
      </c>
      <c r="U313" s="345">
        <f t="shared" si="130"/>
        <v>21878</v>
      </c>
      <c r="V313" s="345">
        <f t="shared" si="131"/>
        <v>478646884</v>
      </c>
      <c r="X313" s="371">
        <f t="shared" si="125"/>
        <v>38.211067710342974</v>
      </c>
      <c r="Y313" s="372">
        <f t="shared" si="126"/>
        <v>-19.739906339105382</v>
      </c>
      <c r="AA313" s="371">
        <f t="shared" si="127"/>
        <v>27.998191222494754</v>
      </c>
      <c r="AB313" s="372">
        <f t="shared" si="128"/>
        <v>-144.62917097381347</v>
      </c>
      <c r="AD313">
        <f t="shared" si="132"/>
        <v>0</v>
      </c>
      <c r="AE313">
        <f t="shared" si="135"/>
        <v>0</v>
      </c>
    </row>
    <row r="314" spans="1:31" x14ac:dyDescent="0.3">
      <c r="A314" s="373">
        <v>22005.25</v>
      </c>
      <c r="B314" s="390">
        <f t="shared" si="129"/>
        <v>22.00525</v>
      </c>
      <c r="C314" s="363">
        <f t="shared" si="110"/>
        <v>163.32040852227775</v>
      </c>
      <c r="D314" s="364">
        <f t="shared" si="111"/>
        <v>1.5646733550393197</v>
      </c>
      <c r="E314" s="364">
        <f t="shared" si="112"/>
        <v>1.0136705636144085</v>
      </c>
      <c r="F314" s="365">
        <f t="shared" si="113"/>
        <v>0.16441789491445655</v>
      </c>
      <c r="G314" s="364">
        <f t="shared" si="114"/>
        <v>1.9131855468830938</v>
      </c>
      <c r="H314" s="365">
        <f t="shared" si="115"/>
        <v>-1.0207948871772368</v>
      </c>
      <c r="I314" s="363">
        <f t="shared" si="116"/>
        <v>33296.123787842182</v>
      </c>
      <c r="J314" s="366">
        <f t="shared" si="117"/>
        <v>1.5707662932688766</v>
      </c>
      <c r="K314" s="374">
        <f t="shared" si="133"/>
        <v>112.99300048692368</v>
      </c>
      <c r="L314" s="375">
        <f t="shared" si="134"/>
        <v>1.5619461055403709</v>
      </c>
      <c r="M314" s="363">
        <f t="shared" si="118"/>
        <v>1.0597735560934274</v>
      </c>
      <c r="N314" s="366">
        <f t="shared" si="119"/>
        <v>0.33746264864568015</v>
      </c>
      <c r="O314" s="367">
        <f t="shared" si="120"/>
        <v>1.0001813033699238</v>
      </c>
      <c r="P314" s="368">
        <f t="shared" si="121"/>
        <v>0.10550640801451547</v>
      </c>
      <c r="Q314" s="369">
        <f t="shared" si="122"/>
        <v>-5.8499346940360333</v>
      </c>
      <c r="R314" s="370">
        <f t="shared" si="123"/>
        <v>-164.6015840100543</v>
      </c>
      <c r="S314" s="372">
        <f t="shared" si="124"/>
        <v>15.398415989945704</v>
      </c>
      <c r="U314" s="345">
        <f t="shared" si="130"/>
        <v>22005.25</v>
      </c>
      <c r="V314" s="345">
        <f t="shared" si="131"/>
        <v>484231027.5625</v>
      </c>
      <c r="X314" s="371">
        <f t="shared" si="125"/>
        <v>38.205570036814734</v>
      </c>
      <c r="Y314" s="372">
        <f t="shared" si="126"/>
        <v>-19.840545064731245</v>
      </c>
      <c r="AA314" s="371">
        <f t="shared" si="127"/>
        <v>27.985695095708479</v>
      </c>
      <c r="AB314" s="372">
        <f t="shared" si="128"/>
        <v>-144.76103894532307</v>
      </c>
      <c r="AD314">
        <f t="shared" si="132"/>
        <v>0</v>
      </c>
      <c r="AE314">
        <f t="shared" si="135"/>
        <v>0</v>
      </c>
    </row>
    <row r="315" spans="1:31" x14ac:dyDescent="0.3">
      <c r="A315" s="373">
        <v>22132.5</v>
      </c>
      <c r="B315" s="390">
        <f t="shared" si="129"/>
        <v>22.1325</v>
      </c>
      <c r="C315" s="363">
        <f t="shared" si="110"/>
        <v>164.26480793064243</v>
      </c>
      <c r="D315" s="364">
        <f t="shared" si="111"/>
        <v>1.5647085579693885</v>
      </c>
      <c r="E315" s="364">
        <f t="shared" si="112"/>
        <v>1.0138280451512673</v>
      </c>
      <c r="F315" s="365">
        <f t="shared" si="113"/>
        <v>0.16535148844209901</v>
      </c>
      <c r="G315" s="364">
        <f t="shared" si="114"/>
        <v>1.9212327147166999</v>
      </c>
      <c r="H315" s="365">
        <f t="shared" si="115"/>
        <v>-1.0233608980018105</v>
      </c>
      <c r="I315" s="363">
        <f t="shared" si="116"/>
        <v>33488.665647089052</v>
      </c>
      <c r="J315" s="366">
        <f t="shared" si="117"/>
        <v>1.5707664659455367</v>
      </c>
      <c r="K315" s="374">
        <f t="shared" si="133"/>
        <v>113.64635531693969</v>
      </c>
      <c r="L315" s="375">
        <f t="shared" si="134"/>
        <v>1.5619969869299439</v>
      </c>
      <c r="M315" s="363">
        <f t="shared" si="118"/>
        <v>1.060447095297798</v>
      </c>
      <c r="N315" s="366">
        <f t="shared" si="119"/>
        <v>0.33926813379551224</v>
      </c>
      <c r="O315" s="367">
        <f t="shared" si="120"/>
        <v>1.0001835758884661</v>
      </c>
      <c r="P315" s="368">
        <f t="shared" si="121"/>
        <v>0.10611857292061662</v>
      </c>
      <c r="Q315" s="369">
        <f t="shared" si="122"/>
        <v>-5.867751394827919</v>
      </c>
      <c r="R315" s="370">
        <f t="shared" si="123"/>
        <v>-164.8327473604663</v>
      </c>
      <c r="S315" s="372">
        <f t="shared" si="124"/>
        <v>15.1672526395337</v>
      </c>
      <c r="U315" s="345">
        <f t="shared" si="130"/>
        <v>22132.5</v>
      </c>
      <c r="V315" s="345">
        <f t="shared" si="131"/>
        <v>489847556.25</v>
      </c>
      <c r="X315" s="371">
        <f t="shared" si="125"/>
        <v>38.200047571972448</v>
      </c>
      <c r="Y315" s="372">
        <f t="shared" si="126"/>
        <v>-19.941086348670595</v>
      </c>
      <c r="AA315" s="371">
        <f t="shared" si="127"/>
        <v>27.973400859758879</v>
      </c>
      <c r="AB315" s="372">
        <f t="shared" si="128"/>
        <v>-144.89166101179569</v>
      </c>
      <c r="AD315">
        <f t="shared" si="132"/>
        <v>0</v>
      </c>
      <c r="AE315">
        <f t="shared" si="135"/>
        <v>0</v>
      </c>
    </row>
    <row r="316" spans="1:31" x14ac:dyDescent="0.3">
      <c r="A316" s="373">
        <v>22259.75</v>
      </c>
      <c r="B316" s="390">
        <f t="shared" si="129"/>
        <v>22.25975</v>
      </c>
      <c r="C316" s="363">
        <f t="shared" si="110"/>
        <v>165.20920754024436</v>
      </c>
      <c r="D316" s="364">
        <f t="shared" si="111"/>
        <v>1.5647433584324231</v>
      </c>
      <c r="E316" s="364">
        <f t="shared" si="112"/>
        <v>1.0139864100625549</v>
      </c>
      <c r="F316" s="365">
        <f t="shared" si="113"/>
        <v>0.16628479116477368</v>
      </c>
      <c r="G316" s="364">
        <f t="shared" si="114"/>
        <v>1.9292924271598053</v>
      </c>
      <c r="H316" s="365">
        <f t="shared" si="115"/>
        <v>-1.0259054861959225</v>
      </c>
      <c r="I316" s="363">
        <f t="shared" si="116"/>
        <v>33681.207506336905</v>
      </c>
      <c r="J316" s="366">
        <f t="shared" si="117"/>
        <v>1.5707666366479516</v>
      </c>
      <c r="K316" s="374">
        <f t="shared" si="133"/>
        <v>114.29971043781292</v>
      </c>
      <c r="L316" s="375">
        <f t="shared" si="134"/>
        <v>1.5620472866275961</v>
      </c>
      <c r="M316" s="363">
        <f t="shared" si="118"/>
        <v>1.0611240869278815</v>
      </c>
      <c r="N316" s="366">
        <f t="shared" si="119"/>
        <v>0.34107132103689003</v>
      </c>
      <c r="O316" s="367">
        <f t="shared" si="120"/>
        <v>1.0001858654327431</v>
      </c>
      <c r="P316" s="368">
        <f t="shared" si="121"/>
        <v>0.10673077314094552</v>
      </c>
      <c r="Q316" s="369">
        <f t="shared" si="122"/>
        <v>-5.8853943871938181</v>
      </c>
      <c r="R316" s="370">
        <f t="shared" si="123"/>
        <v>-165.06258046507628</v>
      </c>
      <c r="S316" s="372">
        <f t="shared" si="124"/>
        <v>14.93741953492372</v>
      </c>
      <c r="U316" s="345">
        <f t="shared" si="130"/>
        <v>22259.75</v>
      </c>
      <c r="V316" s="345">
        <f t="shared" si="131"/>
        <v>495496470.0625</v>
      </c>
      <c r="X316" s="371">
        <f t="shared" si="125"/>
        <v>38.194500417739931</v>
      </c>
      <c r="Y316" s="372">
        <f t="shared" si="126"/>
        <v>-20.041529187529836</v>
      </c>
      <c r="AA316" s="371">
        <f t="shared" si="127"/>
        <v>27.961305021625499</v>
      </c>
      <c r="AB316" s="372">
        <f t="shared" si="128"/>
        <v>-145.02105127754646</v>
      </c>
      <c r="AD316">
        <f t="shared" si="132"/>
        <v>0</v>
      </c>
      <c r="AE316">
        <f t="shared" si="135"/>
        <v>0</v>
      </c>
    </row>
    <row r="317" spans="1:31" x14ac:dyDescent="0.3">
      <c r="A317" s="373">
        <v>22387</v>
      </c>
      <c r="B317" s="390">
        <f t="shared" si="129"/>
        <v>22.387</v>
      </c>
      <c r="C317" s="363">
        <f t="shared" si="110"/>
        <v>166.1536073476521</v>
      </c>
      <c r="D317" s="364">
        <f t="shared" si="111"/>
        <v>1.5647777632910806</v>
      </c>
      <c r="E317" s="364">
        <f t="shared" si="112"/>
        <v>1.0141456579344383</v>
      </c>
      <c r="F317" s="365">
        <f t="shared" si="113"/>
        <v>0.1672178015931817</v>
      </c>
      <c r="G317" s="364">
        <f t="shared" si="114"/>
        <v>1.9373645276503284</v>
      </c>
      <c r="H317" s="365">
        <f t="shared" si="115"/>
        <v>-1.0284288863752611</v>
      </c>
      <c r="I317" s="363">
        <f t="shared" si="116"/>
        <v>33873.749365585732</v>
      </c>
      <c r="J317" s="366">
        <f t="shared" si="117"/>
        <v>1.5707668054097865</v>
      </c>
      <c r="K317" s="374">
        <f t="shared" si="133"/>
        <v>114.95306584458396</v>
      </c>
      <c r="L317" s="375">
        <f t="shared" si="134"/>
        <v>1.5620970145515072</v>
      </c>
      <c r="M317" s="363">
        <f t="shared" si="118"/>
        <v>1.0618045243800238</v>
      </c>
      <c r="N317" s="366">
        <f t="shared" si="119"/>
        <v>0.34287220305033389</v>
      </c>
      <c r="O317" s="367">
        <f t="shared" si="120"/>
        <v>1.0001881720703809</v>
      </c>
      <c r="P317" s="368">
        <f t="shared" si="121"/>
        <v>0.10734300887337929</v>
      </c>
      <c r="Q317" s="369">
        <f t="shared" si="122"/>
        <v>-5.9028669875768527</v>
      </c>
      <c r="R317" s="370">
        <f t="shared" si="123"/>
        <v>-165.29109627052614</v>
      </c>
      <c r="S317" s="372">
        <f t="shared" si="124"/>
        <v>14.70890372947386</v>
      </c>
      <c r="U317" s="345">
        <f t="shared" si="130"/>
        <v>22387</v>
      </c>
      <c r="V317" s="345">
        <f t="shared" si="131"/>
        <v>501177769</v>
      </c>
      <c r="X317" s="371">
        <f t="shared" si="125"/>
        <v>38.18892867623326</v>
      </c>
      <c r="Y317" s="372">
        <f t="shared" si="126"/>
        <v>-20.14187259559268</v>
      </c>
      <c r="AA317" s="371">
        <f t="shared" si="127"/>
        <v>27.949404162749136</v>
      </c>
      <c r="AB317" s="372">
        <f t="shared" si="128"/>
        <v>-145.14922367493349</v>
      </c>
      <c r="AD317">
        <f t="shared" si="132"/>
        <v>0</v>
      </c>
      <c r="AE317">
        <f t="shared" si="135"/>
        <v>0</v>
      </c>
    </row>
    <row r="318" spans="1:31" x14ac:dyDescent="0.3">
      <c r="A318" s="373">
        <v>22517.5</v>
      </c>
      <c r="B318" s="390">
        <f t="shared" si="129"/>
        <v>22.517499999999998</v>
      </c>
      <c r="C318" s="363">
        <f t="shared" si="110"/>
        <v>167.12212758783312</v>
      </c>
      <c r="D318" s="364">
        <f t="shared" si="111"/>
        <v>1.5648126429950877</v>
      </c>
      <c r="E318" s="364">
        <f t="shared" si="112"/>
        <v>1.0143098896802931</v>
      </c>
      <c r="F318" s="365">
        <f t="shared" si="113"/>
        <v>0.16817433622016184</v>
      </c>
      <c r="G318" s="364">
        <f t="shared" si="114"/>
        <v>1.9456554969785442</v>
      </c>
      <c r="H318" s="365">
        <f t="shared" si="115"/>
        <v>-1.030994971033711</v>
      </c>
      <c r="I318" s="363">
        <f t="shared" si="116"/>
        <v>34071.208796879233</v>
      </c>
      <c r="J318" s="366">
        <f t="shared" si="117"/>
        <v>1.5707669765007493</v>
      </c>
      <c r="K318" s="374">
        <f t="shared" si="133"/>
        <v>115.62310842001597</v>
      </c>
      <c r="L318" s="375">
        <f t="shared" si="134"/>
        <v>1.5621474288279309</v>
      </c>
      <c r="M318" s="363">
        <f t="shared" si="118"/>
        <v>1.062505912413894</v>
      </c>
      <c r="N318" s="366">
        <f t="shared" si="119"/>
        <v>0.34471667820747243</v>
      </c>
      <c r="O318" s="367">
        <f t="shared" si="120"/>
        <v>1.0001905554452126</v>
      </c>
      <c r="P318" s="368">
        <f t="shared" si="121"/>
        <v>0.10797091836616256</v>
      </c>
      <c r="Q318" s="369">
        <f t="shared" si="122"/>
        <v>-5.9206122647883479</v>
      </c>
      <c r="R318" s="370">
        <f t="shared" si="123"/>
        <v>-165.52409363763829</v>
      </c>
      <c r="S318" s="372">
        <f t="shared" si="124"/>
        <v>14.475906362361712</v>
      </c>
      <c r="U318" s="345">
        <f t="shared" si="130"/>
        <v>22517.5</v>
      </c>
      <c r="V318" s="345">
        <f t="shared" si="131"/>
        <v>507037806.25</v>
      </c>
      <c r="X318" s="371">
        <f t="shared" si="125"/>
        <v>38.183189200833965</v>
      </c>
      <c r="Y318" s="372">
        <f t="shared" si="126"/>
        <v>-20.244674515154706</v>
      </c>
      <c r="AA318" s="371">
        <f t="shared" si="127"/>
        <v>27.937398360936943</v>
      </c>
      <c r="AB318" s="372">
        <f t="shared" si="128"/>
        <v>-145.27941912248357</v>
      </c>
      <c r="AD318">
        <f t="shared" si="132"/>
        <v>0</v>
      </c>
      <c r="AE318">
        <f t="shared" si="135"/>
        <v>0</v>
      </c>
    </row>
    <row r="319" spans="1:31" x14ac:dyDescent="0.3">
      <c r="A319" s="373">
        <v>22648</v>
      </c>
      <c r="B319" s="390">
        <f t="shared" si="129"/>
        <v>22.648</v>
      </c>
      <c r="C319" s="363">
        <f t="shared" si="110"/>
        <v>168.09064802899087</v>
      </c>
      <c r="D319" s="364">
        <f t="shared" si="111"/>
        <v>1.5648471207528449</v>
      </c>
      <c r="E319" s="364">
        <f t="shared" si="112"/>
        <v>1.0144750491766188</v>
      </c>
      <c r="F319" s="365">
        <f t="shared" si="113"/>
        <v>0.16913056026855725</v>
      </c>
      <c r="G319" s="364">
        <f t="shared" si="114"/>
        <v>1.9539591692669969</v>
      </c>
      <c r="H319" s="365">
        <f t="shared" si="115"/>
        <v>-1.0335392623260484</v>
      </c>
      <c r="I319" s="363">
        <f t="shared" si="116"/>
        <v>34268.668228173716</v>
      </c>
      <c r="J319" s="366">
        <f t="shared" si="117"/>
        <v>1.5707671456200263</v>
      </c>
      <c r="K319" s="374">
        <f t="shared" si="133"/>
        <v>116.29315128592926</v>
      </c>
      <c r="L319" s="375">
        <f t="shared" si="134"/>
        <v>1.5621972621635409</v>
      </c>
      <c r="M319" s="363">
        <f t="shared" si="118"/>
        <v>1.06321091041065</v>
      </c>
      <c r="N319" s="366">
        <f t="shared" si="119"/>
        <v>0.34655871354104884</v>
      </c>
      <c r="O319" s="367">
        <f t="shared" si="120"/>
        <v>1.0001929569430081</v>
      </c>
      <c r="P319" s="368">
        <f t="shared" si="121"/>
        <v>0.10859886562944659</v>
      </c>
      <c r="Q319" s="369">
        <f t="shared" si="122"/>
        <v>-5.9381851672488359</v>
      </c>
      <c r="R319" s="370">
        <f t="shared" si="123"/>
        <v>-165.75573264685252</v>
      </c>
      <c r="S319" s="372">
        <f t="shared" si="124"/>
        <v>14.244267353147478</v>
      </c>
      <c r="U319" s="345">
        <f t="shared" si="130"/>
        <v>22648</v>
      </c>
      <c r="V319" s="345">
        <f t="shared" si="131"/>
        <v>512931904</v>
      </c>
      <c r="X319" s="371">
        <f t="shared" si="125"/>
        <v>38.177424084322404</v>
      </c>
      <c r="Y319" s="372">
        <f t="shared" si="126"/>
        <v>-20.347369815611245</v>
      </c>
      <c r="AA319" s="371">
        <f t="shared" si="127"/>
        <v>27.925590574988011</v>
      </c>
      <c r="AB319" s="372">
        <f t="shared" si="128"/>
        <v>-145.40836283124131</v>
      </c>
      <c r="AD319">
        <f t="shared" si="132"/>
        <v>0</v>
      </c>
      <c r="AE319">
        <f t="shared" si="135"/>
        <v>0</v>
      </c>
    </row>
    <row r="320" spans="1:31" x14ac:dyDescent="0.3">
      <c r="A320" s="373">
        <v>22778.5</v>
      </c>
      <c r="B320" s="390">
        <f t="shared" si="129"/>
        <v>22.778500000000001</v>
      </c>
      <c r="C320" s="363">
        <f t="shared" si="110"/>
        <v>169.0591686676712</v>
      </c>
      <c r="D320" s="364">
        <f t="shared" si="111"/>
        <v>1.5648812034723818</v>
      </c>
      <c r="E320" s="364">
        <f t="shared" si="112"/>
        <v>1.0146411359703682</v>
      </c>
      <c r="F320" s="365">
        <f t="shared" si="113"/>
        <v>0.17008647214178671</v>
      </c>
      <c r="G320" s="364">
        <f t="shared" si="114"/>
        <v>1.9622753832520599</v>
      </c>
      <c r="H320" s="365">
        <f t="shared" si="115"/>
        <v>-1.0360620041853268</v>
      </c>
      <c r="I320" s="363">
        <f t="shared" si="116"/>
        <v>34466.127659469166</v>
      </c>
      <c r="J320" s="366">
        <f t="shared" si="117"/>
        <v>1.5707673128015052</v>
      </c>
      <c r="K320" s="374">
        <f t="shared" si="133"/>
        <v>116.96319443733161</v>
      </c>
      <c r="L320" s="375">
        <f t="shared" si="134"/>
        <v>1.5622465245421364</v>
      </c>
      <c r="M320" s="363">
        <f t="shared" si="118"/>
        <v>1.0639195111939495</v>
      </c>
      <c r="N320" s="366">
        <f t="shared" si="119"/>
        <v>0.34839830141331618</v>
      </c>
      <c r="O320" s="367">
        <f t="shared" si="120"/>
        <v>1.0001953766379763</v>
      </c>
      <c r="P320" s="368">
        <f t="shared" si="121"/>
        <v>0.10922685087636527</v>
      </c>
      <c r="Q320" s="369">
        <f t="shared" si="122"/>
        <v>-5.9555890393469166</v>
      </c>
      <c r="R320" s="370">
        <f t="shared" si="123"/>
        <v>-165.98602676629477</v>
      </c>
      <c r="S320" s="372">
        <f t="shared" si="124"/>
        <v>14.013973233705229</v>
      </c>
      <c r="U320" s="345">
        <f t="shared" si="130"/>
        <v>22778.5</v>
      </c>
      <c r="V320" s="345">
        <f t="shared" si="131"/>
        <v>518860062.25</v>
      </c>
      <c r="X320" s="371">
        <f t="shared" si="125"/>
        <v>38.171633437425911</v>
      </c>
      <c r="Y320" s="372">
        <f t="shared" si="126"/>
        <v>-20.449957489263689</v>
      </c>
      <c r="AA320" s="371">
        <f t="shared" si="127"/>
        <v>27.913977349786428</v>
      </c>
      <c r="AB320" s="372">
        <f t="shared" si="128"/>
        <v>-145.53606927703106</v>
      </c>
      <c r="AD320">
        <f t="shared" si="132"/>
        <v>0</v>
      </c>
      <c r="AE320">
        <f t="shared" si="135"/>
        <v>0</v>
      </c>
    </row>
    <row r="321" spans="1:31" x14ac:dyDescent="0.3">
      <c r="A321" s="373">
        <v>22909</v>
      </c>
      <c r="B321" s="390">
        <f t="shared" si="129"/>
        <v>22.908999999999999</v>
      </c>
      <c r="C321" s="363">
        <f t="shared" si="110"/>
        <v>170.02768950049875</v>
      </c>
      <c r="D321" s="364">
        <f t="shared" si="111"/>
        <v>1.5649148979043317</v>
      </c>
      <c r="E321" s="364">
        <f t="shared" si="112"/>
        <v>1.0148081496062478</v>
      </c>
      <c r="F321" s="365">
        <f t="shared" si="113"/>
        <v>0.17104207024659329</v>
      </c>
      <c r="G321" s="364">
        <f t="shared" si="114"/>
        <v>1.9706039801507973</v>
      </c>
      <c r="H321" s="365">
        <f t="shared" si="115"/>
        <v>-1.0385634375272508</v>
      </c>
      <c r="I321" s="363">
        <f t="shared" si="116"/>
        <v>34663.587090765577</v>
      </c>
      <c r="J321" s="366">
        <f t="shared" si="117"/>
        <v>1.5707674780783019</v>
      </c>
      <c r="K321" s="374">
        <f t="shared" si="133"/>
        <v>117.63323786934454</v>
      </c>
      <c r="L321" s="375">
        <f t="shared" si="134"/>
        <v>1.5622952257200555</v>
      </c>
      <c r="M321" s="363">
        <f t="shared" si="118"/>
        <v>1.0646317075699328</v>
      </c>
      <c r="N321" s="366">
        <f t="shared" si="119"/>
        <v>0.35023543427306891</v>
      </c>
      <c r="O321" s="367">
        <f t="shared" si="120"/>
        <v>1.0001978146047539</v>
      </c>
      <c r="P321" s="368">
        <f t="shared" si="121"/>
        <v>0.10985487431995163</v>
      </c>
      <c r="Q321" s="369">
        <f t="shared" si="122"/>
        <v>-5.9728271507848429</v>
      </c>
      <c r="R321" s="370">
        <f t="shared" si="123"/>
        <v>-166.21498929994186</v>
      </c>
      <c r="S321" s="372">
        <f t="shared" si="124"/>
        <v>13.785010700058137</v>
      </c>
      <c r="U321" s="345">
        <f t="shared" si="130"/>
        <v>22909</v>
      </c>
      <c r="V321" s="345">
        <f t="shared" si="131"/>
        <v>524822281</v>
      </c>
      <c r="X321" s="371">
        <f t="shared" si="125"/>
        <v>38.165817371054594</v>
      </c>
      <c r="Y321" s="372">
        <f t="shared" si="126"/>
        <v>-20.552436546360248</v>
      </c>
      <c r="AA321" s="371">
        <f t="shared" si="127"/>
        <v>27.902555304719808</v>
      </c>
      <c r="AB321" s="372">
        <f t="shared" si="128"/>
        <v>-145.66255275358162</v>
      </c>
      <c r="AD321">
        <f t="shared" si="132"/>
        <v>0</v>
      </c>
      <c r="AE321">
        <f t="shared" si="135"/>
        <v>0</v>
      </c>
    </row>
    <row r="322" spans="1:31" x14ac:dyDescent="0.3">
      <c r="A322" s="373">
        <v>23042.25</v>
      </c>
      <c r="B322" s="390">
        <f t="shared" si="129"/>
        <v>23.042249999999999</v>
      </c>
      <c r="C322" s="363">
        <f t="shared" si="110"/>
        <v>171.01661997306334</v>
      </c>
      <c r="D322" s="364">
        <f t="shared" si="111"/>
        <v>1.564948908579656</v>
      </c>
      <c r="E322" s="364">
        <f t="shared" si="112"/>
        <v>1.0149796385557877</v>
      </c>
      <c r="F322" s="365">
        <f t="shared" si="113"/>
        <v>0.17201748006812395</v>
      </c>
      <c r="G322" s="364">
        <f t="shared" si="114"/>
        <v>1.9791206985167444</v>
      </c>
      <c r="H322" s="365">
        <f t="shared" si="115"/>
        <v>-1.041095843484094</v>
      </c>
      <c r="I322" s="363">
        <f t="shared" si="116"/>
        <v>34865.207544561526</v>
      </c>
      <c r="J322" s="366">
        <f t="shared" si="117"/>
        <v>1.5707676449062584</v>
      </c>
      <c r="K322" s="374">
        <f t="shared" si="133"/>
        <v>118.31740127512694</v>
      </c>
      <c r="L322" s="375">
        <f t="shared" si="134"/>
        <v>1.5623443840103917</v>
      </c>
      <c r="M322" s="363">
        <f t="shared" si="118"/>
        <v>1.0653626144673605</v>
      </c>
      <c r="N322" s="366">
        <f t="shared" si="119"/>
        <v>0.35210873974592033</v>
      </c>
      <c r="O322" s="367">
        <f t="shared" si="120"/>
        <v>1.0002003228777341</v>
      </c>
      <c r="P322" s="368">
        <f t="shared" si="121"/>
        <v>0.1104961716078017</v>
      </c>
      <c r="Q322" s="369">
        <f t="shared" si="122"/>
        <v>-5.9902608018366079</v>
      </c>
      <c r="R322" s="370">
        <f t="shared" si="123"/>
        <v>-166.44741639694712</v>
      </c>
      <c r="S322" s="372">
        <f t="shared" si="124"/>
        <v>13.552583603052881</v>
      </c>
      <c r="U322" s="345">
        <f t="shared" si="130"/>
        <v>23042.25</v>
      </c>
      <c r="V322" s="345">
        <f t="shared" si="131"/>
        <v>530945285.0625</v>
      </c>
      <c r="X322" s="371">
        <f t="shared" si="125"/>
        <v>38.159852630717488</v>
      </c>
      <c r="Y322" s="372">
        <f t="shared" si="126"/>
        <v>-20.656962039786311</v>
      </c>
      <c r="AA322" s="371">
        <f t="shared" si="127"/>
        <v>27.891086394005153</v>
      </c>
      <c r="AB322" s="372">
        <f t="shared" si="128"/>
        <v>-145.79045435716083</v>
      </c>
      <c r="AD322">
        <f t="shared" si="132"/>
        <v>0</v>
      </c>
      <c r="AE322">
        <f t="shared" si="135"/>
        <v>0</v>
      </c>
    </row>
    <row r="323" spans="1:31" x14ac:dyDescent="0.3">
      <c r="A323" s="373">
        <v>23175.5</v>
      </c>
      <c r="B323" s="390">
        <f t="shared" si="129"/>
        <v>23.1755</v>
      </c>
      <c r="C323" s="363">
        <f t="shared" si="110"/>
        <v>172.00555064117259</v>
      </c>
      <c r="D323" s="364">
        <f t="shared" si="111"/>
        <v>1.5649825281722922</v>
      </c>
      <c r="E323" s="364">
        <f t="shared" si="112"/>
        <v>1.0151520928548421</v>
      </c>
      <c r="F323" s="365">
        <f t="shared" si="113"/>
        <v>0.17299255941136332</v>
      </c>
      <c r="G323" s="364">
        <f t="shared" si="114"/>
        <v>1.9876500003266373</v>
      </c>
      <c r="H323" s="365">
        <f t="shared" si="115"/>
        <v>-1.0436065315659986</v>
      </c>
      <c r="I323" s="363">
        <f t="shared" si="116"/>
        <v>35066.827998358443</v>
      </c>
      <c r="J323" s="366">
        <f t="shared" si="117"/>
        <v>1.5707678098158251</v>
      </c>
      <c r="K323" s="374">
        <f t="shared" si="133"/>
        <v>119.00156496354016</v>
      </c>
      <c r="L323" s="375">
        <f t="shared" si="134"/>
        <v>1.5623929770592484</v>
      </c>
      <c r="M323" s="363">
        <f t="shared" si="118"/>
        <v>1.0660972548794503</v>
      </c>
      <c r="N323" s="366">
        <f t="shared" si="119"/>
        <v>0.35397947001187768</v>
      </c>
      <c r="O323" s="367">
        <f t="shared" si="120"/>
        <v>1.0002028503593485</v>
      </c>
      <c r="P323" s="368">
        <f t="shared" si="121"/>
        <v>0.11113750916767089</v>
      </c>
      <c r="Q323" s="369">
        <f t="shared" si="122"/>
        <v>-6.00752829219633</v>
      </c>
      <c r="R323" s="370">
        <f t="shared" si="123"/>
        <v>-166.67848271396659</v>
      </c>
      <c r="S323" s="372">
        <f t="shared" si="124"/>
        <v>13.321517286033412</v>
      </c>
      <c r="U323" s="345">
        <f t="shared" si="130"/>
        <v>23175.5</v>
      </c>
      <c r="V323" s="345">
        <f t="shared" si="131"/>
        <v>537103800.25</v>
      </c>
      <c r="X323" s="371">
        <f t="shared" si="125"/>
        <v>38.153861622554409</v>
      </c>
      <c r="Y323" s="372">
        <f t="shared" si="126"/>
        <v>-20.761372260761362</v>
      </c>
      <c r="AA323" s="371">
        <f t="shared" si="127"/>
        <v>27.879809911808515</v>
      </c>
      <c r="AB323" s="372">
        <f t="shared" si="128"/>
        <v>-145.91711045320523</v>
      </c>
      <c r="AD323">
        <f t="shared" si="132"/>
        <v>0</v>
      </c>
      <c r="AE323">
        <f t="shared" si="135"/>
        <v>0</v>
      </c>
    </row>
    <row r="324" spans="1:31" x14ac:dyDescent="0.3">
      <c r="A324" s="373">
        <v>23308.75</v>
      </c>
      <c r="B324" s="390">
        <f t="shared" si="129"/>
        <v>23.30875</v>
      </c>
      <c r="C324" s="363">
        <f t="shared" si="110"/>
        <v>172.99448150147305</v>
      </c>
      <c r="D324" s="364">
        <f t="shared" si="111"/>
        <v>1.56501576338909</v>
      </c>
      <c r="E324" s="364">
        <f t="shared" si="112"/>
        <v>1.0153255120115134</v>
      </c>
      <c r="F324" s="365">
        <f t="shared" si="113"/>
        <v>0.17396730659101087</v>
      </c>
      <c r="G324" s="364">
        <f t="shared" si="114"/>
        <v>1.99619172428136</v>
      </c>
      <c r="H324" s="365">
        <f t="shared" si="115"/>
        <v>-1.0460957487093572</v>
      </c>
      <c r="I324" s="363">
        <f t="shared" si="116"/>
        <v>35268.448452156299</v>
      </c>
      <c r="J324" s="366">
        <f t="shared" si="117"/>
        <v>1.5707679728399022</v>
      </c>
      <c r="K324" s="374">
        <f t="shared" si="133"/>
        <v>119.68572892973737</v>
      </c>
      <c r="L324" s="375">
        <f t="shared" si="134"/>
        <v>1.5624410145597267</v>
      </c>
      <c r="M324" s="363">
        <f t="shared" si="118"/>
        <v>1.066835621093325</v>
      </c>
      <c r="N324" s="366">
        <f t="shared" si="119"/>
        <v>0.35584761731075881</v>
      </c>
      <c r="O324" s="367">
        <f t="shared" si="120"/>
        <v>1.0002053971304328</v>
      </c>
      <c r="P324" s="368">
        <f t="shared" si="121"/>
        <v>0.11177888722601623</v>
      </c>
      <c r="Q324" s="369">
        <f t="shared" si="122"/>
        <v>-6.0246328735109467</v>
      </c>
      <c r="R324" s="370">
        <f t="shared" si="123"/>
        <v>-166.90820189510873</v>
      </c>
      <c r="S324" s="372">
        <f t="shared" si="124"/>
        <v>13.091798104891268</v>
      </c>
      <c r="U324" s="345">
        <f t="shared" si="130"/>
        <v>23308.75</v>
      </c>
      <c r="V324" s="345">
        <f t="shared" si="131"/>
        <v>543297826.5625</v>
      </c>
      <c r="X324" s="371">
        <f t="shared" si="125"/>
        <v>38.147844465178473</v>
      </c>
      <c r="Y324" s="372">
        <f t="shared" si="126"/>
        <v>-20.865666211171</v>
      </c>
      <c r="AA324" s="371">
        <f t="shared" si="127"/>
        <v>27.868722487869825</v>
      </c>
      <c r="AB324" s="372">
        <f t="shared" si="128"/>
        <v>-146.04253568393767</v>
      </c>
      <c r="AD324">
        <f t="shared" si="132"/>
        <v>0</v>
      </c>
      <c r="AE324">
        <f t="shared" si="135"/>
        <v>0</v>
      </c>
    </row>
    <row r="325" spans="1:31" x14ac:dyDescent="0.3">
      <c r="A325" s="373">
        <v>23442</v>
      </c>
      <c r="B325" s="390">
        <f t="shared" si="129"/>
        <v>23.442</v>
      </c>
      <c r="C325" s="363">
        <f t="shared" si="110"/>
        <v>173.98341255068738</v>
      </c>
      <c r="D325" s="364">
        <f t="shared" si="111"/>
        <v>1.5650486207844134</v>
      </c>
      <c r="E325" s="364">
        <f t="shared" si="112"/>
        <v>1.0154998955314893</v>
      </c>
      <c r="F325" s="365">
        <f t="shared" si="113"/>
        <v>0.17494171992543905</v>
      </c>
      <c r="G325" s="364">
        <f t="shared" si="114"/>
        <v>2.0047457115978897</v>
      </c>
      <c r="H325" s="365">
        <f t="shared" si="115"/>
        <v>-1.0485637387094922</v>
      </c>
      <c r="I325" s="363">
        <f t="shared" si="116"/>
        <v>35470.068905955079</v>
      </c>
      <c r="J325" s="366">
        <f t="shared" si="117"/>
        <v>1.5707681340106427</v>
      </c>
      <c r="K325" s="374">
        <f t="shared" si="133"/>
        <v>120.36989316898195</v>
      </c>
      <c r="L325" s="375">
        <f t="shared" si="134"/>
        <v>1.5624885059845617</v>
      </c>
      <c r="M325" s="363">
        <f t="shared" si="118"/>
        <v>1.0675777053783821</v>
      </c>
      <c r="N325" s="366">
        <f t="shared" si="119"/>
        <v>0.35771317397591135</v>
      </c>
      <c r="O325" s="367">
        <f t="shared" si="120"/>
        <v>1.0002079632722887</v>
      </c>
      <c r="P325" s="368">
        <f t="shared" si="121"/>
        <v>0.11242030600918246</v>
      </c>
      <c r="Q325" s="369">
        <f t="shared" si="122"/>
        <v>-6.0415777240812325</v>
      </c>
      <c r="R325" s="370">
        <f t="shared" si="123"/>
        <v>-167.13658741350042</v>
      </c>
      <c r="S325" s="372">
        <f t="shared" si="124"/>
        <v>12.863412586499578</v>
      </c>
      <c r="U325" s="345">
        <f t="shared" si="130"/>
        <v>23442</v>
      </c>
      <c r="V325" s="345">
        <f t="shared" si="131"/>
        <v>549527364</v>
      </c>
      <c r="X325" s="371">
        <f t="shared" si="125"/>
        <v>38.141801277369893</v>
      </c>
      <c r="Y325" s="372">
        <f t="shared" si="126"/>
        <v>-20.969842910842893</v>
      </c>
      <c r="AA325" s="371">
        <f t="shared" si="127"/>
        <v>27.857820825108121</v>
      </c>
      <c r="AB325" s="372">
        <f t="shared" si="128"/>
        <v>-146.16674450265751</v>
      </c>
      <c r="AD325">
        <f t="shared" si="132"/>
        <v>0</v>
      </c>
      <c r="AE325">
        <f t="shared" si="135"/>
        <v>0</v>
      </c>
    </row>
    <row r="326" spans="1:31" x14ac:dyDescent="0.3">
      <c r="A326" s="373">
        <v>23578.5</v>
      </c>
      <c r="B326" s="390">
        <f t="shared" si="129"/>
        <v>23.578499999999998</v>
      </c>
      <c r="C326" s="363">
        <f t="shared" si="110"/>
        <v>174.99646406192844</v>
      </c>
      <c r="D326" s="364">
        <f t="shared" si="111"/>
        <v>1.56508189451858</v>
      </c>
      <c r="E326" s="364">
        <f t="shared" si="112"/>
        <v>1.0156795317205367</v>
      </c>
      <c r="F326" s="365">
        <f t="shared" si="113"/>
        <v>0.17593955152643856</v>
      </c>
      <c r="G326" s="364">
        <f t="shared" si="114"/>
        <v>2.0135208850425412</v>
      </c>
      <c r="H326" s="365">
        <f t="shared" si="115"/>
        <v>-1.0510701651039747</v>
      </c>
      <c r="I326" s="363">
        <f t="shared" si="116"/>
        <v>35676.606931798691</v>
      </c>
      <c r="J326" s="366">
        <f t="shared" si="117"/>
        <v>1.5707682972235295</v>
      </c>
      <c r="K326" s="374">
        <f t="shared" si="133"/>
        <v>121.07074461917044</v>
      </c>
      <c r="L326" s="375">
        <f t="shared" si="134"/>
        <v>1.5625365991971791</v>
      </c>
      <c r="M326" s="363">
        <f t="shared" si="118"/>
        <v>1.0683417363850474</v>
      </c>
      <c r="N326" s="366">
        <f t="shared" si="119"/>
        <v>0.3596215379237197</v>
      </c>
      <c r="O326" s="367">
        <f t="shared" si="120"/>
        <v>1.0002106121736642</v>
      </c>
      <c r="P326" s="368">
        <f t="shared" si="121"/>
        <v>0.11307741161626252</v>
      </c>
      <c r="Q326" s="369">
        <f t="shared" si="122"/>
        <v>-6.0587734887559037</v>
      </c>
      <c r="R326" s="370">
        <f t="shared" si="123"/>
        <v>-167.36917436423235</v>
      </c>
      <c r="S326" s="372">
        <f t="shared" si="124"/>
        <v>12.63082563576765</v>
      </c>
      <c r="U326" s="345">
        <f t="shared" si="130"/>
        <v>23578.5</v>
      </c>
      <c r="V326" s="345">
        <f t="shared" si="131"/>
        <v>555945662.25</v>
      </c>
      <c r="X326" s="371">
        <f t="shared" si="125"/>
        <v>38.135583828558531</v>
      </c>
      <c r="Y326" s="372">
        <f t="shared" si="126"/>
        <v>-21.076437924252406</v>
      </c>
      <c r="AA326" s="371">
        <f t="shared" si="127"/>
        <v>27.846842509244812</v>
      </c>
      <c r="AB326" s="372">
        <f t="shared" si="128"/>
        <v>-146.29273643997993</v>
      </c>
      <c r="AD326">
        <f t="shared" si="132"/>
        <v>0</v>
      </c>
      <c r="AE326">
        <f t="shared" si="135"/>
        <v>0</v>
      </c>
    </row>
    <row r="327" spans="1:31" x14ac:dyDescent="0.3">
      <c r="A327" s="373">
        <v>23715</v>
      </c>
      <c r="B327" s="390">
        <f t="shared" si="129"/>
        <v>23.715</v>
      </c>
      <c r="C327" s="363">
        <f t="shared" si="110"/>
        <v>176.00951576468509</v>
      </c>
      <c r="D327" s="364">
        <f t="shared" si="111"/>
        <v>1.5651147852278886</v>
      </c>
      <c r="E327" s="364">
        <f t="shared" si="112"/>
        <v>1.015860178830855</v>
      </c>
      <c r="F327" s="365">
        <f t="shared" si="113"/>
        <v>0.17693702923800703</v>
      </c>
      <c r="G327" s="364">
        <f t="shared" si="114"/>
        <v>2.0223085979529332</v>
      </c>
      <c r="H327" s="365">
        <f t="shared" si="115"/>
        <v>-1.0535548242108377</v>
      </c>
      <c r="I327" s="363">
        <f t="shared" si="116"/>
        <v>35883.144957643228</v>
      </c>
      <c r="J327" s="366">
        <f t="shared" si="117"/>
        <v>1.5707684585575581</v>
      </c>
      <c r="K327" s="374">
        <f t="shared" si="133"/>
        <v>121.77159634616697</v>
      </c>
      <c r="L327" s="375">
        <f t="shared" si="134"/>
        <v>1.5625841388126442</v>
      </c>
      <c r="M327" s="363">
        <f t="shared" si="118"/>
        <v>1.069109652565986</v>
      </c>
      <c r="N327" s="366">
        <f t="shared" si="119"/>
        <v>0.36152716733787454</v>
      </c>
      <c r="O327" s="367">
        <f t="shared" si="120"/>
        <v>1.0002132815764577</v>
      </c>
      <c r="P327" s="368">
        <f t="shared" si="121"/>
        <v>0.11373456043943686</v>
      </c>
      <c r="Q327" s="369">
        <f t="shared" si="122"/>
        <v>-6.0758081597028344</v>
      </c>
      <c r="R327" s="370">
        <f t="shared" si="123"/>
        <v>-167.6003898819059</v>
      </c>
      <c r="S327" s="372">
        <f t="shared" si="124"/>
        <v>12.399610118094103</v>
      </c>
      <c r="U327" s="345">
        <f t="shared" si="130"/>
        <v>23715</v>
      </c>
      <c r="V327" s="345">
        <f t="shared" si="131"/>
        <v>562401225</v>
      </c>
      <c r="X327" s="371">
        <f t="shared" si="125"/>
        <v>38.129339316886274</v>
      </c>
      <c r="Y327" s="372">
        <f t="shared" si="126"/>
        <v>-21.182907871554228</v>
      </c>
      <c r="AA327" s="371">
        <f t="shared" si="127"/>
        <v>27.836052349970135</v>
      </c>
      <c r="AB327" s="372">
        <f t="shared" si="128"/>
        <v>-146.41748201035168</v>
      </c>
      <c r="AD327">
        <f t="shared" si="132"/>
        <v>0</v>
      </c>
      <c r="AE327">
        <f t="shared" si="135"/>
        <v>0</v>
      </c>
    </row>
    <row r="328" spans="1:31" x14ac:dyDescent="0.3">
      <c r="A328" s="373">
        <v>23851.5</v>
      </c>
      <c r="B328" s="390">
        <f t="shared" si="129"/>
        <v>23.851500000000001</v>
      </c>
      <c r="C328" s="363">
        <f t="shared" si="110"/>
        <v>177.02256765566926</v>
      </c>
      <c r="D328" s="364">
        <f t="shared" si="111"/>
        <v>1.5651472994881079</v>
      </c>
      <c r="E328" s="364">
        <f t="shared" si="112"/>
        <v>1.016041836323234</v>
      </c>
      <c r="F328" s="365">
        <f t="shared" si="113"/>
        <v>0.17793415126453102</v>
      </c>
      <c r="G328" s="364">
        <f t="shared" si="114"/>
        <v>2.0311086875708328</v>
      </c>
      <c r="H328" s="365">
        <f t="shared" si="115"/>
        <v>-1.056017968081834</v>
      </c>
      <c r="I328" s="363">
        <f t="shared" si="116"/>
        <v>36089.682983488688</v>
      </c>
      <c r="J328" s="366">
        <f t="shared" si="117"/>
        <v>1.5707686180449865</v>
      </c>
      <c r="K328" s="374">
        <f t="shared" si="133"/>
        <v>122.47244834521938</v>
      </c>
      <c r="L328" s="375">
        <f t="shared" si="134"/>
        <v>1.5626311343346657</v>
      </c>
      <c r="M328" s="363">
        <f t="shared" si="118"/>
        <v>1.0698814455553507</v>
      </c>
      <c r="N328" s="366">
        <f t="shared" si="119"/>
        <v>0.36343005428122543</v>
      </c>
      <c r="O328" s="367">
        <f t="shared" si="120"/>
        <v>1.0002159715695835</v>
      </c>
      <c r="P328" s="368">
        <f t="shared" si="121"/>
        <v>0.1143917527216482</v>
      </c>
      <c r="Q328" s="369">
        <f t="shared" si="122"/>
        <v>-6.0926849260048668</v>
      </c>
      <c r="R328" s="370">
        <f t="shared" si="123"/>
        <v>-167.83024790414791</v>
      </c>
      <c r="S328" s="372">
        <f t="shared" si="124"/>
        <v>12.16975209585209</v>
      </c>
      <c r="U328" s="345">
        <f t="shared" si="130"/>
        <v>23851.5</v>
      </c>
      <c r="V328" s="345">
        <f t="shared" si="131"/>
        <v>568894052.25</v>
      </c>
      <c r="X328" s="371">
        <f t="shared" si="125"/>
        <v>38.123067870532751</v>
      </c>
      <c r="Y328" s="372">
        <f t="shared" si="126"/>
        <v>-21.289251755308985</v>
      </c>
      <c r="AA328" s="371">
        <f t="shared" si="127"/>
        <v>27.825447030021632</v>
      </c>
      <c r="AB328" s="372">
        <f t="shared" si="128"/>
        <v>-146.5409961488389</v>
      </c>
      <c r="AD328">
        <f t="shared" si="132"/>
        <v>0</v>
      </c>
      <c r="AE328">
        <f t="shared" si="135"/>
        <v>0</v>
      </c>
    </row>
    <row r="329" spans="1:31" x14ac:dyDescent="0.3">
      <c r="A329" s="373">
        <v>23988</v>
      </c>
      <c r="B329" s="390">
        <f t="shared" si="129"/>
        <v>23.988</v>
      </c>
      <c r="C329" s="363">
        <f t="shared" si="110"/>
        <v>178.03561973166791</v>
      </c>
      <c r="D329" s="364">
        <f t="shared" si="111"/>
        <v>1.5651794437253412</v>
      </c>
      <c r="E329" s="364">
        <f t="shared" si="112"/>
        <v>1.0162245036558344</v>
      </c>
      <c r="F329" s="365">
        <f t="shared" si="113"/>
        <v>0.17893091581450643</v>
      </c>
      <c r="G329" s="364">
        <f t="shared" si="114"/>
        <v>2.0399209937192553</v>
      </c>
      <c r="H329" s="365">
        <f t="shared" si="115"/>
        <v>-1.0584598454668142</v>
      </c>
      <c r="I329" s="363">
        <f t="shared" si="116"/>
        <v>36296.221009335066</v>
      </c>
      <c r="J329" s="366">
        <f t="shared" si="117"/>
        <v>1.5707687757173376</v>
      </c>
      <c r="K329" s="374">
        <f t="shared" si="133"/>
        <v>123.17330061168371</v>
      </c>
      <c r="L329" s="375">
        <f t="shared" si="134"/>
        <v>1.5626775950506584</v>
      </c>
      <c r="M329" s="363">
        <f t="shared" si="118"/>
        <v>1.070657106969243</v>
      </c>
      <c r="N329" s="366">
        <f t="shared" si="119"/>
        <v>0.36533019091889329</v>
      </c>
      <c r="O329" s="367">
        <f t="shared" si="120"/>
        <v>1.0002186822424672</v>
      </c>
      <c r="P329" s="368">
        <f t="shared" si="121"/>
        <v>0.11504898870571266</v>
      </c>
      <c r="Q329" s="369">
        <f t="shared" si="122"/>
        <v>-6.109406903849707</v>
      </c>
      <c r="R329" s="370">
        <f t="shared" si="123"/>
        <v>-168.0587621887924</v>
      </c>
      <c r="S329" s="372">
        <f t="shared" si="124"/>
        <v>11.9412378112076</v>
      </c>
      <c r="U329" s="345">
        <f t="shared" si="130"/>
        <v>23988</v>
      </c>
      <c r="V329" s="345">
        <f t="shared" si="131"/>
        <v>575424144</v>
      </c>
      <c r="X329" s="371">
        <f t="shared" si="125"/>
        <v>38.116769617827501</v>
      </c>
      <c r="Y329" s="372">
        <f t="shared" si="126"/>
        <v>-21.395468596287635</v>
      </c>
      <c r="AA329" s="371">
        <f t="shared" si="127"/>
        <v>27.815023304882047</v>
      </c>
      <c r="AB329" s="372">
        <f t="shared" si="128"/>
        <v>-146.66329359250477</v>
      </c>
      <c r="AD329">
        <f t="shared" si="132"/>
        <v>0</v>
      </c>
      <c r="AE329">
        <f t="shared" si="135"/>
        <v>0</v>
      </c>
    </row>
    <row r="330" spans="1:31" x14ac:dyDescent="0.3">
      <c r="A330" s="373">
        <v>24127.75</v>
      </c>
      <c r="B330" s="390">
        <f t="shared" si="129"/>
        <v>24.127749999999999</v>
      </c>
      <c r="C330" s="363">
        <f t="shared" si="110"/>
        <v>179.07279228358604</v>
      </c>
      <c r="D330" s="364">
        <f t="shared" si="111"/>
        <v>1.5652119765161008</v>
      </c>
      <c r="E330" s="364">
        <f t="shared" si="112"/>
        <v>1.0164125658342658</v>
      </c>
      <c r="F330" s="365">
        <f t="shared" si="113"/>
        <v>0.17995104064248285</v>
      </c>
      <c r="G330" s="364">
        <f t="shared" si="114"/>
        <v>2.048955608381732</v>
      </c>
      <c r="H330" s="365">
        <f t="shared" si="115"/>
        <v>-1.0609380870811738</v>
      </c>
      <c r="I330" s="363">
        <f t="shared" si="116"/>
        <v>36507.67660722632</v>
      </c>
      <c r="J330" s="366">
        <f t="shared" si="117"/>
        <v>1.5707689352955447</v>
      </c>
      <c r="K330" s="374">
        <f t="shared" si="133"/>
        <v>123.89084010917263</v>
      </c>
      <c r="L330" s="375">
        <f t="shared" si="134"/>
        <v>1.5627246173937004</v>
      </c>
      <c r="M330" s="363">
        <f t="shared" si="118"/>
        <v>1.0714552354178686</v>
      </c>
      <c r="N330" s="366">
        <f t="shared" si="119"/>
        <v>0.36727271152050728</v>
      </c>
      <c r="O330" s="367">
        <f t="shared" si="120"/>
        <v>1.0002214789732828</v>
      </c>
      <c r="P330" s="368">
        <f t="shared" si="121"/>
        <v>0.11572191869402847</v>
      </c>
      <c r="Q330" s="369">
        <f t="shared" si="122"/>
        <v>-6.1263698429028555</v>
      </c>
      <c r="R330" s="370">
        <f t="shared" si="123"/>
        <v>-168.29133936024803</v>
      </c>
      <c r="S330" s="372">
        <f t="shared" si="124"/>
        <v>11.708660639751969</v>
      </c>
      <c r="U330" s="345">
        <f t="shared" si="130"/>
        <v>24127.75</v>
      </c>
      <c r="V330" s="345">
        <f t="shared" si="131"/>
        <v>582148320.0625</v>
      </c>
      <c r="X330" s="371">
        <f t="shared" si="125"/>
        <v>38.110293769557828</v>
      </c>
      <c r="Y330" s="372">
        <f t="shared" si="126"/>
        <v>-21.504081789860081</v>
      </c>
      <c r="AA330" s="371">
        <f t="shared" si="127"/>
        <v>27.804536214098562</v>
      </c>
      <c r="AB330" s="372">
        <f t="shared" si="128"/>
        <v>-146.78725757038791</v>
      </c>
      <c r="AD330">
        <f t="shared" si="132"/>
        <v>0</v>
      </c>
      <c r="AE330">
        <f t="shared" si="135"/>
        <v>0</v>
      </c>
    </row>
    <row r="331" spans="1:31" x14ac:dyDescent="0.3">
      <c r="A331" s="373">
        <v>24267.5</v>
      </c>
      <c r="B331" s="390">
        <f t="shared" si="129"/>
        <v>24.267499999999998</v>
      </c>
      <c r="C331" s="363">
        <f t="shared" si="110"/>
        <v>180.10996502284888</v>
      </c>
      <c r="D331" s="364">
        <f t="shared" si="111"/>
        <v>1.565244134623309</v>
      </c>
      <c r="E331" s="364">
        <f t="shared" si="112"/>
        <v>1.0166016853551905</v>
      </c>
      <c r="F331" s="365">
        <f t="shared" si="113"/>
        <v>0.18097078698146488</v>
      </c>
      <c r="G331" s="364">
        <f t="shared" si="114"/>
        <v>2.0580026965445088</v>
      </c>
      <c r="H331" s="365">
        <f t="shared" si="115"/>
        <v>-1.0633945547109767</v>
      </c>
      <c r="I331" s="363">
        <f t="shared" si="116"/>
        <v>36719.132205118498</v>
      </c>
      <c r="J331" s="366">
        <f t="shared" si="117"/>
        <v>1.570769093035816</v>
      </c>
      <c r="K331" s="374">
        <f t="shared" si="133"/>
        <v>124.60837987744181</v>
      </c>
      <c r="L331" s="375">
        <f t="shared" si="134"/>
        <v>1.5627710981937928</v>
      </c>
      <c r="M331" s="363">
        <f t="shared" si="118"/>
        <v>1.0722574008533081</v>
      </c>
      <c r="N331" s="366">
        <f t="shared" si="119"/>
        <v>0.36921233299758532</v>
      </c>
      <c r="O331" s="367">
        <f t="shared" si="120"/>
        <v>1.0002242975716764</v>
      </c>
      <c r="P331" s="368">
        <f t="shared" si="121"/>
        <v>0.11639489500469498</v>
      </c>
      <c r="Q331" s="369">
        <f t="shared" si="122"/>
        <v>-6.1431769191669972</v>
      </c>
      <c r="R331" s="370">
        <f t="shared" si="123"/>
        <v>-168.52253666161405</v>
      </c>
      <c r="S331" s="372">
        <f t="shared" si="124"/>
        <v>11.477463338385945</v>
      </c>
      <c r="U331" s="345">
        <f t="shared" si="130"/>
        <v>24267.5</v>
      </c>
      <c r="V331" s="345">
        <f t="shared" si="131"/>
        <v>588911556.25</v>
      </c>
      <c r="X331" s="371">
        <f t="shared" si="125"/>
        <v>38.103790095921781</v>
      </c>
      <c r="Y331" s="372">
        <f t="shared" si="126"/>
        <v>-21.612559798651663</v>
      </c>
      <c r="AA331" s="371">
        <f t="shared" si="127"/>
        <v>27.794232811470465</v>
      </c>
      <c r="AB331" s="372">
        <f t="shared" si="128"/>
        <v>-146.90997686296242</v>
      </c>
      <c r="AD331">
        <f t="shared" si="132"/>
        <v>0</v>
      </c>
      <c r="AE331">
        <f t="shared" si="135"/>
        <v>0</v>
      </c>
    </row>
    <row r="332" spans="1:31" x14ac:dyDescent="0.3">
      <c r="A332" s="373">
        <v>24407.25</v>
      </c>
      <c r="B332" s="390">
        <f t="shared" si="129"/>
        <v>24.407250000000001</v>
      </c>
      <c r="C332" s="363">
        <f t="shared" si="110"/>
        <v>181.14713794623842</v>
      </c>
      <c r="D332" s="364">
        <f t="shared" si="111"/>
        <v>1.5652759244827434</v>
      </c>
      <c r="E332" s="364">
        <f t="shared" si="112"/>
        <v>1.0167918616286227</v>
      </c>
      <c r="F332" s="365">
        <f t="shared" si="113"/>
        <v>0.1819901529224065</v>
      </c>
      <c r="G332" s="364">
        <f t="shared" si="114"/>
        <v>2.0670620944260731</v>
      </c>
      <c r="H332" s="365">
        <f t="shared" si="115"/>
        <v>-1.0658295048037545</v>
      </c>
      <c r="I332" s="363">
        <f t="shared" si="116"/>
        <v>36930.587803011571</v>
      </c>
      <c r="J332" s="366">
        <f t="shared" si="117"/>
        <v>1.570769248969722</v>
      </c>
      <c r="K332" s="374">
        <f t="shared" si="133"/>
        <v>125.32591991184032</v>
      </c>
      <c r="L332" s="375">
        <f t="shared" si="134"/>
        <v>1.5628170467523701</v>
      </c>
      <c r="M332" s="363">
        <f t="shared" si="118"/>
        <v>1.0730635942220494</v>
      </c>
      <c r="N332" s="366">
        <f t="shared" si="119"/>
        <v>0.37114904727400949</v>
      </c>
      <c r="O332" s="367">
        <f t="shared" si="120"/>
        <v>1.0002271381352827</v>
      </c>
      <c r="P332" s="368">
        <f t="shared" si="121"/>
        <v>0.11706791789787084</v>
      </c>
      <c r="Q332" s="369">
        <f t="shared" si="122"/>
        <v>-6.1598312512420303</v>
      </c>
      <c r="R332" s="370">
        <f t="shared" si="123"/>
        <v>-168.75236828542944</v>
      </c>
      <c r="S332" s="372">
        <f t="shared" si="124"/>
        <v>11.247631714570559</v>
      </c>
      <c r="U332" s="345">
        <f t="shared" si="130"/>
        <v>24407.25</v>
      </c>
      <c r="V332" s="345">
        <f t="shared" si="131"/>
        <v>595713852.5625</v>
      </c>
      <c r="X332" s="371">
        <f t="shared" si="125"/>
        <v>38.097258735069033</v>
      </c>
      <c r="Y332" s="372">
        <f t="shared" si="126"/>
        <v>-21.720901628810807</v>
      </c>
      <c r="AA332" s="371">
        <f t="shared" si="127"/>
        <v>27.784109840248185</v>
      </c>
      <c r="AB332" s="372">
        <f t="shared" si="128"/>
        <v>-147.03146665661862</v>
      </c>
      <c r="AD332">
        <f t="shared" si="132"/>
        <v>0</v>
      </c>
      <c r="AE332">
        <f t="shared" si="135"/>
        <v>0</v>
      </c>
    </row>
    <row r="333" spans="1:31" x14ac:dyDescent="0.3">
      <c r="A333" s="373">
        <v>24547</v>
      </c>
      <c r="B333" s="390">
        <f t="shared" si="129"/>
        <v>24.547000000000001</v>
      </c>
      <c r="C333" s="363">
        <f t="shared" ref="C333:C396" si="136">SQRT(1+(A333/pole1)^2)</f>
        <v>182.18431105060998</v>
      </c>
      <c r="D333" s="364">
        <f t="shared" ref="D333:D396" si="137">ATAN(A333/pole1)</f>
        <v>1.5653073523836303</v>
      </c>
      <c r="E333" s="364">
        <f t="shared" ref="E333:E396" si="138">SQRT(1+(A333/Zero1)^2)</f>
        <v>1.0169830940617233</v>
      </c>
      <c r="F333" s="365">
        <f t="shared" ref="F333:F396" si="139">ATAN(A333/Zero1)</f>
        <v>0.1830091365608478</v>
      </c>
      <c r="G333" s="364">
        <f t="shared" ref="G333:G396" si="140">IF(VIN_nom&gt;Vout, 1, SQRT(1+(A333/z_RHP)^2))</f>
        <v>2.0761336408827002</v>
      </c>
      <c r="H333" s="365">
        <f t="shared" ref="H333:H396" si="141">IF(VIN_nom&gt;Vout, 0, -ATAN(A333/z_RHP))</f>
        <v>-1.0682431903546743</v>
      </c>
      <c r="I333" s="363">
        <f t="shared" ref="I333:I396" si="142">SQRT(1+(A333/Pole2)^2)</f>
        <v>37142.043400905539</v>
      </c>
      <c r="J333" s="366">
        <f t="shared" ref="J333:J396" si="143">ATAN(A333/Pole2)</f>
        <v>1.5707694031281147</v>
      </c>
      <c r="K333" s="374">
        <f t="shared" si="133"/>
        <v>126.04346020782312</v>
      </c>
      <c r="L333" s="375">
        <f t="shared" si="134"/>
        <v>1.5628624721590716</v>
      </c>
      <c r="M333" s="363">
        <f t="shared" ref="M333:M396" si="144">SQRT(1+(A333/pole4)^2)</f>
        <v>1.0738738064523758</v>
      </c>
      <c r="N333" s="366">
        <f t="shared" ref="N333:N396" si="145">ATAN(A333/pole4)</f>
        <v>0.37308284638508871</v>
      </c>
      <c r="O333" s="367">
        <f t="shared" ref="O333:O396" si="146">SQRT((1-(V333/pterm2))^2+(A333/pterm1)^2)</f>
        <v>1.0002300007622991</v>
      </c>
      <c r="P333" s="368">
        <f t="shared" ref="P333:P396" si="147">IF((ATAN((A333/pterm1)/(1-A333^2/pterm2))&gt;0),ATAN((A333/pterm1)/(1-A333^2/pterm2)),PI()+ATAN((A333/pterm1)/(1-A333^2/pterm2)))</f>
        <v>0.11774098763357216</v>
      </c>
      <c r="Q333" s="369">
        <f t="shared" ref="Q333:Q396" si="148">20*LOG10(((E333*K333*G333)/(C333*I333*O333*M333))*Adc)</f>
        <v>-6.1763358855301806</v>
      </c>
      <c r="R333" s="370">
        <f t="shared" ref="R333:R396" si="149">((F333+L333+H333)-(D333+J333+P333+N333))*radconv</f>
        <v>-168.98084823623739</v>
      </c>
      <c r="S333" s="372">
        <f t="shared" ref="S333:S396" si="150">IF(R333&gt;0,R333,R333+180)</f>
        <v>11.019151763762608</v>
      </c>
      <c r="U333" s="345">
        <f t="shared" si="130"/>
        <v>24547</v>
      </c>
      <c r="V333" s="345">
        <f t="shared" si="131"/>
        <v>602555209</v>
      </c>
      <c r="X333" s="371">
        <f t="shared" ref="X333:X396" si="151">20*LOG10((K333/(I333*M333))*AEA)</f>
        <v>38.090699825277376</v>
      </c>
      <c r="Y333" s="372">
        <f t="shared" ref="Y333:Y396" si="152">(L333-(J333+N333))*radconv</f>
        <v>-21.829106304964061</v>
      </c>
      <c r="AA333" s="371">
        <f t="shared" ref="AA333:AA396" si="153">20*LOG10((E333*G333/(C333*O333))*Acs*Am)</f>
        <v>27.774164115751692</v>
      </c>
      <c r="AB333" s="372">
        <f t="shared" ref="AB333:AB396" si="154">(F333+H333-(D333+P333))*radconv</f>
        <v>-147.15174193127336</v>
      </c>
      <c r="AD333">
        <f t="shared" si="132"/>
        <v>0</v>
      </c>
      <c r="AE333">
        <f t="shared" si="135"/>
        <v>0</v>
      </c>
    </row>
    <row r="334" spans="1:31" x14ac:dyDescent="0.3">
      <c r="A334" s="373">
        <v>24690</v>
      </c>
      <c r="B334" s="390">
        <f t="shared" ref="B334:B397" si="155">A334/1000</f>
        <v>24.69</v>
      </c>
      <c r="C334" s="363">
        <f t="shared" si="136"/>
        <v>183.24560464387289</v>
      </c>
      <c r="D334" s="364">
        <f t="shared" si="137"/>
        <v>1.565339142894433</v>
      </c>
      <c r="E334" s="364">
        <f t="shared" si="138"/>
        <v>1.0171798664273375</v>
      </c>
      <c r="F334" s="365">
        <f t="shared" si="139"/>
        <v>0.18405141976933034</v>
      </c>
      <c r="G334" s="364">
        <f t="shared" si="140"/>
        <v>2.085428563799296</v>
      </c>
      <c r="H334" s="365">
        <f t="shared" si="141"/>
        <v>-1.0706912563923341</v>
      </c>
      <c r="I334" s="363">
        <f t="shared" si="142"/>
        <v>37358.416570844449</v>
      </c>
      <c r="J334" s="366">
        <f t="shared" si="143"/>
        <v>1.5707695590651074</v>
      </c>
      <c r="K334" s="374">
        <f t="shared" si="133"/>
        <v>126.7776877535801</v>
      </c>
      <c r="L334" s="375">
        <f t="shared" si="134"/>
        <v>1.5629084216939599</v>
      </c>
      <c r="M334" s="363">
        <f t="shared" si="144"/>
        <v>1.0747070114866981</v>
      </c>
      <c r="N334" s="366">
        <f t="shared" si="145"/>
        <v>0.37505859173109868</v>
      </c>
      <c r="O334" s="367">
        <f t="shared" si="146"/>
        <v>1.0002329529040939</v>
      </c>
      <c r="P334" s="368">
        <f t="shared" si="147"/>
        <v>0.1184297589141514</v>
      </c>
      <c r="Q334" s="369">
        <f t="shared" si="148"/>
        <v>-6.1930724923836991</v>
      </c>
      <c r="R334" s="370">
        <f t="shared" si="149"/>
        <v>-169.21325689888218</v>
      </c>
      <c r="S334" s="372">
        <f t="shared" si="150"/>
        <v>10.786743101117821</v>
      </c>
      <c r="U334" s="345">
        <f t="shared" ref="U334:U397" si="156">IF(Q334&lt;0,A334,1000000000)</f>
        <v>24690</v>
      </c>
      <c r="V334" s="345">
        <f t="shared" ref="V334:V397" si="157">A334^2</f>
        <v>609596100</v>
      </c>
      <c r="X334" s="371">
        <f t="shared" si="151"/>
        <v>38.083960009675152</v>
      </c>
      <c r="Y334" s="372">
        <f t="shared" si="152"/>
        <v>-21.939684394921251</v>
      </c>
      <c r="AA334" s="371">
        <f t="shared" si="153"/>
        <v>27.764167324500395</v>
      </c>
      <c r="AB334" s="372">
        <f t="shared" si="154"/>
        <v>-147.27357250396096</v>
      </c>
      <c r="AD334">
        <f t="shared" ref="AD334:AD397" si="158">SUM((Q335&lt;0)*(Q334&gt;0))*A334</f>
        <v>0</v>
      </c>
      <c r="AE334">
        <f t="shared" si="135"/>
        <v>0</v>
      </c>
    </row>
    <row r="335" spans="1:31" x14ac:dyDescent="0.3">
      <c r="A335" s="373">
        <v>24833</v>
      </c>
      <c r="B335" s="390">
        <f t="shared" si="155"/>
        <v>24.832999999999998</v>
      </c>
      <c r="C335" s="363">
        <f t="shared" si="136"/>
        <v>184.30689842019777</v>
      </c>
      <c r="D335" s="364">
        <f t="shared" si="137"/>
        <v>1.5653705672868903</v>
      </c>
      <c r="E335" s="364">
        <f t="shared" si="138"/>
        <v>1.017377743382514</v>
      </c>
      <c r="F335" s="365">
        <f t="shared" si="139"/>
        <v>0.18509329866730798</v>
      </c>
      <c r="G335" s="364">
        <f t="shared" si="140"/>
        <v>2.0947358737883506</v>
      </c>
      <c r="H335" s="365">
        <f t="shared" si="141"/>
        <v>-1.0731175824173576</v>
      </c>
      <c r="I335" s="363">
        <f t="shared" si="142"/>
        <v>37574.789740784268</v>
      </c>
      <c r="J335" s="366">
        <f t="shared" si="143"/>
        <v>1.5707697132061842</v>
      </c>
      <c r="K335" s="374">
        <f t="shared" si="133"/>
        <v>127.51191556392779</v>
      </c>
      <c r="L335" s="375">
        <f t="shared" si="134"/>
        <v>1.5629538420638651</v>
      </c>
      <c r="M335" s="363">
        <f t="shared" si="144"/>
        <v>1.0755444052052896</v>
      </c>
      <c r="N335" s="366">
        <f t="shared" si="145"/>
        <v>0.37703126822938843</v>
      </c>
      <c r="O335" s="367">
        <f t="shared" si="146"/>
        <v>1.0002359283572657</v>
      </c>
      <c r="P335" s="368">
        <f t="shared" si="147"/>
        <v>0.11911857979168368</v>
      </c>
      <c r="Q335" s="369">
        <f t="shared" si="148"/>
        <v>-6.2096585879038537</v>
      </c>
      <c r="R335" s="370">
        <f t="shared" si="149"/>
        <v>-169.44427936449989</v>
      </c>
      <c r="S335" s="372">
        <f t="shared" si="150"/>
        <v>10.555720635500109</v>
      </c>
      <c r="U335" s="345">
        <f t="shared" si="156"/>
        <v>24833</v>
      </c>
      <c r="V335" s="345">
        <f t="shared" si="157"/>
        <v>616677889</v>
      </c>
      <c r="X335" s="371">
        <f t="shared" si="151"/>
        <v>38.077191642196084</v>
      </c>
      <c r="Y335" s="372">
        <f t="shared" si="152"/>
        <v>-22.050116868877744</v>
      </c>
      <c r="AA335" s="371">
        <f t="shared" si="153"/>
        <v>27.754349596459317</v>
      </c>
      <c r="AB335" s="372">
        <f t="shared" si="154"/>
        <v>-147.39416249562214</v>
      </c>
      <c r="AD335">
        <f t="shared" si="158"/>
        <v>0</v>
      </c>
      <c r="AE335">
        <f t="shared" si="135"/>
        <v>0</v>
      </c>
    </row>
    <row r="336" spans="1:31" x14ac:dyDescent="0.3">
      <c r="A336" s="373">
        <v>24976</v>
      </c>
      <c r="B336" s="390">
        <f t="shared" si="155"/>
        <v>24.975999999999999</v>
      </c>
      <c r="C336" s="363">
        <f t="shared" si="136"/>
        <v>185.36819237644022</v>
      </c>
      <c r="D336" s="364">
        <f t="shared" si="137"/>
        <v>1.5654016318493835</v>
      </c>
      <c r="E336" s="364">
        <f t="shared" si="138"/>
        <v>1.0175767242828604</v>
      </c>
      <c r="F336" s="365">
        <f t="shared" si="139"/>
        <v>0.18613477122936531</v>
      </c>
      <c r="G336" s="364">
        <f t="shared" si="140"/>
        <v>2.1040554064668564</v>
      </c>
      <c r="H336" s="365">
        <f t="shared" si="141"/>
        <v>-1.0755224285514504</v>
      </c>
      <c r="I336" s="363">
        <f t="shared" si="142"/>
        <v>37791.162910724968</v>
      </c>
      <c r="J336" s="366">
        <f t="shared" si="143"/>
        <v>1.5707698655821924</v>
      </c>
      <c r="K336" s="374">
        <f t="shared" si="133"/>
        <v>128.24614363432175</v>
      </c>
      <c r="L336" s="375">
        <f t="shared" si="134"/>
        <v>1.5629987423572405</v>
      </c>
      <c r="M336" s="363">
        <f t="shared" si="144"/>
        <v>1.0763859778321645</v>
      </c>
      <c r="N336" s="366">
        <f t="shared" si="145"/>
        <v>0.37900086770716185</v>
      </c>
      <c r="O336" s="367">
        <f t="shared" si="146"/>
        <v>1.0002389272288517</v>
      </c>
      <c r="P336" s="368">
        <f t="shared" si="147"/>
        <v>0.11980745054428166</v>
      </c>
      <c r="Q336" s="369">
        <f t="shared" si="148"/>
        <v>-6.2260972132053496</v>
      </c>
      <c r="R336" s="370">
        <f t="shared" si="149"/>
        <v>-169.67393004201722</v>
      </c>
      <c r="S336" s="372">
        <f t="shared" si="150"/>
        <v>10.326069957982781</v>
      </c>
      <c r="U336" s="345">
        <f t="shared" si="156"/>
        <v>24976</v>
      </c>
      <c r="V336" s="345">
        <f t="shared" si="157"/>
        <v>623800576</v>
      </c>
      <c r="X336" s="371">
        <f t="shared" si="151"/>
        <v>38.070394871349272</v>
      </c>
      <c r="Y336" s="372">
        <f t="shared" si="152"/>
        <v>-22.160402739604223</v>
      </c>
      <c r="AA336" s="371">
        <f t="shared" si="153"/>
        <v>27.744707742004625</v>
      </c>
      <c r="AB336" s="372">
        <f t="shared" si="154"/>
        <v>-147.513527302413</v>
      </c>
      <c r="AD336">
        <f t="shared" si="158"/>
        <v>0</v>
      </c>
      <c r="AE336">
        <f t="shared" si="135"/>
        <v>0</v>
      </c>
    </row>
    <row r="337" spans="1:31" x14ac:dyDescent="0.3">
      <c r="A337" s="373">
        <v>25119</v>
      </c>
      <c r="B337" s="390">
        <f t="shared" si="155"/>
        <v>25.119</v>
      </c>
      <c r="C337" s="363">
        <f t="shared" si="136"/>
        <v>186.42948650952764</v>
      </c>
      <c r="D337" s="364">
        <f t="shared" si="137"/>
        <v>1.5654323427271053</v>
      </c>
      <c r="E337" s="364">
        <f t="shared" si="138"/>
        <v>1.0177768084808954</v>
      </c>
      <c r="F337" s="365">
        <f t="shared" si="139"/>
        <v>0.18717583543519253</v>
      </c>
      <c r="G337" s="364">
        <f t="shared" si="140"/>
        <v>2.1133870001373816</v>
      </c>
      <c r="H337" s="365">
        <f t="shared" si="141"/>
        <v>-1.0779060513249288</v>
      </c>
      <c r="I337" s="363">
        <f t="shared" si="142"/>
        <v>38007.536080666527</v>
      </c>
      <c r="J337" s="366">
        <f t="shared" si="143"/>
        <v>1.5707700162232776</v>
      </c>
      <c r="K337" s="374">
        <f t="shared" si="133"/>
        <v>128.98037196032098</v>
      </c>
      <c r="L337" s="375">
        <f t="shared" si="134"/>
        <v>1.5630431314556019</v>
      </c>
      <c r="M337" s="363">
        <f t="shared" si="144"/>
        <v>1.0772317195731775</v>
      </c>
      <c r="N337" s="366">
        <f t="shared" si="145"/>
        <v>0.38096738211259212</v>
      </c>
      <c r="O337" s="367">
        <f t="shared" si="146"/>
        <v>1.0002419496265051</v>
      </c>
      <c r="P337" s="368">
        <f t="shared" si="147"/>
        <v>0.12049637144989783</v>
      </c>
      <c r="Q337" s="369">
        <f t="shared" si="148"/>
        <v>-6.2423913381308394</v>
      </c>
      <c r="R337" s="370">
        <f t="shared" si="149"/>
        <v>-169.90222314483111</v>
      </c>
      <c r="S337" s="372">
        <f t="shared" si="150"/>
        <v>10.097776855168888</v>
      </c>
      <c r="U337" s="345">
        <f t="shared" si="156"/>
        <v>25119</v>
      </c>
      <c r="V337" s="345">
        <f t="shared" si="157"/>
        <v>630964161</v>
      </c>
      <c r="X337" s="371">
        <f t="shared" si="151"/>
        <v>38.063569845745022</v>
      </c>
      <c r="Y337" s="372">
        <f t="shared" si="152"/>
        <v>-22.270541038618799</v>
      </c>
      <c r="AA337" s="371">
        <f t="shared" si="153"/>
        <v>27.735238642683381</v>
      </c>
      <c r="AB337" s="372">
        <f t="shared" si="154"/>
        <v>-147.63168210621228</v>
      </c>
      <c r="AD337">
        <f t="shared" si="158"/>
        <v>0</v>
      </c>
      <c r="AE337">
        <f t="shared" si="135"/>
        <v>0</v>
      </c>
    </row>
    <row r="338" spans="1:31" x14ac:dyDescent="0.3">
      <c r="A338" s="373">
        <v>25265.25</v>
      </c>
      <c r="B338" s="390">
        <f t="shared" si="155"/>
        <v>25.265250000000002</v>
      </c>
      <c r="C338" s="363">
        <f t="shared" si="136"/>
        <v>187.51490114361164</v>
      </c>
      <c r="D338" s="364">
        <f t="shared" si="137"/>
        <v>1.5654633920043857</v>
      </c>
      <c r="E338" s="364">
        <f t="shared" si="138"/>
        <v>1.0179825805640956</v>
      </c>
      <c r="F338" s="365">
        <f t="shared" si="139"/>
        <v>0.18824013570805734</v>
      </c>
      <c r="G338" s="364">
        <f t="shared" si="140"/>
        <v>2.1229429850031472</v>
      </c>
      <c r="H338" s="365">
        <f t="shared" si="141"/>
        <v>-1.0803221586164364</v>
      </c>
      <c r="I338" s="363">
        <f t="shared" si="142"/>
        <v>38228.8268226531</v>
      </c>
      <c r="J338" s="366">
        <f t="shared" si="143"/>
        <v>1.5707701685242086</v>
      </c>
      <c r="K338" s="374">
        <f t="shared" si="133"/>
        <v>129.73128755359147</v>
      </c>
      <c r="L338" s="375">
        <f t="shared" si="134"/>
        <v>1.5630880096884239</v>
      </c>
      <c r="M338" s="363">
        <f t="shared" si="144"/>
        <v>1.0781009848112852</v>
      </c>
      <c r="N338" s="366">
        <f t="shared" si="145"/>
        <v>0.38297539072016373</v>
      </c>
      <c r="O338" s="367">
        <f t="shared" si="146"/>
        <v>1.0002450651620236</v>
      </c>
      <c r="P338" s="368">
        <f t="shared" si="147"/>
        <v>0.1212010018140655</v>
      </c>
      <c r="Q338" s="369">
        <f t="shared" si="148"/>
        <v>-6.2589093426065574</v>
      </c>
      <c r="R338" s="370">
        <f t="shared" si="149"/>
        <v>-170.134315131817</v>
      </c>
      <c r="S338" s="372">
        <f t="shared" si="150"/>
        <v>9.8656848681829956</v>
      </c>
      <c r="U338" s="345">
        <f t="shared" si="156"/>
        <v>25265.25</v>
      </c>
      <c r="V338" s="345">
        <f t="shared" si="157"/>
        <v>638332857.5625</v>
      </c>
      <c r="X338" s="371">
        <f t="shared" si="151"/>
        <v>38.056560635612854</v>
      </c>
      <c r="Y338" s="372">
        <f t="shared" si="152"/>
        <v>-22.383028850054984</v>
      </c>
      <c r="AA338" s="371">
        <f t="shared" si="153"/>
        <v>27.725729848339839</v>
      </c>
      <c r="AB338" s="372">
        <f t="shared" si="154"/>
        <v>-147.75128628176202</v>
      </c>
      <c r="AD338">
        <f t="shared" si="158"/>
        <v>0</v>
      </c>
      <c r="AE338">
        <f t="shared" si="135"/>
        <v>0</v>
      </c>
    </row>
    <row r="339" spans="1:31" x14ac:dyDescent="0.3">
      <c r="A339" s="373">
        <v>25411.5</v>
      </c>
      <c r="B339" s="390">
        <f t="shared" si="155"/>
        <v>25.4115</v>
      </c>
      <c r="C339" s="363">
        <f t="shared" si="136"/>
        <v>188.60031595639006</v>
      </c>
      <c r="D339" s="364">
        <f t="shared" si="137"/>
        <v>1.5654940838979305</v>
      </c>
      <c r="E339" s="364">
        <f t="shared" si="138"/>
        <v>1.0181895052850287</v>
      </c>
      <c r="F339" s="365">
        <f t="shared" si="139"/>
        <v>0.1893040045941472</v>
      </c>
      <c r="G339" s="364">
        <f t="shared" si="140"/>
        <v>2.1325112515976885</v>
      </c>
      <c r="H339" s="365">
        <f t="shared" si="141"/>
        <v>-1.0827165983401557</v>
      </c>
      <c r="I339" s="363">
        <f t="shared" si="142"/>
        <v>38450.117564640546</v>
      </c>
      <c r="J339" s="366">
        <f t="shared" si="143"/>
        <v>1.5707703190720741</v>
      </c>
      <c r="K339" s="374">
        <f t="shared" si="133"/>
        <v>130.48220340514064</v>
      </c>
      <c r="L339" s="375">
        <f t="shared" si="134"/>
        <v>1.5631323713792231</v>
      </c>
      <c r="M339" s="363">
        <f t="shared" si="144"/>
        <v>1.0789745900443646</v>
      </c>
      <c r="N339" s="366">
        <f t="shared" si="145"/>
        <v>0.38498015578184225</v>
      </c>
      <c r="O339" s="367">
        <f t="shared" si="146"/>
        <v>1.0002482055348658</v>
      </c>
      <c r="P339" s="368">
        <f t="shared" si="147"/>
        <v>0.1219056852243907</v>
      </c>
      <c r="Q339" s="369">
        <f t="shared" si="148"/>
        <v>-6.2752822669199402</v>
      </c>
      <c r="R339" s="370">
        <f t="shared" si="149"/>
        <v>-170.36501659174175</v>
      </c>
      <c r="S339" s="372">
        <f t="shared" si="150"/>
        <v>9.6349834082582504</v>
      </c>
      <c r="U339" s="345">
        <f t="shared" si="156"/>
        <v>25411.5</v>
      </c>
      <c r="V339" s="345">
        <f t="shared" si="157"/>
        <v>645744332.25</v>
      </c>
      <c r="X339" s="371">
        <f t="shared" si="151"/>
        <v>38.049522186521202</v>
      </c>
      <c r="Y339" s="372">
        <f t="shared" si="152"/>
        <v>-22.495360315235256</v>
      </c>
      <c r="AA339" s="371">
        <f t="shared" si="153"/>
        <v>27.716395373118111</v>
      </c>
      <c r="AB339" s="372">
        <f t="shared" si="154"/>
        <v>-147.86965627650653</v>
      </c>
      <c r="AD339">
        <f t="shared" si="158"/>
        <v>0</v>
      </c>
      <c r="AE339">
        <f t="shared" si="135"/>
        <v>0</v>
      </c>
    </row>
    <row r="340" spans="1:31" x14ac:dyDescent="0.3">
      <c r="A340" s="373">
        <v>25557.75</v>
      </c>
      <c r="B340" s="390">
        <f t="shared" si="155"/>
        <v>25.557749999999999</v>
      </c>
      <c r="C340" s="363">
        <f t="shared" si="136"/>
        <v>189.68573094479532</v>
      </c>
      <c r="D340" s="364">
        <f t="shared" si="137"/>
        <v>1.5655244245427185</v>
      </c>
      <c r="E340" s="364">
        <f t="shared" si="138"/>
        <v>1.0183975819410935</v>
      </c>
      <c r="F340" s="365">
        <f t="shared" si="139"/>
        <v>0.19036743994894539</v>
      </c>
      <c r="G340" s="364">
        <f t="shared" si="140"/>
        <v>2.1420916353414201</v>
      </c>
      <c r="H340" s="365">
        <f t="shared" si="141"/>
        <v>-1.0850896335755129</v>
      </c>
      <c r="I340" s="363">
        <f t="shared" si="142"/>
        <v>38671.408306628859</v>
      </c>
      <c r="J340" s="366">
        <f t="shared" si="143"/>
        <v>1.5707704678969692</v>
      </c>
      <c r="K340" s="374">
        <f t="shared" si="133"/>
        <v>131.23311951053483</v>
      </c>
      <c r="L340" s="375">
        <f t="shared" si="134"/>
        <v>1.5631762253947858</v>
      </c>
      <c r="M340" s="363">
        <f t="shared" si="144"/>
        <v>1.079852524739193</v>
      </c>
      <c r="N340" s="366">
        <f t="shared" si="145"/>
        <v>0.38698166907472459</v>
      </c>
      <c r="O340" s="367">
        <f t="shared" si="146"/>
        <v>1.0002513708621936</v>
      </c>
      <c r="P340" s="368">
        <f t="shared" si="147"/>
        <v>0.1226104219776851</v>
      </c>
      <c r="Q340" s="369">
        <f t="shared" si="148"/>
        <v>-6.2915130686037042</v>
      </c>
      <c r="R340" s="370">
        <f t="shared" si="149"/>
        <v>-170.59434211188972</v>
      </c>
      <c r="S340" s="372">
        <f t="shared" si="150"/>
        <v>9.4056578881102837</v>
      </c>
      <c r="U340" s="345">
        <f t="shared" si="156"/>
        <v>25557.75</v>
      </c>
      <c r="V340" s="345">
        <f t="shared" si="157"/>
        <v>653198585.0625</v>
      </c>
      <c r="X340" s="371">
        <f t="shared" si="151"/>
        <v>38.042454657710593</v>
      </c>
      <c r="Y340" s="372">
        <f t="shared" si="152"/>
        <v>-22.607534456716852</v>
      </c>
      <c r="AA340" s="371">
        <f t="shared" si="153"/>
        <v>27.707232100244955</v>
      </c>
      <c r="AB340" s="372">
        <f t="shared" si="154"/>
        <v>-147.98680765517284</v>
      </c>
      <c r="AD340">
        <f t="shared" si="158"/>
        <v>0</v>
      </c>
      <c r="AE340">
        <f t="shared" si="135"/>
        <v>0</v>
      </c>
    </row>
    <row r="341" spans="1:31" x14ac:dyDescent="0.3">
      <c r="A341" s="373">
        <v>25704</v>
      </c>
      <c r="B341" s="390">
        <f t="shared" si="155"/>
        <v>25.704000000000001</v>
      </c>
      <c r="C341" s="363">
        <f t="shared" si="136"/>
        <v>190.77114610582967</v>
      </c>
      <c r="D341" s="364">
        <f t="shared" si="137"/>
        <v>1.5655544199341083</v>
      </c>
      <c r="E341" s="364">
        <f t="shared" si="138"/>
        <v>1.0186068098263523</v>
      </c>
      <c r="F341" s="365">
        <f t="shared" si="139"/>
        <v>0.19143043963360484</v>
      </c>
      <c r="G341" s="364">
        <f t="shared" si="140"/>
        <v>2.1516839743793446</v>
      </c>
      <c r="H341" s="365">
        <f t="shared" si="141"/>
        <v>-1.087441523683832</v>
      </c>
      <c r="I341" s="363">
        <f t="shared" si="142"/>
        <v>38892.699048618015</v>
      </c>
      <c r="J341" s="366">
        <f t="shared" si="143"/>
        <v>1.5707706150283036</v>
      </c>
      <c r="K341" s="374">
        <f t="shared" si="133"/>
        <v>131.98403586544146</v>
      </c>
      <c r="L341" s="375">
        <f t="shared" si="134"/>
        <v>1.5632195804001185</v>
      </c>
      <c r="M341" s="363">
        <f t="shared" si="144"/>
        <v>1.0807347783446581</v>
      </c>
      <c r="N341" s="366">
        <f t="shared" si="145"/>
        <v>0.3889799225067746</v>
      </c>
      <c r="O341" s="367">
        <f t="shared" si="146"/>
        <v>1.0002545612618436</v>
      </c>
      <c r="P341" s="368">
        <f t="shared" si="147"/>
        <v>0.12331521237058089</v>
      </c>
      <c r="Q341" s="369">
        <f t="shared" si="148"/>
        <v>-6.3076046350529342</v>
      </c>
      <c r="R341" s="370">
        <f t="shared" si="149"/>
        <v>-170.82230607719865</v>
      </c>
      <c r="S341" s="372">
        <f t="shared" si="150"/>
        <v>9.1776939228013532</v>
      </c>
      <c r="U341" s="345">
        <f t="shared" si="156"/>
        <v>25704</v>
      </c>
      <c r="V341" s="345">
        <f t="shared" si="157"/>
        <v>660695616</v>
      </c>
      <c r="X341" s="371">
        <f t="shared" si="151"/>
        <v>38.035358208490251</v>
      </c>
      <c r="Y341" s="372">
        <f t="shared" si="152"/>
        <v>-22.719550316077022</v>
      </c>
      <c r="AA341" s="371">
        <f t="shared" si="153"/>
        <v>27.698236983016066</v>
      </c>
      <c r="AB341" s="372">
        <f t="shared" si="154"/>
        <v>-148.10275576112164</v>
      </c>
      <c r="AD341">
        <f t="shared" si="158"/>
        <v>0</v>
      </c>
      <c r="AE341">
        <f t="shared" si="135"/>
        <v>0</v>
      </c>
    </row>
    <row r="342" spans="1:31" x14ac:dyDescent="0.3">
      <c r="A342" s="373">
        <v>25853.75</v>
      </c>
      <c r="B342" s="390">
        <f t="shared" si="155"/>
        <v>25.853750000000002</v>
      </c>
      <c r="C342" s="363">
        <f t="shared" si="136"/>
        <v>191.88253719012332</v>
      </c>
      <c r="D342" s="364">
        <f t="shared" si="137"/>
        <v>1.5655847815372677</v>
      </c>
      <c r="E342" s="364">
        <f t="shared" si="138"/>
        <v>1.0188222370189064</v>
      </c>
      <c r="F342" s="365">
        <f t="shared" si="139"/>
        <v>0.19251842496467933</v>
      </c>
      <c r="G342" s="364">
        <f t="shared" si="140"/>
        <v>2.1615180953089768</v>
      </c>
      <c r="H342" s="365">
        <f t="shared" si="141"/>
        <v>-1.0898280551422044</v>
      </c>
      <c r="I342" s="363">
        <f t="shared" si="142"/>
        <v>39119.285637424866</v>
      </c>
      <c r="J342" s="366">
        <f t="shared" si="143"/>
        <v>1.5707707639559076</v>
      </c>
      <c r="K342" s="374">
        <f t="shared" si="133"/>
        <v>132.75292312227614</v>
      </c>
      <c r="L342" s="375">
        <f t="shared" si="134"/>
        <v>1.5632634647389956</v>
      </c>
      <c r="M342" s="363">
        <f t="shared" si="144"/>
        <v>1.0816426098584648</v>
      </c>
      <c r="N342" s="366">
        <f t="shared" si="145"/>
        <v>0.39102261125886317</v>
      </c>
      <c r="O342" s="367">
        <f t="shared" si="146"/>
        <v>1.0002578541162546</v>
      </c>
      <c r="P342" s="368">
        <f t="shared" si="147"/>
        <v>0.12403692543222357</v>
      </c>
      <c r="Q342" s="369">
        <f t="shared" si="148"/>
        <v>-6.3239399695117173</v>
      </c>
      <c r="R342" s="370">
        <f t="shared" si="149"/>
        <v>-171.05432958410515</v>
      </c>
      <c r="S342" s="372">
        <f t="shared" si="150"/>
        <v>8.9456704158948526</v>
      </c>
      <c r="U342" s="345">
        <f t="shared" si="156"/>
        <v>25853.75</v>
      </c>
      <c r="V342" s="345">
        <f t="shared" si="157"/>
        <v>668416389.0625</v>
      </c>
      <c r="X342" s="371">
        <f t="shared" si="151"/>
        <v>38.028062129307699</v>
      </c>
      <c r="Y342" s="372">
        <f t="shared" si="152"/>
        <v>-22.834081906080204</v>
      </c>
      <c r="AA342" s="371">
        <f t="shared" si="153"/>
        <v>27.689197727739831</v>
      </c>
      <c r="AB342" s="372">
        <f t="shared" si="154"/>
        <v>-148.220247678025</v>
      </c>
      <c r="AD342">
        <f t="shared" si="158"/>
        <v>0</v>
      </c>
      <c r="AE342">
        <f t="shared" si="135"/>
        <v>0</v>
      </c>
    </row>
    <row r="343" spans="1:31" x14ac:dyDescent="0.3">
      <c r="A343" s="373">
        <v>26003.5</v>
      </c>
      <c r="B343" s="390">
        <f t="shared" si="155"/>
        <v>26.003499999999999</v>
      </c>
      <c r="C343" s="363">
        <f t="shared" si="136"/>
        <v>192.99392844926226</v>
      </c>
      <c r="D343" s="364">
        <f t="shared" si="137"/>
        <v>1.5656147934546312</v>
      </c>
      <c r="E343" s="364">
        <f t="shared" si="138"/>
        <v>1.0190388696929191</v>
      </c>
      <c r="F343" s="365">
        <f t="shared" si="139"/>
        <v>0.1936059490032592</v>
      </c>
      <c r="G343" s="364">
        <f t="shared" si="140"/>
        <v>2.1713644156811354</v>
      </c>
      <c r="H343" s="365">
        <f t="shared" si="141"/>
        <v>-1.092192955924536</v>
      </c>
      <c r="I343" s="363">
        <f t="shared" si="142"/>
        <v>39345.872226232583</v>
      </c>
      <c r="J343" s="366">
        <f t="shared" si="143"/>
        <v>1.5707709111682113</v>
      </c>
      <c r="K343" s="374">
        <f t="shared" ref="K343:K406" si="159">SQRT(1+(A343/Zero2)^2)</f>
        <v>133.52181063182661</v>
      </c>
      <c r="L343" s="375">
        <f t="shared" ref="L343:L406" si="160">ATAN(A343/Zero2)</f>
        <v>1.5633068436606028</v>
      </c>
      <c r="M343" s="363">
        <f t="shared" si="144"/>
        <v>1.0825549470291289</v>
      </c>
      <c r="N343" s="366">
        <f t="shared" si="145"/>
        <v>0.39306186550329264</v>
      </c>
      <c r="O343" s="367">
        <f t="shared" si="146"/>
        <v>1.0002611735096001</v>
      </c>
      <c r="P343" s="368">
        <f t="shared" si="147"/>
        <v>0.12475869536041485</v>
      </c>
      <c r="Q343" s="369">
        <f t="shared" si="148"/>
        <v>-6.3401352342439292</v>
      </c>
      <c r="R343" s="370">
        <f t="shared" si="149"/>
        <v>-171.28495547457442</v>
      </c>
      <c r="S343" s="372">
        <f t="shared" si="150"/>
        <v>8.7150445254255828</v>
      </c>
      <c r="U343" s="345">
        <f t="shared" si="156"/>
        <v>26003.5</v>
      </c>
      <c r="V343" s="345">
        <f t="shared" si="157"/>
        <v>676182012.25</v>
      </c>
      <c r="X343" s="371">
        <f t="shared" si="151"/>
        <v>38.020736067151823</v>
      </c>
      <c r="Y343" s="372">
        <f t="shared" si="152"/>
        <v>-22.948445573286598</v>
      </c>
      <c r="AA343" s="371">
        <f t="shared" si="153"/>
        <v>27.680328525163493</v>
      </c>
      <c r="AB343" s="372">
        <f t="shared" si="154"/>
        <v>-148.33650990128783</v>
      </c>
      <c r="AD343">
        <f t="shared" si="158"/>
        <v>0</v>
      </c>
      <c r="AE343">
        <f t="shared" si="135"/>
        <v>0</v>
      </c>
    </row>
    <row r="344" spans="1:31" x14ac:dyDescent="0.3">
      <c r="A344" s="373">
        <v>26153.25</v>
      </c>
      <c r="B344" s="390">
        <f t="shared" si="155"/>
        <v>26.15325</v>
      </c>
      <c r="C344" s="363">
        <f t="shared" si="136"/>
        <v>194.10531988024312</v>
      </c>
      <c r="D344" s="364">
        <f t="shared" si="137"/>
        <v>1.5656444616927465</v>
      </c>
      <c r="E344" s="364">
        <f t="shared" si="138"/>
        <v>1.0192567070797514</v>
      </c>
      <c r="F344" s="365">
        <f t="shared" si="139"/>
        <v>0.1946930094718492</v>
      </c>
      <c r="G344" s="364">
        <f t="shared" si="140"/>
        <v>2.1812227702862645</v>
      </c>
      <c r="H344" s="365">
        <f t="shared" si="141"/>
        <v>-1.0945364926868306</v>
      </c>
      <c r="I344" s="363">
        <f t="shared" si="142"/>
        <v>39572.458815041129</v>
      </c>
      <c r="J344" s="366">
        <f t="shared" si="143"/>
        <v>1.5707710566946791</v>
      </c>
      <c r="K344" s="374">
        <f t="shared" si="159"/>
        <v>134.29069838975209</v>
      </c>
      <c r="L344" s="375">
        <f t="shared" si="160"/>
        <v>1.5633497258461468</v>
      </c>
      <c r="M344" s="363">
        <f t="shared" si="144"/>
        <v>1.0834717784746883</v>
      </c>
      <c r="N344" s="366">
        <f t="shared" si="145"/>
        <v>0.39509767697690329</v>
      </c>
      <c r="O344" s="367">
        <f t="shared" si="146"/>
        <v>1.0002645195705777</v>
      </c>
      <c r="P344" s="368">
        <f t="shared" si="147"/>
        <v>0.12548052247300517</v>
      </c>
      <c r="Q344" s="369">
        <f t="shared" si="148"/>
        <v>-6.3561933122281467</v>
      </c>
      <c r="R344" s="370">
        <f t="shared" si="149"/>
        <v>-171.51419855056969</v>
      </c>
      <c r="S344" s="372">
        <f t="shared" si="150"/>
        <v>8.485801449430312</v>
      </c>
      <c r="U344" s="345">
        <f t="shared" si="156"/>
        <v>26153.25</v>
      </c>
      <c r="V344" s="345">
        <f t="shared" si="157"/>
        <v>683992485.5625</v>
      </c>
      <c r="X344" s="371">
        <f t="shared" si="151"/>
        <v>38.013380193201833</v>
      </c>
      <c r="Y344" s="372">
        <f t="shared" si="152"/>
        <v>-23.062640348543717</v>
      </c>
      <c r="AA344" s="371">
        <f t="shared" si="153"/>
        <v>27.671626321129274</v>
      </c>
      <c r="AB344" s="372">
        <f t="shared" si="154"/>
        <v>-148.45155820202592</v>
      </c>
      <c r="AD344">
        <f t="shared" si="158"/>
        <v>0</v>
      </c>
      <c r="AE344">
        <f t="shared" si="135"/>
        <v>0</v>
      </c>
    </row>
    <row r="345" spans="1:31" x14ac:dyDescent="0.3">
      <c r="A345" s="373">
        <v>26303</v>
      </c>
      <c r="B345" s="390">
        <f t="shared" si="155"/>
        <v>26.303000000000001</v>
      </c>
      <c r="C345" s="363">
        <f t="shared" si="136"/>
        <v>195.21671148013098</v>
      </c>
      <c r="D345" s="364">
        <f t="shared" si="137"/>
        <v>1.5656737921213795</v>
      </c>
      <c r="E345" s="364">
        <f t="shared" si="138"/>
        <v>1.0194757484071491</v>
      </c>
      <c r="F345" s="365">
        <f t="shared" si="139"/>
        <v>0.19577960409927769</v>
      </c>
      <c r="G345" s="364">
        <f t="shared" si="140"/>
        <v>2.1910929966879937</v>
      </c>
      <c r="H345" s="365">
        <f t="shared" si="141"/>
        <v>-1.0968589282277577</v>
      </c>
      <c r="I345" s="363">
        <f t="shared" si="142"/>
        <v>39799.045403850512</v>
      </c>
      <c r="J345" s="366">
        <f t="shared" si="143"/>
        <v>1.570771200564105</v>
      </c>
      <c r="K345" s="374">
        <f t="shared" si="159"/>
        <v>135.0595863918106</v>
      </c>
      <c r="L345" s="375">
        <f t="shared" si="160"/>
        <v>1.5633921197791554</v>
      </c>
      <c r="M345" s="363">
        <f t="shared" si="144"/>
        <v>1.0843930927956997</v>
      </c>
      <c r="N345" s="366">
        <f t="shared" si="145"/>
        <v>0.3971300375585603</v>
      </c>
      <c r="O345" s="367">
        <f t="shared" si="146"/>
        <v>1.0002678924286263</v>
      </c>
      <c r="P345" s="368">
        <f t="shared" si="147"/>
        <v>0.12620240708764272</v>
      </c>
      <c r="Q345" s="369">
        <f t="shared" si="148"/>
        <v>-6.3721170171732844</v>
      </c>
      <c r="R345" s="370">
        <f t="shared" si="149"/>
        <v>-171.74207340425951</v>
      </c>
      <c r="S345" s="372">
        <f t="shared" si="150"/>
        <v>8.2579265957404857</v>
      </c>
      <c r="U345" s="345">
        <f t="shared" si="156"/>
        <v>26303</v>
      </c>
      <c r="V345" s="345">
        <f t="shared" si="157"/>
        <v>691847809</v>
      </c>
      <c r="X345" s="371">
        <f t="shared" si="151"/>
        <v>38.005994678667278</v>
      </c>
      <c r="Y345" s="372">
        <f t="shared" si="152"/>
        <v>-23.176665282124265</v>
      </c>
      <c r="AA345" s="371">
        <f t="shared" si="153"/>
        <v>27.663088130718691</v>
      </c>
      <c r="AB345" s="372">
        <f t="shared" si="154"/>
        <v>-148.56540812213524</v>
      </c>
      <c r="AD345">
        <f t="shared" si="158"/>
        <v>0</v>
      </c>
      <c r="AE345">
        <f t="shared" si="135"/>
        <v>0</v>
      </c>
    </row>
    <row r="346" spans="1:31" x14ac:dyDescent="0.3">
      <c r="A346" s="373">
        <v>26456</v>
      </c>
      <c r="B346" s="390">
        <f t="shared" si="155"/>
        <v>26.456</v>
      </c>
      <c r="C346" s="363">
        <f t="shared" si="136"/>
        <v>196.35222360339807</v>
      </c>
      <c r="D346" s="364">
        <f t="shared" si="137"/>
        <v>1.5657034161844756</v>
      </c>
      <c r="E346" s="364">
        <f t="shared" si="138"/>
        <v>1.0197007861633827</v>
      </c>
      <c r="F346" s="365">
        <f t="shared" si="139"/>
        <v>0.19688929744198855</v>
      </c>
      <c r="G346" s="364">
        <f t="shared" si="140"/>
        <v>2.2011895299532318</v>
      </c>
      <c r="H346" s="365">
        <f t="shared" si="141"/>
        <v>-1.0992102434901574</v>
      </c>
      <c r="I346" s="363">
        <f t="shared" si="142"/>
        <v>40030.549564705019</v>
      </c>
      <c r="J346" s="366">
        <f t="shared" si="143"/>
        <v>1.5707713458738006</v>
      </c>
      <c r="K346" s="374">
        <f t="shared" si="159"/>
        <v>135.84516169349251</v>
      </c>
      <c r="L346" s="375">
        <f t="shared" si="160"/>
        <v>1.5634349381428132</v>
      </c>
      <c r="M346" s="363">
        <f t="shared" si="144"/>
        <v>1.0853390202439941</v>
      </c>
      <c r="N346" s="366">
        <f t="shared" si="145"/>
        <v>0.39920293378685456</v>
      </c>
      <c r="O346" s="367">
        <f t="shared" si="146"/>
        <v>1.0002713662984324</v>
      </c>
      <c r="P346" s="368">
        <f t="shared" si="147"/>
        <v>0.12694001836492244</v>
      </c>
      <c r="Q346" s="369">
        <f t="shared" si="148"/>
        <v>-6.3882503890805857</v>
      </c>
      <c r="R346" s="370">
        <f t="shared" si="149"/>
        <v>-171.97349566652875</v>
      </c>
      <c r="S346" s="372">
        <f t="shared" si="150"/>
        <v>8.0265043334712516</v>
      </c>
      <c r="U346" s="345">
        <f t="shared" si="156"/>
        <v>26456</v>
      </c>
      <c r="V346" s="345">
        <f t="shared" si="157"/>
        <v>699919936</v>
      </c>
      <c r="X346" s="371">
        <f t="shared" si="151"/>
        <v>37.998418443137254</v>
      </c>
      <c r="Y346" s="372">
        <f t="shared" si="152"/>
        <v>-23.292988501616065</v>
      </c>
      <c r="AA346" s="371">
        <f t="shared" si="153"/>
        <v>27.654530994341407</v>
      </c>
      <c r="AB346" s="372">
        <f t="shared" si="154"/>
        <v>-148.68050716491265</v>
      </c>
      <c r="AD346">
        <f t="shared" si="158"/>
        <v>0</v>
      </c>
      <c r="AE346">
        <f t="shared" ref="AE346:AE409" si="161">IF(AD346&gt;0,S346,0)</f>
        <v>0</v>
      </c>
    </row>
    <row r="347" spans="1:31" x14ac:dyDescent="0.3">
      <c r="A347" s="373">
        <v>26609</v>
      </c>
      <c r="B347" s="390">
        <f t="shared" si="155"/>
        <v>26.609000000000002</v>
      </c>
      <c r="C347" s="363">
        <f t="shared" si="136"/>
        <v>197.48773589699937</v>
      </c>
      <c r="D347" s="364">
        <f t="shared" si="137"/>
        <v>1.5657326995835283</v>
      </c>
      <c r="E347" s="364">
        <f t="shared" si="138"/>
        <v>1.019927079043849</v>
      </c>
      <c r="F347" s="365">
        <f t="shared" si="139"/>
        <v>0.19799849973115388</v>
      </c>
      <c r="G347" s="364">
        <f t="shared" si="140"/>
        <v>2.2112981217288601</v>
      </c>
      <c r="H347" s="365">
        <f t="shared" si="141"/>
        <v>-1.1015400742205632</v>
      </c>
      <c r="I347" s="363">
        <f t="shared" si="142"/>
        <v>40262.053725560349</v>
      </c>
      <c r="J347" s="366">
        <f t="shared" si="143"/>
        <v>1.570771489512454</v>
      </c>
      <c r="K347" s="374">
        <f t="shared" si="159"/>
        <v>136.63073724137064</v>
      </c>
      <c r="L347" s="375">
        <f t="shared" si="160"/>
        <v>1.5634772641274512</v>
      </c>
      <c r="M347" s="363">
        <f t="shared" si="144"/>
        <v>1.08628960315052</v>
      </c>
      <c r="N347" s="366">
        <f t="shared" si="145"/>
        <v>0.40127221102186555</v>
      </c>
      <c r="O347" s="367">
        <f t="shared" si="146"/>
        <v>1.0002748684166096</v>
      </c>
      <c r="P347" s="368">
        <f t="shared" si="147"/>
        <v>0.12767769033696577</v>
      </c>
      <c r="Q347" s="369">
        <f t="shared" si="148"/>
        <v>-6.4042492168589984</v>
      </c>
      <c r="R347" s="370">
        <f t="shared" si="149"/>
        <v>-172.20351981248069</v>
      </c>
      <c r="S347" s="372">
        <f t="shared" si="150"/>
        <v>7.7964801875193075</v>
      </c>
      <c r="U347" s="345">
        <f t="shared" si="156"/>
        <v>26609</v>
      </c>
      <c r="V347" s="345">
        <f t="shared" si="157"/>
        <v>708038881</v>
      </c>
      <c r="X347" s="371">
        <f t="shared" si="151"/>
        <v>37.990811627863664</v>
      </c>
      <c r="Y347" s="372">
        <f t="shared" si="152"/>
        <v>-23.409132483562534</v>
      </c>
      <c r="AA347" s="371">
        <f t="shared" si="153"/>
        <v>27.646138981836586</v>
      </c>
      <c r="AB347" s="372">
        <f t="shared" si="154"/>
        <v>-148.79438732891822</v>
      </c>
      <c r="AD347">
        <f t="shared" si="158"/>
        <v>0</v>
      </c>
      <c r="AE347">
        <f t="shared" si="161"/>
        <v>0</v>
      </c>
    </row>
    <row r="348" spans="1:31" x14ac:dyDescent="0.3">
      <c r="A348" s="373">
        <v>26762</v>
      </c>
      <c r="B348" s="390">
        <f t="shared" si="155"/>
        <v>26.762</v>
      </c>
      <c r="C348" s="363">
        <f t="shared" si="136"/>
        <v>198.62324835801351</v>
      </c>
      <c r="D348" s="364">
        <f t="shared" si="137"/>
        <v>1.5657616481611305</v>
      </c>
      <c r="E348" s="364">
        <f t="shared" si="138"/>
        <v>1.0201546262133057</v>
      </c>
      <c r="F348" s="365">
        <f t="shared" si="139"/>
        <v>0.1991072085650962</v>
      </c>
      <c r="G348" s="364">
        <f t="shared" si="140"/>
        <v>2.2214186073976991</v>
      </c>
      <c r="H348" s="365">
        <f t="shared" si="141"/>
        <v>-1.1038486885938916</v>
      </c>
      <c r="I348" s="363">
        <f t="shared" si="142"/>
        <v>40493.557886416507</v>
      </c>
      <c r="J348" s="366">
        <f t="shared" si="143"/>
        <v>1.5707716315087252</v>
      </c>
      <c r="K348" s="374">
        <f t="shared" si="159"/>
        <v>137.41631303122259</v>
      </c>
      <c r="L348" s="375">
        <f t="shared" si="160"/>
        <v>1.5635191061773515</v>
      </c>
      <c r="M348" s="363">
        <f t="shared" si="144"/>
        <v>1.0872448293044152</v>
      </c>
      <c r="N348" s="366">
        <f t="shared" si="145"/>
        <v>0.40333786105828179</v>
      </c>
      <c r="O348" s="367">
        <f t="shared" si="146"/>
        <v>1.0002783989236048</v>
      </c>
      <c r="P348" s="368">
        <f t="shared" si="147"/>
        <v>0.12841542334189268</v>
      </c>
      <c r="Q348" s="369">
        <f t="shared" si="148"/>
        <v>-6.4201162891263426</v>
      </c>
      <c r="R348" s="370">
        <f t="shared" si="149"/>
        <v>-172.43216074683178</v>
      </c>
      <c r="S348" s="372">
        <f t="shared" si="150"/>
        <v>7.5678392531682164</v>
      </c>
      <c r="U348" s="345">
        <f t="shared" si="156"/>
        <v>26762</v>
      </c>
      <c r="V348" s="345">
        <f t="shared" si="157"/>
        <v>716204644</v>
      </c>
      <c r="X348" s="371">
        <f t="shared" si="151"/>
        <v>37.983174415473357</v>
      </c>
      <c r="Y348" s="372">
        <f t="shared" si="152"/>
        <v>-23.525096275654324</v>
      </c>
      <c r="AA348" s="371">
        <f t="shared" si="153"/>
        <v>27.637909121959549</v>
      </c>
      <c r="AB348" s="372">
        <f t="shared" si="154"/>
        <v>-148.90706447117748</v>
      </c>
      <c r="AD348">
        <f t="shared" si="158"/>
        <v>0</v>
      </c>
      <c r="AE348">
        <f t="shared" si="161"/>
        <v>0</v>
      </c>
    </row>
    <row r="349" spans="1:31" x14ac:dyDescent="0.3">
      <c r="A349" s="373">
        <v>26915</v>
      </c>
      <c r="B349" s="390">
        <f t="shared" si="155"/>
        <v>26.914999999999999</v>
      </c>
      <c r="C349" s="363">
        <f t="shared" si="136"/>
        <v>199.75876098358563</v>
      </c>
      <c r="D349" s="364">
        <f t="shared" si="137"/>
        <v>1.5657902676270297</v>
      </c>
      <c r="E349" s="364">
        <f t="shared" si="138"/>
        <v>1.0203834268326264</v>
      </c>
      <c r="F349" s="365">
        <f t="shared" si="139"/>
        <v>0.20021542154912694</v>
      </c>
      <c r="G349" s="364">
        <f t="shared" si="140"/>
        <v>2.2315508251368992</v>
      </c>
      <c r="H349" s="365">
        <f t="shared" si="141"/>
        <v>-1.1061363508277495</v>
      </c>
      <c r="I349" s="363">
        <f t="shared" si="142"/>
        <v>40725.062047273474</v>
      </c>
      <c r="J349" s="366">
        <f t="shared" si="143"/>
        <v>1.5707717718906231</v>
      </c>
      <c r="K349" s="374">
        <f t="shared" si="159"/>
        <v>138.20188905892203</v>
      </c>
      <c r="L349" s="375">
        <f t="shared" si="160"/>
        <v>1.5635604725448045</v>
      </c>
      <c r="M349" s="363">
        <f t="shared" si="144"/>
        <v>1.0882046864781512</v>
      </c>
      <c r="N349" s="366">
        <f t="shared" si="145"/>
        <v>0.40539987584334664</v>
      </c>
      <c r="O349" s="367">
        <f t="shared" si="146"/>
        <v>1.0002819579606714</v>
      </c>
      <c r="P349" s="368">
        <f t="shared" si="147"/>
        <v>0.12915321771759761</v>
      </c>
      <c r="Q349" s="369">
        <f t="shared" si="148"/>
        <v>-6.4358543267539359</v>
      </c>
      <c r="R349" s="370">
        <f t="shared" si="149"/>
        <v>-172.65943315924002</v>
      </c>
      <c r="S349" s="372">
        <f t="shared" si="150"/>
        <v>7.3405668407599762</v>
      </c>
      <c r="U349" s="345">
        <f t="shared" si="156"/>
        <v>26915</v>
      </c>
      <c r="V349" s="345">
        <f t="shared" si="157"/>
        <v>724417225</v>
      </c>
      <c r="X349" s="371">
        <f t="shared" si="151"/>
        <v>37.975506988578267</v>
      </c>
      <c r="Y349" s="372">
        <f t="shared" si="152"/>
        <v>-23.640878945285834</v>
      </c>
      <c r="AA349" s="371">
        <f t="shared" si="153"/>
        <v>27.629838511227046</v>
      </c>
      <c r="AB349" s="372">
        <f t="shared" si="154"/>
        <v>-149.01855421395416</v>
      </c>
      <c r="AD349">
        <f t="shared" si="158"/>
        <v>0</v>
      </c>
      <c r="AE349">
        <f t="shared" si="161"/>
        <v>0</v>
      </c>
    </row>
    <row r="350" spans="1:31" x14ac:dyDescent="0.3">
      <c r="A350" s="373">
        <v>27071.75</v>
      </c>
      <c r="B350" s="390">
        <f t="shared" si="155"/>
        <v>27.071750000000002</v>
      </c>
      <c r="C350" s="363">
        <f t="shared" si="136"/>
        <v>200.92210496870121</v>
      </c>
      <c r="D350" s="364">
        <f t="shared" si="137"/>
        <v>1.5658192530741555</v>
      </c>
      <c r="E350" s="364">
        <f t="shared" si="138"/>
        <v>1.0206191343379307</v>
      </c>
      <c r="F350" s="365">
        <f t="shared" si="139"/>
        <v>0.20135027989111606</v>
      </c>
      <c r="G350" s="364">
        <f t="shared" si="140"/>
        <v>2.24194338215647</v>
      </c>
      <c r="H350" s="365">
        <f t="shared" si="141"/>
        <v>-1.1084586266329108</v>
      </c>
      <c r="I350" s="363">
        <f t="shared" si="142"/>
        <v>40962.240329720895</v>
      </c>
      <c r="J350" s="366">
        <f t="shared" si="143"/>
        <v>1.5707719140676617</v>
      </c>
      <c r="K350" s="374">
        <f t="shared" si="159"/>
        <v>139.00671964347313</v>
      </c>
      <c r="L350" s="375">
        <f t="shared" si="160"/>
        <v>1.5636023679120143</v>
      </c>
      <c r="M350" s="363">
        <f t="shared" si="144"/>
        <v>1.0891928594306801</v>
      </c>
      <c r="N350" s="366">
        <f t="shared" si="145"/>
        <v>0.40750865195467606</v>
      </c>
      <c r="O350" s="367">
        <f t="shared" si="146"/>
        <v>1.0002856339651147</v>
      </c>
      <c r="P350" s="368">
        <f t="shared" si="147"/>
        <v>0.12990915928731805</v>
      </c>
      <c r="Q350" s="369">
        <f t="shared" si="148"/>
        <v>-6.451847058703251</v>
      </c>
      <c r="R350" s="370">
        <f t="shared" si="149"/>
        <v>-172.89087186349457</v>
      </c>
      <c r="S350" s="372">
        <f t="shared" si="150"/>
        <v>7.1091281365054328</v>
      </c>
      <c r="U350" s="345">
        <f t="shared" si="156"/>
        <v>27071.75</v>
      </c>
      <c r="V350" s="345">
        <f t="shared" si="157"/>
        <v>732879648.0625</v>
      </c>
      <c r="X350" s="371">
        <f t="shared" si="151"/>
        <v>37.967620491045373</v>
      </c>
      <c r="Y350" s="372">
        <f t="shared" si="152"/>
        <v>-23.759310634960325</v>
      </c>
      <c r="AA350" s="371">
        <f t="shared" si="153"/>
        <v>27.621732276810626</v>
      </c>
      <c r="AB350" s="372">
        <f t="shared" si="154"/>
        <v>-149.13156122853425</v>
      </c>
      <c r="AD350">
        <f t="shared" si="158"/>
        <v>0</v>
      </c>
      <c r="AE350">
        <f t="shared" si="161"/>
        <v>0</v>
      </c>
    </row>
    <row r="351" spans="1:31" x14ac:dyDescent="0.3">
      <c r="A351" s="373">
        <v>27228.5</v>
      </c>
      <c r="B351" s="390">
        <f t="shared" si="155"/>
        <v>27.2285</v>
      </c>
      <c r="C351" s="363">
        <f t="shared" si="136"/>
        <v>202.08544912067921</v>
      </c>
      <c r="D351" s="364">
        <f t="shared" si="137"/>
        <v>1.5658479048005887</v>
      </c>
      <c r="E351" s="364">
        <f t="shared" si="138"/>
        <v>1.0208561556941627</v>
      </c>
      <c r="F351" s="365">
        <f t="shared" si="139"/>
        <v>0.20248461271291396</v>
      </c>
      <c r="G351" s="364">
        <f t="shared" si="140"/>
        <v>2.252347918284626</v>
      </c>
      <c r="H351" s="365">
        <f t="shared" si="141"/>
        <v>-1.1107594596265664</v>
      </c>
      <c r="I351" s="363">
        <f t="shared" si="142"/>
        <v>41199.418612169131</v>
      </c>
      <c r="J351" s="366">
        <f t="shared" si="143"/>
        <v>1.5707720546077206</v>
      </c>
      <c r="K351" s="374">
        <f t="shared" si="159"/>
        <v>139.81155046920284</v>
      </c>
      <c r="L351" s="375">
        <f t="shared" si="160"/>
        <v>1.5636437809345562</v>
      </c>
      <c r="M351" s="363">
        <f t="shared" si="144"/>
        <v>1.0901858671616647</v>
      </c>
      <c r="N351" s="366">
        <f t="shared" si="145"/>
        <v>0.40961359580877338</v>
      </c>
      <c r="O351" s="367">
        <f t="shared" si="146"/>
        <v>1.0002893402180584</v>
      </c>
      <c r="P351" s="368">
        <f t="shared" si="147"/>
        <v>0.13066516599033715</v>
      </c>
      <c r="Q351" s="369">
        <f t="shared" si="148"/>
        <v>-6.4677099248078438</v>
      </c>
      <c r="R351" s="370">
        <f t="shared" si="149"/>
        <v>-173.12090467666863</v>
      </c>
      <c r="S351" s="372">
        <f t="shared" si="150"/>
        <v>6.8790953233313701</v>
      </c>
      <c r="U351" s="345">
        <f t="shared" si="156"/>
        <v>27228.5</v>
      </c>
      <c r="V351" s="345">
        <f t="shared" si="157"/>
        <v>741391212.25</v>
      </c>
      <c r="X351" s="371">
        <f t="shared" si="151"/>
        <v>37.959702667699204</v>
      </c>
      <c r="Y351" s="372">
        <f t="shared" si="152"/>
        <v>-23.877550294990918</v>
      </c>
      <c r="AA351" s="371">
        <f t="shared" si="153"/>
        <v>27.613787234052197</v>
      </c>
      <c r="AB351" s="372">
        <f t="shared" si="154"/>
        <v>-149.2433543816777</v>
      </c>
      <c r="AD351">
        <f t="shared" si="158"/>
        <v>0</v>
      </c>
      <c r="AE351">
        <f t="shared" si="161"/>
        <v>0</v>
      </c>
    </row>
    <row r="352" spans="1:31" x14ac:dyDescent="0.3">
      <c r="A352" s="373">
        <v>27385.25</v>
      </c>
      <c r="B352" s="390">
        <f t="shared" si="155"/>
        <v>27.385249999999999</v>
      </c>
      <c r="C352" s="363">
        <f t="shared" si="136"/>
        <v>203.24879343665438</v>
      </c>
      <c r="D352" s="364">
        <f t="shared" si="137"/>
        <v>1.565876228536679</v>
      </c>
      <c r="E352" s="364">
        <f t="shared" si="138"/>
        <v>1.0210944899863899</v>
      </c>
      <c r="F352" s="365">
        <f t="shared" si="139"/>
        <v>0.20361841746238307</v>
      </c>
      <c r="G352" s="364">
        <f t="shared" si="140"/>
        <v>2.2627642682760531</v>
      </c>
      <c r="H352" s="365">
        <f t="shared" si="141"/>
        <v>-1.1130391214068596</v>
      </c>
      <c r="I352" s="363">
        <f t="shared" si="142"/>
        <v>41436.596894618175</v>
      </c>
      <c r="J352" s="366">
        <f t="shared" si="143"/>
        <v>1.5707721935389094</v>
      </c>
      <c r="K352" s="374">
        <f t="shared" si="159"/>
        <v>140.61638153196989</v>
      </c>
      <c r="L352" s="375">
        <f t="shared" si="160"/>
        <v>1.5636847198945216</v>
      </c>
      <c r="M352" s="363">
        <f t="shared" si="144"/>
        <v>1.0911836964717532</v>
      </c>
      <c r="N352" s="366">
        <f t="shared" si="145"/>
        <v>0.41171469924041953</v>
      </c>
      <c r="O352" s="367">
        <f t="shared" si="146"/>
        <v>1.0002930768740348</v>
      </c>
      <c r="P352" s="368">
        <f t="shared" si="147"/>
        <v>0.13142123818926202</v>
      </c>
      <c r="Q352" s="369">
        <f t="shared" si="148"/>
        <v>-6.4834456414282791</v>
      </c>
      <c r="R352" s="370">
        <f t="shared" si="149"/>
        <v>-173.34954671476601</v>
      </c>
      <c r="S352" s="372">
        <f t="shared" si="150"/>
        <v>6.6504532852339935</v>
      </c>
      <c r="U352" s="345">
        <f t="shared" si="156"/>
        <v>27385.25</v>
      </c>
      <c r="V352" s="345">
        <f t="shared" si="157"/>
        <v>749951917.5625</v>
      </c>
      <c r="X352" s="371">
        <f t="shared" si="151"/>
        <v>37.951753714785006</v>
      </c>
      <c r="Y352" s="372">
        <f t="shared" si="152"/>
        <v>-23.995596984626665</v>
      </c>
      <c r="AA352" s="371">
        <f t="shared" si="153"/>
        <v>27.606000470345965</v>
      </c>
      <c r="AB352" s="372">
        <f t="shared" si="154"/>
        <v>-149.35394973013931</v>
      </c>
      <c r="AD352">
        <f t="shared" si="158"/>
        <v>0</v>
      </c>
      <c r="AE352">
        <f t="shared" si="161"/>
        <v>0</v>
      </c>
    </row>
    <row r="353" spans="1:31" x14ac:dyDescent="0.3">
      <c r="A353" s="373">
        <v>27542</v>
      </c>
      <c r="B353" s="390">
        <f t="shared" si="155"/>
        <v>27.542000000000002</v>
      </c>
      <c r="C353" s="363">
        <f t="shared" si="136"/>
        <v>204.41213791382674</v>
      </c>
      <c r="D353" s="364">
        <f t="shared" si="137"/>
        <v>1.5659042298823278</v>
      </c>
      <c r="E353" s="364">
        <f t="shared" si="138"/>
        <v>1.0213341362954684</v>
      </c>
      <c r="F353" s="365">
        <f t="shared" si="139"/>
        <v>0.20475169159519241</v>
      </c>
      <c r="G353" s="364">
        <f t="shared" si="140"/>
        <v>2.2731922697283031</v>
      </c>
      <c r="H353" s="365">
        <f t="shared" si="141"/>
        <v>-1.1152978794769211</v>
      </c>
      <c r="I353" s="363">
        <f t="shared" si="142"/>
        <v>41673.775177068004</v>
      </c>
      <c r="J353" s="366">
        <f t="shared" si="143"/>
        <v>1.5707723308886978</v>
      </c>
      <c r="K353" s="374">
        <f t="shared" si="159"/>
        <v>141.42121282772732</v>
      </c>
      <c r="L353" s="375">
        <f t="shared" si="160"/>
        <v>1.5637251928854745</v>
      </c>
      <c r="M353" s="363">
        <f t="shared" si="144"/>
        <v>1.0921863341458575</v>
      </c>
      <c r="N353" s="366">
        <f t="shared" si="145"/>
        <v>0.41381195424979356</v>
      </c>
      <c r="O353" s="367">
        <f t="shared" si="146"/>
        <v>1.0002968440884654</v>
      </c>
      <c r="P353" s="368">
        <f t="shared" si="147"/>
        <v>0.13217737624644513</v>
      </c>
      <c r="Q353" s="369">
        <f t="shared" si="148"/>
        <v>-6.4990568580110919</v>
      </c>
      <c r="R353" s="370">
        <f t="shared" si="149"/>
        <v>-173.57681287146929</v>
      </c>
      <c r="S353" s="372">
        <f t="shared" si="150"/>
        <v>6.4231871285307136</v>
      </c>
      <c r="U353" s="345">
        <f t="shared" si="156"/>
        <v>27542</v>
      </c>
      <c r="V353" s="345">
        <f t="shared" si="157"/>
        <v>758561764</v>
      </c>
      <c r="X353" s="371">
        <f t="shared" si="151"/>
        <v>37.943773828479955</v>
      </c>
      <c r="Y353" s="372">
        <f t="shared" si="152"/>
        <v>-24.113449783358458</v>
      </c>
      <c r="AA353" s="371">
        <f t="shared" si="153"/>
        <v>27.598369140068193</v>
      </c>
      <c r="AB353" s="372">
        <f t="shared" si="154"/>
        <v>-149.46336308811081</v>
      </c>
      <c r="AD353">
        <f t="shared" si="158"/>
        <v>0</v>
      </c>
      <c r="AE353">
        <f t="shared" si="161"/>
        <v>0</v>
      </c>
    </row>
    <row r="354" spans="1:31" x14ac:dyDescent="0.3">
      <c r="A354" s="373">
        <v>27702.5</v>
      </c>
      <c r="B354" s="390">
        <f t="shared" si="155"/>
        <v>27.702500000000001</v>
      </c>
      <c r="C354" s="363">
        <f t="shared" si="136"/>
        <v>205.60331376275701</v>
      </c>
      <c r="D354" s="364">
        <f t="shared" si="137"/>
        <v>1.5659325727804616</v>
      </c>
      <c r="E354" s="364">
        <f t="shared" si="138"/>
        <v>1.0215808742796928</v>
      </c>
      <c r="F354" s="365">
        <f t="shared" si="139"/>
        <v>0.20591152509043226</v>
      </c>
      <c r="G354" s="364">
        <f t="shared" si="140"/>
        <v>2.2838816511178286</v>
      </c>
      <c r="H354" s="365">
        <f t="shared" si="141"/>
        <v>-1.1175892901515148</v>
      </c>
      <c r="I354" s="363">
        <f t="shared" si="142"/>
        <v>41916.627581108354</v>
      </c>
      <c r="J354" s="366">
        <f t="shared" si="143"/>
        <v>1.5707724699138019</v>
      </c>
      <c r="K354" s="374">
        <f t="shared" si="159"/>
        <v>142.24529869799127</v>
      </c>
      <c r="L354" s="375">
        <f t="shared" si="160"/>
        <v>1.5637661595668098</v>
      </c>
      <c r="M354" s="363">
        <f t="shared" si="144"/>
        <v>1.0932179268380064</v>
      </c>
      <c r="N354" s="366">
        <f t="shared" si="145"/>
        <v>0.41595538701690027</v>
      </c>
      <c r="O354" s="367">
        <f t="shared" si="146"/>
        <v>1.0003007332546989</v>
      </c>
      <c r="P354" s="368">
        <f t="shared" si="147"/>
        <v>0.13295167234945668</v>
      </c>
      <c r="Q354" s="369">
        <f t="shared" si="148"/>
        <v>-6.5149152440827587</v>
      </c>
      <c r="R354" s="370">
        <f t="shared" si="149"/>
        <v>-173.80810569437787</v>
      </c>
      <c r="S354" s="372">
        <f t="shared" si="150"/>
        <v>6.1918943056221281</v>
      </c>
      <c r="U354" s="345">
        <f t="shared" si="156"/>
        <v>27702.5</v>
      </c>
      <c r="V354" s="345">
        <f t="shared" si="157"/>
        <v>767428506.25</v>
      </c>
      <c r="X354" s="371">
        <f t="shared" si="151"/>
        <v>37.935571188320466</v>
      </c>
      <c r="Y354" s="372">
        <f t="shared" si="152"/>
        <v>-24.233920182331918</v>
      </c>
      <c r="AA354" s="371">
        <f t="shared" si="153"/>
        <v>27.590713394156026</v>
      </c>
      <c r="AB354" s="372">
        <f t="shared" si="154"/>
        <v>-149.57418551204597</v>
      </c>
      <c r="AD354">
        <f t="shared" si="158"/>
        <v>0</v>
      </c>
      <c r="AE354">
        <f t="shared" si="161"/>
        <v>0</v>
      </c>
    </row>
    <row r="355" spans="1:31" x14ac:dyDescent="0.3">
      <c r="A355" s="373">
        <v>27863</v>
      </c>
      <c r="B355" s="390">
        <f t="shared" si="155"/>
        <v>27.863</v>
      </c>
      <c r="C355" s="363">
        <f t="shared" si="136"/>
        <v>206.79448977494971</v>
      </c>
      <c r="D355" s="364">
        <f t="shared" si="137"/>
        <v>1.565960589157535</v>
      </c>
      <c r="E355" s="364">
        <f t="shared" si="138"/>
        <v>1.0218289858437952</v>
      </c>
      <c r="F355" s="365">
        <f t="shared" si="139"/>
        <v>0.20707079690329047</v>
      </c>
      <c r="G355" s="364">
        <f t="shared" si="140"/>
        <v>2.2945829124080088</v>
      </c>
      <c r="H355" s="365">
        <f t="shared" si="141"/>
        <v>-1.1198593397189125</v>
      </c>
      <c r="I355" s="363">
        <f t="shared" si="142"/>
        <v>42159.479985149497</v>
      </c>
      <c r="J355" s="366">
        <f t="shared" si="143"/>
        <v>1.5707726073372457</v>
      </c>
      <c r="K355" s="374">
        <f t="shared" si="159"/>
        <v>143.06938480423094</v>
      </c>
      <c r="L355" s="375">
        <f t="shared" si="160"/>
        <v>1.5638066543083498</v>
      </c>
      <c r="M355" s="363">
        <f t="shared" si="144"/>
        <v>1.0942545326223116</v>
      </c>
      <c r="N355" s="366">
        <f t="shared" si="145"/>
        <v>0.41809476857743594</v>
      </c>
      <c r="O355" s="367">
        <f t="shared" si="146"/>
        <v>1.0003046547916508</v>
      </c>
      <c r="P355" s="368">
        <f t="shared" si="147"/>
        <v>0.13372603826758955</v>
      </c>
      <c r="Q355" s="369">
        <f t="shared" si="148"/>
        <v>-6.5306485166260249</v>
      </c>
      <c r="R355" s="370">
        <f t="shared" si="149"/>
        <v>-174.03798692121143</v>
      </c>
      <c r="S355" s="372">
        <f t="shared" si="150"/>
        <v>5.9620130787885728</v>
      </c>
      <c r="U355" s="345">
        <f t="shared" si="156"/>
        <v>27863</v>
      </c>
      <c r="V355" s="345">
        <f t="shared" si="157"/>
        <v>776346769</v>
      </c>
      <c r="X355" s="371">
        <f t="shared" si="151"/>
        <v>37.92733653299873</v>
      </c>
      <c r="Y355" s="372">
        <f t="shared" si="152"/>
        <v>-24.354185412656765</v>
      </c>
      <c r="AA355" s="371">
        <f t="shared" si="153"/>
        <v>27.583214776934497</v>
      </c>
      <c r="AB355" s="372">
        <f t="shared" si="154"/>
        <v>-149.68380150855469</v>
      </c>
      <c r="AD355">
        <f t="shared" si="158"/>
        <v>0</v>
      </c>
      <c r="AE355">
        <f t="shared" si="161"/>
        <v>0</v>
      </c>
    </row>
    <row r="356" spans="1:31" x14ac:dyDescent="0.3">
      <c r="A356" s="373">
        <v>28023.5</v>
      </c>
      <c r="B356" s="390">
        <f t="shared" si="155"/>
        <v>28.023499999999999</v>
      </c>
      <c r="C356" s="363">
        <f t="shared" si="136"/>
        <v>207.98566594759976</v>
      </c>
      <c r="D356" s="364">
        <f t="shared" si="137"/>
        <v>1.5659882846236608</v>
      </c>
      <c r="E356" s="364">
        <f t="shared" si="138"/>
        <v>1.0220784699874574</v>
      </c>
      <c r="F356" s="365">
        <f t="shared" si="139"/>
        <v>0.20822950432803816</v>
      </c>
      <c r="G356" s="364">
        <f t="shared" si="140"/>
        <v>2.3052958881581498</v>
      </c>
      <c r="H356" s="365">
        <f t="shared" si="141"/>
        <v>-1.1221083024218779</v>
      </c>
      <c r="I356" s="363">
        <f t="shared" si="142"/>
        <v>42402.332389191433</v>
      </c>
      <c r="J356" s="366">
        <f t="shared" si="143"/>
        <v>1.570772743186549</v>
      </c>
      <c r="K356" s="374">
        <f t="shared" si="159"/>
        <v>143.893471142392</v>
      </c>
      <c r="L356" s="375">
        <f t="shared" si="160"/>
        <v>1.5638466852184409</v>
      </c>
      <c r="M356" s="363">
        <f t="shared" si="144"/>
        <v>1.0952961372653616</v>
      </c>
      <c r="N356" s="366">
        <f t="shared" si="145"/>
        <v>0.42023009087794155</v>
      </c>
      <c r="O356" s="367">
        <f t="shared" si="146"/>
        <v>1.0003086088690631</v>
      </c>
      <c r="P356" s="368">
        <f t="shared" si="147"/>
        <v>0.13450047438898866</v>
      </c>
      <c r="Q356" s="369">
        <f t="shared" si="148"/>
        <v>-6.5462593134221105</v>
      </c>
      <c r="R356" s="370">
        <f t="shared" si="149"/>
        <v>-174.26647183919818</v>
      </c>
      <c r="S356" s="372">
        <f t="shared" si="150"/>
        <v>5.7335281608018249</v>
      </c>
      <c r="U356" s="345">
        <f t="shared" si="156"/>
        <v>28023.5</v>
      </c>
      <c r="V356" s="345">
        <f t="shared" si="157"/>
        <v>785316552.25</v>
      </c>
      <c r="X356" s="371">
        <f t="shared" si="151"/>
        <v>37.91907007280674</v>
      </c>
      <c r="Y356" s="372">
        <f t="shared" si="152"/>
        <v>-24.47424454990653</v>
      </c>
      <c r="AA356" s="371">
        <f t="shared" si="153"/>
        <v>27.575870440330398</v>
      </c>
      <c r="AB356" s="372">
        <f t="shared" si="154"/>
        <v>-149.79222728929162</v>
      </c>
      <c r="AD356">
        <f t="shared" si="158"/>
        <v>0</v>
      </c>
      <c r="AE356">
        <f t="shared" si="161"/>
        <v>0</v>
      </c>
    </row>
    <row r="357" spans="1:31" x14ac:dyDescent="0.3">
      <c r="A357" s="373">
        <v>28184</v>
      </c>
      <c r="B357" s="390">
        <f t="shared" si="155"/>
        <v>28.184000000000001</v>
      </c>
      <c r="C357" s="363">
        <f t="shared" si="136"/>
        <v>209.17684227796596</v>
      </c>
      <c r="D357" s="364">
        <f t="shared" si="137"/>
        <v>1.5660156646611647</v>
      </c>
      <c r="E357" s="364">
        <f t="shared" si="138"/>
        <v>1.0223293257058073</v>
      </c>
      <c r="F357" s="365">
        <f t="shared" si="139"/>
        <v>0.20938764466764248</v>
      </c>
      <c r="G357" s="364">
        <f t="shared" si="140"/>
        <v>2.3160204158091653</v>
      </c>
      <c r="H357" s="365">
        <f t="shared" si="141"/>
        <v>-1.124336448285137</v>
      </c>
      <c r="I357" s="363">
        <f t="shared" si="142"/>
        <v>42645.184793234141</v>
      </c>
      <c r="J357" s="366">
        <f t="shared" si="143"/>
        <v>1.5707728774886047</v>
      </c>
      <c r="K357" s="374">
        <f t="shared" si="159"/>
        <v>144.71755770851246</v>
      </c>
      <c r="L357" s="375">
        <f t="shared" si="160"/>
        <v>1.5638862602207457</v>
      </c>
      <c r="M357" s="363">
        <f t="shared" si="144"/>
        <v>1.0963427265193275</v>
      </c>
      <c r="N357" s="366">
        <f t="shared" si="145"/>
        <v>0.42236134604355774</v>
      </c>
      <c r="O357" s="367">
        <f t="shared" si="146"/>
        <v>1.0003125956576551</v>
      </c>
      <c r="P357" s="368">
        <f t="shared" si="147"/>
        <v>0.1352749811015119</v>
      </c>
      <c r="Q357" s="369">
        <f t="shared" si="148"/>
        <v>-6.5617502063926603</v>
      </c>
      <c r="R357" s="370">
        <f t="shared" si="149"/>
        <v>-174.49357550683274</v>
      </c>
      <c r="S357" s="372">
        <f t="shared" si="150"/>
        <v>5.506424493167259</v>
      </c>
      <c r="U357" s="345">
        <f t="shared" si="156"/>
        <v>28184</v>
      </c>
      <c r="V357" s="345">
        <f t="shared" si="157"/>
        <v>794337856</v>
      </c>
      <c r="X357" s="371">
        <f t="shared" si="151"/>
        <v>37.910772017906432</v>
      </c>
      <c r="Y357" s="372">
        <f t="shared" si="152"/>
        <v>-24.594096690433439</v>
      </c>
      <c r="AA357" s="371">
        <f t="shared" si="153"/>
        <v>27.568677602260156</v>
      </c>
      <c r="AB357" s="372">
        <f t="shared" si="154"/>
        <v>-149.8994788163993</v>
      </c>
      <c r="AD357">
        <f t="shared" si="158"/>
        <v>0</v>
      </c>
      <c r="AE357">
        <f t="shared" si="161"/>
        <v>0</v>
      </c>
    </row>
    <row r="358" spans="1:31" x14ac:dyDescent="0.3">
      <c r="A358" s="373">
        <v>28348</v>
      </c>
      <c r="B358" s="390">
        <f t="shared" si="155"/>
        <v>28.347999999999999</v>
      </c>
      <c r="C358" s="363">
        <f t="shared" si="136"/>
        <v>210.39399457628485</v>
      </c>
      <c r="D358" s="364">
        <f t="shared" si="137"/>
        <v>1.5660433215239982</v>
      </c>
      <c r="E358" s="364">
        <f t="shared" si="138"/>
        <v>1.0225870675132054</v>
      </c>
      <c r="F358" s="365">
        <f t="shared" si="139"/>
        <v>0.21057045183754897</v>
      </c>
      <c r="G358" s="364">
        <f t="shared" si="140"/>
        <v>2.3269905779956073</v>
      </c>
      <c r="H358" s="365">
        <f t="shared" si="141"/>
        <v>-1.1265919568940843</v>
      </c>
      <c r="I358" s="363">
        <f t="shared" si="142"/>
        <v>42893.333044094761</v>
      </c>
      <c r="J358" s="366">
        <f t="shared" si="143"/>
        <v>1.5707730131484829</v>
      </c>
      <c r="K358" s="374">
        <f t="shared" si="159"/>
        <v>145.55961524116145</v>
      </c>
      <c r="L358" s="375">
        <f t="shared" si="160"/>
        <v>1.5639262353567878</v>
      </c>
      <c r="M358" s="363">
        <f t="shared" si="144"/>
        <v>1.0974172725974656</v>
      </c>
      <c r="N358" s="366">
        <f t="shared" si="145"/>
        <v>0.42453486803197249</v>
      </c>
      <c r="O358" s="367">
        <f t="shared" si="146"/>
        <v>1.000316703353159</v>
      </c>
      <c r="P358" s="368">
        <f t="shared" si="147"/>
        <v>0.136066450688725</v>
      </c>
      <c r="Q358" s="369">
        <f t="shared" si="148"/>
        <v>-6.5774576615419704</v>
      </c>
      <c r="R358" s="370">
        <f t="shared" si="149"/>
        <v>-174.724220263479</v>
      </c>
      <c r="S358" s="372">
        <f t="shared" si="150"/>
        <v>5.2757797365210024</v>
      </c>
      <c r="U358" s="345">
        <f t="shared" si="156"/>
        <v>28348</v>
      </c>
      <c r="V358" s="345">
        <f t="shared" si="157"/>
        <v>803609104</v>
      </c>
      <c r="X358" s="371">
        <f t="shared" si="151"/>
        <v>37.902260591359592</v>
      </c>
      <c r="Y358" s="372">
        <f t="shared" si="152"/>
        <v>-24.716347693345977</v>
      </c>
      <c r="AA358" s="371">
        <f t="shared" si="153"/>
        <v>27.561481573657687</v>
      </c>
      <c r="AB358" s="372">
        <f t="shared" si="154"/>
        <v>-150.00787257013303</v>
      </c>
      <c r="AD358">
        <f t="shared" si="158"/>
        <v>0</v>
      </c>
      <c r="AE358">
        <f t="shared" si="161"/>
        <v>0</v>
      </c>
    </row>
    <row r="359" spans="1:31" x14ac:dyDescent="0.3">
      <c r="A359" s="373">
        <v>28512</v>
      </c>
      <c r="B359" s="390">
        <f t="shared" si="155"/>
        <v>28.512</v>
      </c>
      <c r="C359" s="363">
        <f t="shared" si="136"/>
        <v>211.61114703368324</v>
      </c>
      <c r="D359" s="364">
        <f t="shared" si="137"/>
        <v>1.5660706602314147</v>
      </c>
      <c r="E359" s="364">
        <f t="shared" si="138"/>
        <v>1.02284623923129</v>
      </c>
      <c r="F359" s="365">
        <f t="shared" si="139"/>
        <v>0.21175266125455225</v>
      </c>
      <c r="G359" s="364">
        <f t="shared" si="140"/>
        <v>2.3379724671975435</v>
      </c>
      <c r="H359" s="365">
        <f t="shared" si="141"/>
        <v>-1.1288262876986006</v>
      </c>
      <c r="I359" s="363">
        <f t="shared" si="142"/>
        <v>43141.481294956167</v>
      </c>
      <c r="J359" s="366">
        <f t="shared" si="143"/>
        <v>1.5707731472477398</v>
      </c>
      <c r="K359" s="374">
        <f t="shared" si="159"/>
        <v>146.40167300374065</v>
      </c>
      <c r="L359" s="375">
        <f t="shared" si="160"/>
        <v>1.5639657506433167</v>
      </c>
      <c r="M359" s="363">
        <f t="shared" si="144"/>
        <v>1.0984969929348776</v>
      </c>
      <c r="N359" s="366">
        <f t="shared" si="145"/>
        <v>0.42670412751188252</v>
      </c>
      <c r="O359" s="367">
        <f t="shared" si="146"/>
        <v>1.0003208455655519</v>
      </c>
      <c r="P359" s="368">
        <f t="shared" si="147"/>
        <v>0.13685799479719488</v>
      </c>
      <c r="Q359" s="369">
        <f t="shared" si="148"/>
        <v>-6.5930451529379699</v>
      </c>
      <c r="R359" s="370">
        <f t="shared" si="149"/>
        <v>-174.95345394509161</v>
      </c>
      <c r="S359" s="372">
        <f t="shared" si="150"/>
        <v>5.04654605490839</v>
      </c>
      <c r="U359" s="345">
        <f t="shared" si="156"/>
        <v>28512</v>
      </c>
      <c r="V359" s="345">
        <f t="shared" si="157"/>
        <v>812934144</v>
      </c>
      <c r="X359" s="371">
        <f t="shared" si="151"/>
        <v>37.893716620284991</v>
      </c>
      <c r="Y359" s="372">
        <f t="shared" si="152"/>
        <v>-24.838380730530105</v>
      </c>
      <c r="AA359" s="371">
        <f t="shared" si="153"/>
        <v>27.554438053336288</v>
      </c>
      <c r="AB359" s="372">
        <f t="shared" si="154"/>
        <v>-150.11507321456153</v>
      </c>
      <c r="AD359">
        <f t="shared" si="158"/>
        <v>0</v>
      </c>
      <c r="AE359">
        <f t="shared" si="161"/>
        <v>0</v>
      </c>
    </row>
    <row r="360" spans="1:31" x14ac:dyDescent="0.3">
      <c r="A360" s="373">
        <v>28676</v>
      </c>
      <c r="B360" s="390">
        <f t="shared" si="155"/>
        <v>28.675999999999998</v>
      </c>
      <c r="C360" s="363">
        <f t="shared" si="136"/>
        <v>212.82829964743186</v>
      </c>
      <c r="D360" s="364">
        <f t="shared" si="137"/>
        <v>1.5660976862419098</v>
      </c>
      <c r="E360" s="364">
        <f t="shared" si="138"/>
        <v>1.0231068397733936</v>
      </c>
      <c r="F360" s="365">
        <f t="shared" si="139"/>
        <v>0.21293427006962146</v>
      </c>
      <c r="G360" s="364">
        <f t="shared" si="140"/>
        <v>2.3489659189364964</v>
      </c>
      <c r="H360" s="365">
        <f t="shared" si="141"/>
        <v>-1.1310397155766965</v>
      </c>
      <c r="I360" s="363">
        <f t="shared" si="142"/>
        <v>43389.629545818345</v>
      </c>
      <c r="J360" s="366">
        <f t="shared" si="143"/>
        <v>1.5707732798131511</v>
      </c>
      <c r="K360" s="374">
        <f t="shared" si="159"/>
        <v>147.24373099230525</v>
      </c>
      <c r="L360" s="375">
        <f t="shared" si="160"/>
        <v>1.564004813969575</v>
      </c>
      <c r="M360" s="363">
        <f t="shared" si="144"/>
        <v>1.0995818722891706</v>
      </c>
      <c r="N360" s="366">
        <f t="shared" si="145"/>
        <v>0.42886911665425476</v>
      </c>
      <c r="O360" s="367">
        <f t="shared" si="146"/>
        <v>1.000325022480127</v>
      </c>
      <c r="P360" s="368">
        <f t="shared" si="147"/>
        <v>0.13764961383977042</v>
      </c>
      <c r="Q360" s="369">
        <f t="shared" si="148"/>
        <v>-6.6085152228845532</v>
      </c>
      <c r="R360" s="370">
        <f t="shared" si="149"/>
        <v>-175.18129190160457</v>
      </c>
      <c r="S360" s="372">
        <f t="shared" si="150"/>
        <v>4.8187080983954331</v>
      </c>
      <c r="U360" s="345">
        <f t="shared" si="156"/>
        <v>28676</v>
      </c>
      <c r="V360" s="345">
        <f t="shared" si="157"/>
        <v>822312976</v>
      </c>
      <c r="X360" s="371">
        <f t="shared" si="151"/>
        <v>37.88514032838696</v>
      </c>
      <c r="Y360" s="372">
        <f t="shared" si="152"/>
        <v>-24.960194902929096</v>
      </c>
      <c r="AA360" s="371">
        <f t="shared" si="153"/>
        <v>27.547544275287734</v>
      </c>
      <c r="AB360" s="372">
        <f t="shared" si="154"/>
        <v>-150.22109699867545</v>
      </c>
      <c r="AD360">
        <f t="shared" si="158"/>
        <v>0</v>
      </c>
      <c r="AE360">
        <f t="shared" si="161"/>
        <v>0</v>
      </c>
    </row>
    <row r="361" spans="1:31" x14ac:dyDescent="0.3">
      <c r="A361" s="373">
        <v>28840</v>
      </c>
      <c r="B361" s="390">
        <f t="shared" si="155"/>
        <v>28.84</v>
      </c>
      <c r="C361" s="363">
        <f t="shared" si="136"/>
        <v>214.04545241486346</v>
      </c>
      <c r="D361" s="364">
        <f t="shared" si="137"/>
        <v>1.5661244048898233</v>
      </c>
      <c r="E361" s="364">
        <f t="shared" si="138"/>
        <v>1.0233688680479671</v>
      </c>
      <c r="F361" s="365">
        <f t="shared" si="139"/>
        <v>0.21411527544332826</v>
      </c>
      <c r="G361" s="364">
        <f t="shared" si="140"/>
        <v>2.3599707716271747</v>
      </c>
      <c r="H361" s="365">
        <f t="shared" si="141"/>
        <v>-1.1332325111065913</v>
      </c>
      <c r="I361" s="363">
        <f t="shared" si="142"/>
        <v>43637.777796681265</v>
      </c>
      <c r="J361" s="366">
        <f t="shared" si="143"/>
        <v>1.5707734108708835</v>
      </c>
      <c r="K361" s="374">
        <f t="shared" si="159"/>
        <v>148.08578920300019</v>
      </c>
      <c r="L361" s="375">
        <f t="shared" si="160"/>
        <v>1.5640434330453692</v>
      </c>
      <c r="M361" s="363">
        <f t="shared" si="144"/>
        <v>1.1006718954053605</v>
      </c>
      <c r="N361" s="366">
        <f t="shared" si="145"/>
        <v>0.4310298278209751</v>
      </c>
      <c r="O361" s="367">
        <f t="shared" si="146"/>
        <v>1.0003292342832422</v>
      </c>
      <c r="P361" s="368">
        <f t="shared" si="147"/>
        <v>0.13844130822897985</v>
      </c>
      <c r="Q361" s="369">
        <f t="shared" si="148"/>
        <v>-6.6238703494685103</v>
      </c>
      <c r="R361" s="370">
        <f t="shared" si="149"/>
        <v>-175.40774925009453</v>
      </c>
      <c r="S361" s="372">
        <f t="shared" si="150"/>
        <v>4.5922507499054745</v>
      </c>
      <c r="U361" s="345">
        <f t="shared" si="156"/>
        <v>28840</v>
      </c>
      <c r="V361" s="345">
        <f t="shared" si="157"/>
        <v>831745600</v>
      </c>
      <c r="X361" s="371">
        <f t="shared" si="151"/>
        <v>37.876531939169524</v>
      </c>
      <c r="Y361" s="372">
        <f t="shared" si="152"/>
        <v>-25.081789332671143</v>
      </c>
      <c r="AA361" s="371">
        <f t="shared" si="153"/>
        <v>27.540797537921215</v>
      </c>
      <c r="AB361" s="372">
        <f t="shared" si="154"/>
        <v>-150.32595991742338</v>
      </c>
      <c r="AD361">
        <f t="shared" si="158"/>
        <v>0</v>
      </c>
      <c r="AE361">
        <f t="shared" si="161"/>
        <v>0</v>
      </c>
    </row>
    <row r="362" spans="1:31" x14ac:dyDescent="0.3">
      <c r="A362" s="373">
        <v>29008</v>
      </c>
      <c r="B362" s="390">
        <f t="shared" si="155"/>
        <v>29.007999999999999</v>
      </c>
      <c r="C362" s="363">
        <f t="shared" si="136"/>
        <v>215.29229199178585</v>
      </c>
      <c r="D362" s="364">
        <f t="shared" si="137"/>
        <v>1.5661514619622898</v>
      </c>
      <c r="E362" s="364">
        <f t="shared" si="138"/>
        <v>1.0236387665011992</v>
      </c>
      <c r="F362" s="365">
        <f t="shared" si="139"/>
        <v>0.2153244571702157</v>
      </c>
      <c r="G362" s="364">
        <f t="shared" si="140"/>
        <v>2.3712556908828786</v>
      </c>
      <c r="H362" s="365">
        <f t="shared" si="141"/>
        <v>-1.1354576745207383</v>
      </c>
      <c r="I362" s="363">
        <f t="shared" si="142"/>
        <v>43891.978443907472</v>
      </c>
      <c r="J362" s="366">
        <f t="shared" si="143"/>
        <v>1.5707735435885901</v>
      </c>
      <c r="K362" s="374">
        <f t="shared" si="159"/>
        <v>148.9483856452191</v>
      </c>
      <c r="L362" s="375">
        <f t="shared" si="160"/>
        <v>1.5640825412899808</v>
      </c>
      <c r="M362" s="363">
        <f t="shared" si="144"/>
        <v>1.1017938219708392</v>
      </c>
      <c r="N362" s="366">
        <f t="shared" si="145"/>
        <v>0.43323879571617635</v>
      </c>
      <c r="O362" s="367">
        <f t="shared" si="146"/>
        <v>1.0003335851845119</v>
      </c>
      <c r="P362" s="368">
        <f t="shared" si="147"/>
        <v>0.13925239079394922</v>
      </c>
      <c r="Q362" s="369">
        <f t="shared" si="148"/>
        <v>-6.6394833332492738</v>
      </c>
      <c r="R362" s="370">
        <f t="shared" si="149"/>
        <v>-175.63831398124717</v>
      </c>
      <c r="S362" s="372">
        <f t="shared" si="150"/>
        <v>4.3616860187528346</v>
      </c>
      <c r="U362" s="345">
        <f t="shared" si="156"/>
        <v>29008</v>
      </c>
      <c r="V362" s="345">
        <f t="shared" si="157"/>
        <v>841464064</v>
      </c>
      <c r="X362" s="371">
        <f t="shared" si="151"/>
        <v>37.867680541486607</v>
      </c>
      <c r="Y362" s="372">
        <f t="shared" si="152"/>
        <v>-25.206120737092188</v>
      </c>
      <c r="AA362" s="371">
        <f t="shared" si="153"/>
        <v>27.53403595182337</v>
      </c>
      <c r="AB362" s="372">
        <f t="shared" si="154"/>
        <v>-150.43219324415503</v>
      </c>
      <c r="AD362">
        <f t="shared" si="158"/>
        <v>0</v>
      </c>
      <c r="AE362">
        <f t="shared" si="161"/>
        <v>0</v>
      </c>
    </row>
    <row r="363" spans="1:31" x14ac:dyDescent="0.3">
      <c r="A363" s="373">
        <v>29176</v>
      </c>
      <c r="B363" s="390">
        <f t="shared" si="155"/>
        <v>29.175999999999998</v>
      </c>
      <c r="C363" s="363">
        <f t="shared" si="136"/>
        <v>216.53913172450547</v>
      </c>
      <c r="D363" s="364">
        <f t="shared" si="137"/>
        <v>1.566178207443677</v>
      </c>
      <c r="E363" s="364">
        <f t="shared" si="138"/>
        <v>1.0239101608472885</v>
      </c>
      <c r="F363" s="365">
        <f t="shared" si="139"/>
        <v>0.21653299965969192</v>
      </c>
      <c r="G363" s="364">
        <f t="shared" si="140"/>
        <v>2.3825522398056194</v>
      </c>
      <c r="H363" s="365">
        <f t="shared" si="141"/>
        <v>-1.1376617481397719</v>
      </c>
      <c r="I363" s="363">
        <f t="shared" si="142"/>
        <v>44146.179091134443</v>
      </c>
      <c r="J363" s="366">
        <f t="shared" si="143"/>
        <v>1.5707736747778778</v>
      </c>
      <c r="K363" s="374">
        <f t="shared" si="159"/>
        <v>149.81098231262445</v>
      </c>
      <c r="L363" s="375">
        <f t="shared" si="160"/>
        <v>1.5641211991719213</v>
      </c>
      <c r="M363" s="363">
        <f t="shared" si="144"/>
        <v>1.1029211138293575</v>
      </c>
      <c r="N363" s="366">
        <f t="shared" si="145"/>
        <v>0.43544325879296203</v>
      </c>
      <c r="O363" s="367">
        <f t="shared" si="146"/>
        <v>1.0003379730962696</v>
      </c>
      <c r="P363" s="368">
        <f t="shared" si="147"/>
        <v>0.14006355330113279</v>
      </c>
      <c r="Q363" s="369">
        <f t="shared" si="148"/>
        <v>-6.6549807636327323</v>
      </c>
      <c r="R363" s="370">
        <f t="shared" si="149"/>
        <v>-175.86746131847661</v>
      </c>
      <c r="S363" s="372">
        <f t="shared" si="150"/>
        <v>4.1325386815233855</v>
      </c>
      <c r="U363" s="345">
        <f t="shared" si="156"/>
        <v>29176</v>
      </c>
      <c r="V363" s="345">
        <f t="shared" si="157"/>
        <v>851238976</v>
      </c>
      <c r="X363" s="371">
        <f t="shared" si="151"/>
        <v>37.858795935760917</v>
      </c>
      <c r="Y363" s="372">
        <f t="shared" si="152"/>
        <v>-25.330219750738642</v>
      </c>
      <c r="AA363" s="371">
        <f t="shared" si="153"/>
        <v>27.527423127165598</v>
      </c>
      <c r="AB363" s="372">
        <f t="shared" si="154"/>
        <v>-150.53724156773796</v>
      </c>
      <c r="AD363">
        <f t="shared" si="158"/>
        <v>0</v>
      </c>
      <c r="AE363">
        <f t="shared" si="161"/>
        <v>0</v>
      </c>
    </row>
    <row r="364" spans="1:31" x14ac:dyDescent="0.3">
      <c r="A364" s="373">
        <v>29344</v>
      </c>
      <c r="B364" s="390">
        <f t="shared" si="155"/>
        <v>29.344000000000001</v>
      </c>
      <c r="C364" s="363">
        <f t="shared" si="136"/>
        <v>217.78597161034642</v>
      </c>
      <c r="D364" s="364">
        <f t="shared" si="137"/>
        <v>1.5662046466855879</v>
      </c>
      <c r="E364" s="364">
        <f t="shared" si="138"/>
        <v>1.0241830498970628</v>
      </c>
      <c r="F364" s="365">
        <f t="shared" si="139"/>
        <v>0.21774089989099923</v>
      </c>
      <c r="G364" s="364">
        <f t="shared" si="140"/>
        <v>2.3938602537553377</v>
      </c>
      <c r="H364" s="365">
        <f t="shared" si="141"/>
        <v>-1.1398450092656129</v>
      </c>
      <c r="I364" s="363">
        <f t="shared" si="142"/>
        <v>44400.379738362157</v>
      </c>
      <c r="J364" s="366">
        <f t="shared" si="143"/>
        <v>1.5707738044649981</v>
      </c>
      <c r="K364" s="374">
        <f t="shared" si="159"/>
        <v>150.67357920134867</v>
      </c>
      <c r="L364" s="375">
        <f t="shared" si="160"/>
        <v>1.564159414425969</v>
      </c>
      <c r="M364" s="363">
        <f t="shared" si="144"/>
        <v>1.1040537545462503</v>
      </c>
      <c r="N364" s="366">
        <f t="shared" si="145"/>
        <v>0.4376432094572465</v>
      </c>
      <c r="O364" s="367">
        <f t="shared" si="146"/>
        <v>1.0003423982223187</v>
      </c>
      <c r="P364" s="368">
        <f t="shared" si="147"/>
        <v>0.14087479619292617</v>
      </c>
      <c r="Q364" s="369">
        <f t="shared" si="148"/>
        <v>-6.6703651063057094</v>
      </c>
      <c r="R364" s="370">
        <f t="shared" si="149"/>
        <v>-176.0952067782857</v>
      </c>
      <c r="S364" s="372">
        <f t="shared" si="150"/>
        <v>3.9047932217143</v>
      </c>
      <c r="U364" s="345">
        <f t="shared" si="156"/>
        <v>29344</v>
      </c>
      <c r="V364" s="345">
        <f t="shared" si="157"/>
        <v>861070336</v>
      </c>
      <c r="X364" s="371">
        <f t="shared" si="151"/>
        <v>37.849878361505212</v>
      </c>
      <c r="Y364" s="372">
        <f t="shared" si="152"/>
        <v>-25.454085496835386</v>
      </c>
      <c r="AA364" s="371">
        <f t="shared" si="153"/>
        <v>27.520956358748325</v>
      </c>
      <c r="AB364" s="372">
        <f t="shared" si="154"/>
        <v>-150.64112128145035</v>
      </c>
      <c r="AD364">
        <f t="shared" si="158"/>
        <v>0</v>
      </c>
      <c r="AE364">
        <f t="shared" si="161"/>
        <v>0</v>
      </c>
    </row>
    <row r="365" spans="1:31" x14ac:dyDescent="0.3">
      <c r="A365" s="373">
        <v>29512</v>
      </c>
      <c r="B365" s="390">
        <f t="shared" si="155"/>
        <v>29.512</v>
      </c>
      <c r="C365" s="363">
        <f t="shared" si="136"/>
        <v>219.03281164669383</v>
      </c>
      <c r="D365" s="364">
        <f t="shared" si="137"/>
        <v>1.5662307849177726</v>
      </c>
      <c r="E365" s="364">
        <f t="shared" si="138"/>
        <v>1.0244574324560702</v>
      </c>
      <c r="F365" s="365">
        <f t="shared" si="139"/>
        <v>0.21894815485408642</v>
      </c>
      <c r="G365" s="364">
        <f t="shared" si="140"/>
        <v>2.4051795710226762</v>
      </c>
      <c r="H365" s="365">
        <f t="shared" si="141"/>
        <v>-1.1420077307816003</v>
      </c>
      <c r="I365" s="363">
        <f t="shared" si="142"/>
        <v>44654.580385590612</v>
      </c>
      <c r="J365" s="366">
        <f t="shared" si="143"/>
        <v>1.5707739326756047</v>
      </c>
      <c r="K365" s="374">
        <f t="shared" si="159"/>
        <v>151.53617630761229</v>
      </c>
      <c r="L365" s="375">
        <f t="shared" si="160"/>
        <v>1.5641971946107913</v>
      </c>
      <c r="M365" s="363">
        <f t="shared" si="144"/>
        <v>1.1051917276764036</v>
      </c>
      <c r="N365" s="366">
        <f t="shared" si="145"/>
        <v>0.4398386403207129</v>
      </c>
      <c r="O365" s="367">
        <f t="shared" si="146"/>
        <v>1.0003468607676351</v>
      </c>
      <c r="P365" s="368">
        <f t="shared" si="147"/>
        <v>0.14168611991136307</v>
      </c>
      <c r="Q365" s="369">
        <f t="shared" si="148"/>
        <v>-6.6856387637754402</v>
      </c>
      <c r="R365" s="370">
        <f t="shared" si="149"/>
        <v>-176.32156563824134</v>
      </c>
      <c r="S365" s="372">
        <f t="shared" si="150"/>
        <v>3.6784343617586615</v>
      </c>
      <c r="U365" s="345">
        <f t="shared" si="156"/>
        <v>29512</v>
      </c>
      <c r="V365" s="345">
        <f t="shared" si="157"/>
        <v>870958144</v>
      </c>
      <c r="X365" s="371">
        <f t="shared" si="151"/>
        <v>37.840928057949206</v>
      </c>
      <c r="Y365" s="372">
        <f t="shared" si="152"/>
        <v>-25.57771712045313</v>
      </c>
      <c r="AA365" s="371">
        <f t="shared" si="153"/>
        <v>27.514633004834611</v>
      </c>
      <c r="AB365" s="372">
        <f t="shared" si="154"/>
        <v>-150.74384851778822</v>
      </c>
      <c r="AD365">
        <f t="shared" si="158"/>
        <v>0</v>
      </c>
      <c r="AE365">
        <f t="shared" si="161"/>
        <v>0</v>
      </c>
    </row>
    <row r="366" spans="1:31" x14ac:dyDescent="0.3">
      <c r="A366" s="373">
        <v>29684</v>
      </c>
      <c r="B366" s="390">
        <f t="shared" si="155"/>
        <v>29.684000000000001</v>
      </c>
      <c r="C366" s="363">
        <f t="shared" si="136"/>
        <v>220.30933850382934</v>
      </c>
      <c r="D366" s="364">
        <f t="shared" si="137"/>
        <v>1.5662572389800729</v>
      </c>
      <c r="E366" s="364">
        <f t="shared" si="138"/>
        <v>1.0247398939525385</v>
      </c>
      <c r="F366" s="365">
        <f t="shared" si="139"/>
        <v>0.22018348235467344</v>
      </c>
      <c r="G366" s="364">
        <f t="shared" si="140"/>
        <v>2.4167799402094774</v>
      </c>
      <c r="H366" s="365">
        <f t="shared" si="141"/>
        <v>-1.144200947067713</v>
      </c>
      <c r="I366" s="363">
        <f t="shared" si="142"/>
        <v>44914.833429182407</v>
      </c>
      <c r="J366" s="366">
        <f t="shared" si="143"/>
        <v>1.5707740624353581</v>
      </c>
      <c r="K366" s="374">
        <f t="shared" si="159"/>
        <v>152.41931166172915</v>
      </c>
      <c r="L366" s="375">
        <f t="shared" si="160"/>
        <v>1.5642354313062703</v>
      </c>
      <c r="M366" s="363">
        <f t="shared" si="144"/>
        <v>1.1063623025905418</v>
      </c>
      <c r="N366" s="366">
        <f t="shared" si="145"/>
        <v>0.44208165334408844</v>
      </c>
      <c r="O366" s="367">
        <f t="shared" si="146"/>
        <v>1.0003514685455777</v>
      </c>
      <c r="P366" s="368">
        <f t="shared" si="147"/>
        <v>0.14251684505860851</v>
      </c>
      <c r="Q366" s="369">
        <f t="shared" si="148"/>
        <v>-6.7011638543760697</v>
      </c>
      <c r="R366" s="370">
        <f t="shared" si="149"/>
        <v>-176.55189318719644</v>
      </c>
      <c r="S366" s="372">
        <f t="shared" si="150"/>
        <v>3.4481068128035588</v>
      </c>
      <c r="U366" s="345">
        <f t="shared" si="156"/>
        <v>29684</v>
      </c>
      <c r="V366" s="345">
        <f t="shared" si="157"/>
        <v>881139856</v>
      </c>
      <c r="X366" s="371">
        <f t="shared" si="151"/>
        <v>37.831730993941683</v>
      </c>
      <c r="Y366" s="372">
        <f t="shared" si="152"/>
        <v>-25.704048933642525</v>
      </c>
      <c r="AA366" s="371">
        <f t="shared" si="153"/>
        <v>27.50830497824149</v>
      </c>
      <c r="AB366" s="372">
        <f t="shared" si="154"/>
        <v>-150.84784425355392</v>
      </c>
      <c r="AD366">
        <f t="shared" si="158"/>
        <v>0</v>
      </c>
      <c r="AE366">
        <f t="shared" si="161"/>
        <v>0</v>
      </c>
    </row>
    <row r="367" spans="1:31" x14ac:dyDescent="0.3">
      <c r="A367" s="373">
        <v>29856</v>
      </c>
      <c r="B367" s="390">
        <f t="shared" si="155"/>
        <v>29.856000000000002</v>
      </c>
      <c r="C367" s="363">
        <f t="shared" si="136"/>
        <v>221.58586551336472</v>
      </c>
      <c r="D367" s="364">
        <f t="shared" si="137"/>
        <v>1.5662833882456484</v>
      </c>
      <c r="E367" s="364">
        <f t="shared" si="138"/>
        <v>1.0250239183737162</v>
      </c>
      <c r="F367" s="365">
        <f t="shared" si="139"/>
        <v>0.2214181271433979</v>
      </c>
      <c r="G367" s="364">
        <f t="shared" si="140"/>
        <v>2.428391823486598</v>
      </c>
      <c r="H367" s="365">
        <f t="shared" si="141"/>
        <v>-1.1463731990390431</v>
      </c>
      <c r="I367" s="363">
        <f t="shared" si="142"/>
        <v>45175.08647277495</v>
      </c>
      <c r="J367" s="366">
        <f t="shared" si="143"/>
        <v>1.570774190700023</v>
      </c>
      <c r="K367" s="374">
        <f t="shared" si="159"/>
        <v>153.30244723612239</v>
      </c>
      <c r="L367" s="375">
        <f t="shared" si="160"/>
        <v>1.5642732274584645</v>
      </c>
      <c r="M367" s="363">
        <f t="shared" si="144"/>
        <v>1.1075384319498889</v>
      </c>
      <c r="N367" s="366">
        <f t="shared" si="145"/>
        <v>0.44431991375852958</v>
      </c>
      <c r="O367" s="367">
        <f t="shared" si="146"/>
        <v>1.0003561159844545</v>
      </c>
      <c r="P367" s="368">
        <f t="shared" si="147"/>
        <v>0.14334765586373216</v>
      </c>
      <c r="Q367" s="369">
        <f t="shared" si="148"/>
        <v>-6.7165778274533272</v>
      </c>
      <c r="R367" s="370">
        <f t="shared" si="149"/>
        <v>-176.78079898134482</v>
      </c>
      <c r="S367" s="372">
        <f t="shared" si="150"/>
        <v>3.219201018655184</v>
      </c>
      <c r="U367" s="345">
        <f t="shared" si="156"/>
        <v>29856</v>
      </c>
      <c r="V367" s="345">
        <f t="shared" si="157"/>
        <v>891380736</v>
      </c>
      <c r="X367" s="371">
        <f t="shared" si="151"/>
        <v>37.822500130052049</v>
      </c>
      <c r="Y367" s="372">
        <f t="shared" si="152"/>
        <v>-25.830133598006668</v>
      </c>
      <c r="AA367" s="371">
        <f t="shared" si="153"/>
        <v>27.502121869053866</v>
      </c>
      <c r="AB367" s="372">
        <f t="shared" si="154"/>
        <v>-150.95066538333816</v>
      </c>
      <c r="AD367">
        <f t="shared" si="158"/>
        <v>0</v>
      </c>
      <c r="AE367">
        <f t="shared" si="161"/>
        <v>0</v>
      </c>
    </row>
    <row r="368" spans="1:31" x14ac:dyDescent="0.3">
      <c r="A368" s="373">
        <v>30028</v>
      </c>
      <c r="B368" s="390">
        <f t="shared" si="155"/>
        <v>30.027999999999999</v>
      </c>
      <c r="C368" s="363">
        <f t="shared" si="136"/>
        <v>222.8623926726813</v>
      </c>
      <c r="D368" s="364">
        <f t="shared" si="137"/>
        <v>1.5663092379519727</v>
      </c>
      <c r="E368" s="364">
        <f t="shared" si="138"/>
        <v>1.0253095044207505</v>
      </c>
      <c r="F368" s="365">
        <f t="shared" si="139"/>
        <v>0.22265208602513512</v>
      </c>
      <c r="G368" s="364">
        <f t="shared" si="140"/>
        <v>2.4400150564694765</v>
      </c>
      <c r="H368" s="365">
        <f t="shared" si="141"/>
        <v>-1.1485247656440172</v>
      </c>
      <c r="I368" s="363">
        <f t="shared" si="142"/>
        <v>45435.339516368222</v>
      </c>
      <c r="J368" s="366">
        <f t="shared" si="143"/>
        <v>1.5707743174952915</v>
      </c>
      <c r="K368" s="374">
        <f t="shared" si="159"/>
        <v>154.18558302700691</v>
      </c>
      <c r="L368" s="375">
        <f t="shared" si="160"/>
        <v>1.5643105906372246</v>
      </c>
      <c r="M368" s="363">
        <f t="shared" si="144"/>
        <v>1.1087200980779923</v>
      </c>
      <c r="N368" s="366">
        <f t="shared" si="145"/>
        <v>0.44655341429795919</v>
      </c>
      <c r="O368" s="367">
        <f t="shared" si="146"/>
        <v>1.0003608033080518</v>
      </c>
      <c r="P368" s="368">
        <f t="shared" si="147"/>
        <v>0.14417855279990544</v>
      </c>
      <c r="Q368" s="369">
        <f t="shared" si="148"/>
        <v>-6.7318830667692442</v>
      </c>
      <c r="R368" s="370">
        <f t="shared" si="149"/>
        <v>-177.00829866495309</v>
      </c>
      <c r="S368" s="372">
        <f t="shared" si="150"/>
        <v>2.9917013350469119</v>
      </c>
      <c r="U368" s="345">
        <f t="shared" si="156"/>
        <v>30028</v>
      </c>
      <c r="V368" s="345">
        <f t="shared" si="157"/>
        <v>901680784</v>
      </c>
      <c r="X368" s="371">
        <f t="shared" si="151"/>
        <v>37.813235721986473</v>
      </c>
      <c r="Y368" s="372">
        <f t="shared" si="152"/>
        <v>-25.955970264981588</v>
      </c>
      <c r="AA368" s="371">
        <f t="shared" si="153"/>
        <v>27.496081037803531</v>
      </c>
      <c r="AB368" s="372">
        <f t="shared" si="154"/>
        <v>-151.05232839997151</v>
      </c>
      <c r="AD368">
        <f t="shared" si="158"/>
        <v>0</v>
      </c>
      <c r="AE368">
        <f t="shared" si="161"/>
        <v>0</v>
      </c>
    </row>
    <row r="369" spans="1:31" x14ac:dyDescent="0.3">
      <c r="A369" s="373">
        <v>30200</v>
      </c>
      <c r="B369" s="390">
        <f t="shared" si="155"/>
        <v>30.2</v>
      </c>
      <c r="C369" s="363">
        <f t="shared" si="136"/>
        <v>224.13891997921988</v>
      </c>
      <c r="D369" s="364">
        <f t="shared" si="137"/>
        <v>1.5663347932172056</v>
      </c>
      <c r="E369" s="364">
        <f t="shared" si="138"/>
        <v>1.0255966507890972</v>
      </c>
      <c r="F369" s="365">
        <f t="shared" si="139"/>
        <v>0.22388535581666447</v>
      </c>
      <c r="G369" s="364">
        <f t="shared" si="140"/>
        <v>2.4516494777317694</v>
      </c>
      <c r="H369" s="365">
        <f t="shared" si="141"/>
        <v>-1.150655921309842</v>
      </c>
      <c r="I369" s="363">
        <f t="shared" si="142"/>
        <v>45695.592559962213</v>
      </c>
      <c r="J369" s="366">
        <f t="shared" si="143"/>
        <v>1.5707744428462693</v>
      </c>
      <c r="K369" s="374">
        <f t="shared" si="159"/>
        <v>155.06871903068395</v>
      </c>
      <c r="L369" s="375">
        <f t="shared" si="160"/>
        <v>1.5643475282399613</v>
      </c>
      <c r="M369" s="363">
        <f t="shared" si="144"/>
        <v>1.10990728329064</v>
      </c>
      <c r="N369" s="366">
        <f t="shared" si="145"/>
        <v>0.44878214791712723</v>
      </c>
      <c r="O369" s="367">
        <f t="shared" si="146"/>
        <v>1.0003655307414416</v>
      </c>
      <c r="P369" s="368">
        <f t="shared" si="147"/>
        <v>0.14500953633989225</v>
      </c>
      <c r="Q369" s="369">
        <f t="shared" si="148"/>
        <v>-6.7470818941456878</v>
      </c>
      <c r="R369" s="370">
        <f t="shared" si="149"/>
        <v>-177.23440763819838</v>
      </c>
      <c r="S369" s="372">
        <f t="shared" si="150"/>
        <v>2.7655923618016232</v>
      </c>
      <c r="U369" s="345">
        <f t="shared" si="156"/>
        <v>30200</v>
      </c>
      <c r="V369" s="345">
        <f t="shared" si="157"/>
        <v>912040000</v>
      </c>
      <c r="X369" s="371">
        <f t="shared" si="151"/>
        <v>37.803938025073826</v>
      </c>
      <c r="Y369" s="372">
        <f t="shared" si="152"/>
        <v>-26.081558108502175</v>
      </c>
      <c r="AA369" s="371">
        <f t="shared" si="153"/>
        <v>27.490179907339733</v>
      </c>
      <c r="AB369" s="372">
        <f t="shared" si="154"/>
        <v>-151.1528495296962</v>
      </c>
      <c r="AD369">
        <f t="shared" si="158"/>
        <v>0</v>
      </c>
      <c r="AE369">
        <f t="shared" si="161"/>
        <v>0</v>
      </c>
    </row>
    <row r="370" spans="1:31" x14ac:dyDescent="0.3">
      <c r="A370" s="373">
        <v>30375.75</v>
      </c>
      <c r="B370" s="390">
        <f t="shared" si="155"/>
        <v>30.37575</v>
      </c>
      <c r="C370" s="363">
        <f t="shared" si="136"/>
        <v>225.44327869917888</v>
      </c>
      <c r="D370" s="364">
        <f t="shared" si="137"/>
        <v>1.5663606067102422</v>
      </c>
      <c r="E370" s="364">
        <f t="shared" si="138"/>
        <v>1.0258916679729275</v>
      </c>
      <c r="F370" s="365">
        <f t="shared" si="139"/>
        <v>0.22514479866859469</v>
      </c>
      <c r="G370" s="364">
        <f t="shared" si="140"/>
        <v>2.4635489483420496</v>
      </c>
      <c r="H370" s="365">
        <f t="shared" si="141"/>
        <v>-1.1528127387086382</v>
      </c>
      <c r="I370" s="363">
        <f t="shared" si="142"/>
        <v>45961.519725146929</v>
      </c>
      <c r="J370" s="366">
        <f t="shared" si="143"/>
        <v>1.5707745694638497</v>
      </c>
      <c r="K370" s="374">
        <f t="shared" si="159"/>
        <v>155.97110966908713</v>
      </c>
      <c r="L370" s="375">
        <f t="shared" si="160"/>
        <v>1.5643848390947048</v>
      </c>
      <c r="M370" s="363">
        <f t="shared" si="144"/>
        <v>1.1111260343847515</v>
      </c>
      <c r="N370" s="366">
        <f t="shared" si="145"/>
        <v>0.45105454206352102</v>
      </c>
      <c r="O370" s="367">
        <f t="shared" si="146"/>
        <v>1.000370402910453</v>
      </c>
      <c r="P370" s="368">
        <f t="shared" si="147"/>
        <v>0.14585872720167131</v>
      </c>
      <c r="Q370" s="369">
        <f t="shared" si="148"/>
        <v>-6.7625045268054143</v>
      </c>
      <c r="R370" s="370">
        <f t="shared" si="149"/>
        <v>-177.46402556334988</v>
      </c>
      <c r="S370" s="372">
        <f t="shared" si="150"/>
        <v>2.5359744366501218</v>
      </c>
      <c r="U370" s="345">
        <f t="shared" si="156"/>
        <v>30375.75</v>
      </c>
      <c r="V370" s="345">
        <f t="shared" si="157"/>
        <v>922686188.0625</v>
      </c>
      <c r="X370" s="371">
        <f t="shared" si="151"/>
        <v>37.794403496570354</v>
      </c>
      <c r="Y370" s="372">
        <f t="shared" si="152"/>
        <v>-26.209626202773254</v>
      </c>
      <c r="AA370" s="371">
        <f t="shared" si="153"/>
        <v>27.484291803183485</v>
      </c>
      <c r="AB370" s="372">
        <f t="shared" si="154"/>
        <v>-151.25439936057663</v>
      </c>
      <c r="AD370">
        <f t="shared" si="158"/>
        <v>0</v>
      </c>
      <c r="AE370">
        <f t="shared" si="161"/>
        <v>0</v>
      </c>
    </row>
    <row r="371" spans="1:31" x14ac:dyDescent="0.3">
      <c r="A371" s="373">
        <v>30551.5</v>
      </c>
      <c r="B371" s="390">
        <f t="shared" si="155"/>
        <v>30.551500000000001</v>
      </c>
      <c r="C371" s="363">
        <f t="shared" si="136"/>
        <v>226.74763756763062</v>
      </c>
      <c r="D371" s="364">
        <f t="shared" si="137"/>
        <v>1.5663861232206329</v>
      </c>
      <c r="E371" s="364">
        <f t="shared" si="138"/>
        <v>1.0261883114851782</v>
      </c>
      <c r="F371" s="365">
        <f t="shared" si="139"/>
        <v>0.22640351537385209</v>
      </c>
      <c r="G371" s="364">
        <f t="shared" si="140"/>
        <v>2.4754597688327098</v>
      </c>
      <c r="H371" s="365">
        <f t="shared" si="141"/>
        <v>-1.1549488106567307</v>
      </c>
      <c r="I371" s="363">
        <f t="shared" si="142"/>
        <v>46227.446890332372</v>
      </c>
      <c r="J371" s="366">
        <f t="shared" si="143"/>
        <v>1.5707746946246743</v>
      </c>
      <c r="K371" s="374">
        <f t="shared" si="159"/>
        <v>156.87350052211966</v>
      </c>
      <c r="L371" s="375">
        <f t="shared" si="160"/>
        <v>1.5644217206995124</v>
      </c>
      <c r="M371" s="363">
        <f t="shared" si="144"/>
        <v>1.1123505104937566</v>
      </c>
      <c r="N371" s="366">
        <f t="shared" si="145"/>
        <v>0.45332194499116923</v>
      </c>
      <c r="O371" s="367">
        <f t="shared" si="146"/>
        <v>1.000375317436518</v>
      </c>
      <c r="P371" s="368">
        <f t="shared" si="147"/>
        <v>0.14670800948141538</v>
      </c>
      <c r="Q371" s="369">
        <f t="shared" si="148"/>
        <v>-6.7778207677125621</v>
      </c>
      <c r="R371" s="370">
        <f t="shared" si="149"/>
        <v>-177.69222322385636</v>
      </c>
      <c r="S371" s="372">
        <f t="shared" si="150"/>
        <v>2.3077767761436405</v>
      </c>
      <c r="U371" s="345">
        <f t="shared" si="156"/>
        <v>30551.5</v>
      </c>
      <c r="V371" s="345">
        <f t="shared" si="157"/>
        <v>933394152.25</v>
      </c>
      <c r="X371" s="371">
        <f t="shared" si="151"/>
        <v>37.784834749553433</v>
      </c>
      <c r="Y371" s="372">
        <f t="shared" si="152"/>
        <v>-26.337432832019008</v>
      </c>
      <c r="AA371" s="371">
        <f t="shared" si="153"/>
        <v>27.478544309293255</v>
      </c>
      <c r="AB371" s="372">
        <f t="shared" si="154"/>
        <v>-151.35479039183735</v>
      </c>
      <c r="AD371">
        <f t="shared" si="158"/>
        <v>0</v>
      </c>
      <c r="AE371">
        <f t="shared" si="161"/>
        <v>0</v>
      </c>
    </row>
    <row r="372" spans="1:31" x14ac:dyDescent="0.3">
      <c r="A372" s="373">
        <v>30727.25</v>
      </c>
      <c r="B372" s="390">
        <f t="shared" si="155"/>
        <v>30.727250000000002</v>
      </c>
      <c r="C372" s="363">
        <f t="shared" si="136"/>
        <v>228.05199658202724</v>
      </c>
      <c r="D372" s="364">
        <f t="shared" si="137"/>
        <v>1.5664113478441821</v>
      </c>
      <c r="E372" s="364">
        <f t="shared" si="138"/>
        <v>1.0264865799158751</v>
      </c>
      <c r="F372" s="365">
        <f t="shared" si="139"/>
        <v>0.22766150257517775</v>
      </c>
      <c r="G372" s="364">
        <f t="shared" si="140"/>
        <v>2.4873817761571462</v>
      </c>
      <c r="H372" s="365">
        <f t="shared" si="141"/>
        <v>-1.1570644158185233</v>
      </c>
      <c r="I372" s="363">
        <f t="shared" si="142"/>
        <v>46493.374055518536</v>
      </c>
      <c r="J372" s="366">
        <f t="shared" si="143"/>
        <v>1.5707748183537393</v>
      </c>
      <c r="K372" s="374">
        <f t="shared" si="159"/>
        <v>157.77589158609891</v>
      </c>
      <c r="L372" s="375">
        <f t="shared" si="160"/>
        <v>1.5644581804195008</v>
      </c>
      <c r="M372" s="363">
        <f t="shared" si="144"/>
        <v>1.1135806927322416</v>
      </c>
      <c r="N372" s="366">
        <f t="shared" si="145"/>
        <v>0.45558434988942781</v>
      </c>
      <c r="O372" s="367">
        <f t="shared" si="146"/>
        <v>1.0003802745639181</v>
      </c>
      <c r="P372" s="368">
        <f t="shared" si="147"/>
        <v>0.14755738368215429</v>
      </c>
      <c r="Q372" s="369">
        <f t="shared" si="148"/>
        <v>-6.7930329046463367</v>
      </c>
      <c r="R372" s="370">
        <f t="shared" si="149"/>
        <v>-177.91901628837928</v>
      </c>
      <c r="S372" s="372">
        <f t="shared" si="150"/>
        <v>2.0809837116207177</v>
      </c>
      <c r="U372" s="345">
        <f t="shared" si="156"/>
        <v>30727.25</v>
      </c>
      <c r="V372" s="345">
        <f t="shared" si="157"/>
        <v>944163892.5625</v>
      </c>
      <c r="X372" s="371">
        <f t="shared" si="151"/>
        <v>37.775232055093745</v>
      </c>
      <c r="Y372" s="372">
        <f t="shared" si="152"/>
        <v>-26.464977185460356</v>
      </c>
      <c r="AA372" s="371">
        <f t="shared" si="153"/>
        <v>27.472934866819166</v>
      </c>
      <c r="AB372" s="372">
        <f t="shared" si="154"/>
        <v>-151.45403910291893</v>
      </c>
      <c r="AD372">
        <f t="shared" si="158"/>
        <v>0</v>
      </c>
      <c r="AE372">
        <f t="shared" si="161"/>
        <v>0</v>
      </c>
    </row>
    <row r="373" spans="1:31" x14ac:dyDescent="0.3">
      <c r="A373" s="373">
        <v>30903</v>
      </c>
      <c r="B373" s="390">
        <f t="shared" si="155"/>
        <v>30.902999999999999</v>
      </c>
      <c r="C373" s="363">
        <f t="shared" si="136"/>
        <v>229.35635573987869</v>
      </c>
      <c r="D373" s="364">
        <f t="shared" si="137"/>
        <v>1.5664362855607754</v>
      </c>
      <c r="E373" s="364">
        <f t="shared" si="138"/>
        <v>1.0267864718489637</v>
      </c>
      <c r="F373" s="365">
        <f t="shared" si="139"/>
        <v>0.22891875692843894</v>
      </c>
      <c r="G373" s="364">
        <f t="shared" si="140"/>
        <v>2.4993148102280709</v>
      </c>
      <c r="H373" s="365">
        <f t="shared" si="141"/>
        <v>-1.1591598282768101</v>
      </c>
      <c r="I373" s="363">
        <f t="shared" si="142"/>
        <v>46759.301220705398</v>
      </c>
      <c r="J373" s="366">
        <f t="shared" si="143"/>
        <v>1.570774940675473</v>
      </c>
      <c r="K373" s="374">
        <f t="shared" si="159"/>
        <v>158.67828285742593</v>
      </c>
      <c r="L373" s="375">
        <f t="shared" si="160"/>
        <v>1.5644942254522527</v>
      </c>
      <c r="M373" s="363">
        <f t="shared" si="144"/>
        <v>1.114816562210339</v>
      </c>
      <c r="N373" s="366">
        <f t="shared" si="145"/>
        <v>0.4578417501823015</v>
      </c>
      <c r="O373" s="367">
        <f t="shared" si="146"/>
        <v>1.0003852745383375</v>
      </c>
      <c r="P373" s="368">
        <f t="shared" si="147"/>
        <v>0.14840685030646242</v>
      </c>
      <c r="Q373" s="369">
        <f t="shared" si="148"/>
        <v>-6.8081431652039157</v>
      </c>
      <c r="R373" s="370">
        <f t="shared" si="149"/>
        <v>-178.14442017866429</v>
      </c>
      <c r="S373" s="372">
        <f t="shared" si="150"/>
        <v>1.8555798213357093</v>
      </c>
      <c r="U373" s="345">
        <f t="shared" si="156"/>
        <v>30903</v>
      </c>
      <c r="V373" s="345">
        <f t="shared" si="157"/>
        <v>954995409</v>
      </c>
      <c r="X373" s="371">
        <f t="shared" si="151"/>
        <v>37.765595683781029</v>
      </c>
      <c r="Y373" s="372">
        <f t="shared" si="152"/>
        <v>-26.592258475329039</v>
      </c>
      <c r="AA373" s="371">
        <f t="shared" si="153"/>
        <v>27.467460977574305</v>
      </c>
      <c r="AB373" s="372">
        <f t="shared" si="154"/>
        <v>-151.55216170333526</v>
      </c>
      <c r="AD373">
        <f t="shared" si="158"/>
        <v>0</v>
      </c>
      <c r="AE373">
        <f t="shared" si="161"/>
        <v>0</v>
      </c>
    </row>
    <row r="374" spans="1:31" x14ac:dyDescent="0.3">
      <c r="A374" s="373">
        <v>31083</v>
      </c>
      <c r="B374" s="390">
        <f t="shared" si="155"/>
        <v>31.082999999999998</v>
      </c>
      <c r="C374" s="363">
        <f t="shared" si="136"/>
        <v>230.69225715723562</v>
      </c>
      <c r="D374" s="364">
        <f t="shared" si="137"/>
        <v>1.5664615340104844</v>
      </c>
      <c r="E374" s="364">
        <f t="shared" si="138"/>
        <v>1.0270952971723608</v>
      </c>
      <c r="F374" s="365">
        <f t="shared" si="139"/>
        <v>0.23020565117750583</v>
      </c>
      <c r="G374" s="364">
        <f t="shared" si="140"/>
        <v>2.5115476755561947</v>
      </c>
      <c r="H374" s="365">
        <f t="shared" si="141"/>
        <v>-1.1612852627673202</v>
      </c>
      <c r="I374" s="363">
        <f t="shared" si="142"/>
        <v>47031.659057028366</v>
      </c>
      <c r="J374" s="366">
        <f t="shared" si="143"/>
        <v>1.5707750645213532</v>
      </c>
      <c r="K374" s="374">
        <f t="shared" si="159"/>
        <v>159.6024960350467</v>
      </c>
      <c r="L374" s="375">
        <f t="shared" si="160"/>
        <v>1.5645307196280602</v>
      </c>
      <c r="M374" s="363">
        <f t="shared" si="144"/>
        <v>1.116088193033413</v>
      </c>
      <c r="N374" s="366">
        <f t="shared" si="145"/>
        <v>0.46014854487478585</v>
      </c>
      <c r="O374" s="367">
        <f t="shared" si="146"/>
        <v>1.0003904400944585</v>
      </c>
      <c r="P374" s="368">
        <f t="shared" si="147"/>
        <v>0.14927695512568229</v>
      </c>
      <c r="Q374" s="369">
        <f t="shared" si="148"/>
        <v>-6.8235154879109716</v>
      </c>
      <c r="R374" s="370">
        <f t="shared" si="149"/>
        <v>-178.37385069287413</v>
      </c>
      <c r="S374" s="372">
        <f t="shared" si="150"/>
        <v>1.6261493071258712</v>
      </c>
      <c r="U374" s="345">
        <f t="shared" si="156"/>
        <v>31083</v>
      </c>
      <c r="V374" s="345">
        <f t="shared" si="157"/>
        <v>966152889</v>
      </c>
      <c r="X374" s="371">
        <f t="shared" si="151"/>
        <v>37.75569165895444</v>
      </c>
      <c r="Y374" s="372">
        <f t="shared" si="152"/>
        <v>-26.722344209155874</v>
      </c>
      <c r="AA374" s="371">
        <f t="shared" si="153"/>
        <v>27.461992679693839</v>
      </c>
      <c r="AB374" s="372">
        <f t="shared" si="154"/>
        <v>-151.65150648371824</v>
      </c>
      <c r="AD374">
        <f t="shared" si="158"/>
        <v>0</v>
      </c>
      <c r="AE374">
        <f t="shared" si="161"/>
        <v>0</v>
      </c>
    </row>
    <row r="375" spans="1:31" x14ac:dyDescent="0.3">
      <c r="A375" s="373">
        <v>31263</v>
      </c>
      <c r="B375" s="390">
        <f t="shared" si="155"/>
        <v>31.263000000000002</v>
      </c>
      <c r="C375" s="363">
        <f t="shared" si="136"/>
        <v>232.02815871996179</v>
      </c>
      <c r="D375" s="364">
        <f t="shared" si="137"/>
        <v>1.5664864917244328</v>
      </c>
      <c r="E375" s="364">
        <f t="shared" si="138"/>
        <v>1.0274058224407787</v>
      </c>
      <c r="F375" s="365">
        <f t="shared" si="139"/>
        <v>0.23149176964826107</v>
      </c>
      <c r="G375" s="364">
        <f t="shared" si="140"/>
        <v>2.5237917767132725</v>
      </c>
      <c r="H375" s="365">
        <f t="shared" si="141"/>
        <v>-1.1633900837244662</v>
      </c>
      <c r="I375" s="363">
        <f t="shared" si="142"/>
        <v>47304.016893352033</v>
      </c>
      <c r="J375" s="366">
        <f t="shared" si="143"/>
        <v>1.5707751869411222</v>
      </c>
      <c r="K375" s="374">
        <f t="shared" si="159"/>
        <v>160.52670942278243</v>
      </c>
      <c r="L375" s="375">
        <f t="shared" si="160"/>
        <v>1.5645667935821843</v>
      </c>
      <c r="M375" s="363">
        <f t="shared" si="144"/>
        <v>1.1173657493621452</v>
      </c>
      <c r="N375" s="366">
        <f t="shared" si="145"/>
        <v>0.46245007677682737</v>
      </c>
      <c r="O375" s="367">
        <f t="shared" si="146"/>
        <v>1.000395651121075</v>
      </c>
      <c r="P375" s="368">
        <f t="shared" si="147"/>
        <v>0.15014715795812741</v>
      </c>
      <c r="Q375" s="369">
        <f t="shared" si="148"/>
        <v>-6.8387854911357717</v>
      </c>
      <c r="R375" s="370">
        <f t="shared" si="149"/>
        <v>-178.60185600479281</v>
      </c>
      <c r="S375" s="372">
        <f t="shared" si="150"/>
        <v>1.3981439952071923</v>
      </c>
      <c r="U375" s="345">
        <f t="shared" si="156"/>
        <v>31263</v>
      </c>
      <c r="V375" s="345">
        <f t="shared" si="157"/>
        <v>977375169</v>
      </c>
      <c r="X375" s="371">
        <f t="shared" si="151"/>
        <v>37.745752881743591</v>
      </c>
      <c r="Y375" s="372">
        <f t="shared" si="152"/>
        <v>-26.852152402520336</v>
      </c>
      <c r="AA375" s="371">
        <f t="shared" si="153"/>
        <v>27.456661453679885</v>
      </c>
      <c r="AB375" s="372">
        <f t="shared" si="154"/>
        <v>-151.74970360227246</v>
      </c>
      <c r="AD375">
        <f t="shared" si="158"/>
        <v>0</v>
      </c>
      <c r="AE375">
        <f t="shared" si="161"/>
        <v>0</v>
      </c>
    </row>
    <row r="376" spans="1:31" x14ac:dyDescent="0.3">
      <c r="A376" s="373">
        <v>31443</v>
      </c>
      <c r="B376" s="390">
        <f t="shared" si="155"/>
        <v>31.443000000000001</v>
      </c>
      <c r="C376" s="363">
        <f t="shared" si="136"/>
        <v>233.36406042556069</v>
      </c>
      <c r="D376" s="364">
        <f t="shared" si="137"/>
        <v>1.566511163695574</v>
      </c>
      <c r="E376" s="364">
        <f t="shared" si="138"/>
        <v>1.0277180461133009</v>
      </c>
      <c r="F376" s="365">
        <f t="shared" si="139"/>
        <v>0.23277710879110641</v>
      </c>
      <c r="G376" s="364">
        <f t="shared" si="140"/>
        <v>2.5360469509586796</v>
      </c>
      <c r="H376" s="365">
        <f t="shared" si="141"/>
        <v>-1.1654745712002723</v>
      </c>
      <c r="I376" s="363">
        <f t="shared" si="142"/>
        <v>47576.374729676427</v>
      </c>
      <c r="J376" s="366">
        <f t="shared" si="143"/>
        <v>1.5707753079592717</v>
      </c>
      <c r="K376" s="374">
        <f t="shared" si="159"/>
        <v>161.45092301702476</v>
      </c>
      <c r="L376" s="375">
        <f t="shared" si="160"/>
        <v>1.5646024545311121</v>
      </c>
      <c r="M376" s="363">
        <f t="shared" si="144"/>
        <v>1.1186492108948172</v>
      </c>
      <c r="N376" s="366">
        <f t="shared" si="145"/>
        <v>0.46474633957875777</v>
      </c>
      <c r="O376" s="367">
        <f t="shared" si="146"/>
        <v>1.0004009078867027</v>
      </c>
      <c r="P376" s="368">
        <f t="shared" si="147"/>
        <v>0.15101745934221661</v>
      </c>
      <c r="Q376" s="369">
        <f t="shared" si="148"/>
        <v>-6.8539553827492448</v>
      </c>
      <c r="R376" s="370">
        <f t="shared" si="149"/>
        <v>-178.82845190693234</v>
      </c>
      <c r="S376" s="372">
        <f t="shared" si="150"/>
        <v>1.1715480930676563</v>
      </c>
      <c r="U376" s="345">
        <f t="shared" si="156"/>
        <v>31443</v>
      </c>
      <c r="V376" s="345">
        <f t="shared" si="157"/>
        <v>988662249</v>
      </c>
      <c r="X376" s="371">
        <f t="shared" si="151"/>
        <v>37.735779641168129</v>
      </c>
      <c r="Y376" s="372">
        <f t="shared" si="152"/>
        <v>-26.981682281834065</v>
      </c>
      <c r="AA376" s="371">
        <f t="shared" si="153"/>
        <v>27.451464802641876</v>
      </c>
      <c r="AB376" s="372">
        <f t="shared" si="154"/>
        <v>-151.84676962509832</v>
      </c>
      <c r="AD376">
        <f t="shared" si="158"/>
        <v>0</v>
      </c>
      <c r="AE376">
        <f t="shared" si="161"/>
        <v>0</v>
      </c>
    </row>
    <row r="377" spans="1:31" x14ac:dyDescent="0.3">
      <c r="A377" s="373">
        <v>31623</v>
      </c>
      <c r="B377" s="390">
        <f t="shared" si="155"/>
        <v>31.623000000000001</v>
      </c>
      <c r="C377" s="363">
        <f t="shared" si="136"/>
        <v>234.69996227159268</v>
      </c>
      <c r="D377" s="364">
        <f t="shared" si="137"/>
        <v>1.5665355548031843</v>
      </c>
      <c r="E377" s="364">
        <f t="shared" si="138"/>
        <v>1.02803196664246</v>
      </c>
      <c r="F377" s="365">
        <f t="shared" si="139"/>
        <v>0.23406166507104442</v>
      </c>
      <c r="G377" s="364">
        <f t="shared" si="140"/>
        <v>2.5483130385365849</v>
      </c>
      <c r="H377" s="365">
        <f t="shared" si="141"/>
        <v>-1.1675390005688697</v>
      </c>
      <c r="I377" s="363">
        <f t="shared" si="142"/>
        <v>47848.73256600149</v>
      </c>
      <c r="J377" s="366">
        <f t="shared" si="143"/>
        <v>1.5707754275997363</v>
      </c>
      <c r="K377" s="374">
        <f t="shared" si="159"/>
        <v>162.3751368142475</v>
      </c>
      <c r="L377" s="375">
        <f t="shared" si="160"/>
        <v>1.5646377095270343</v>
      </c>
      <c r="M377" s="363">
        <f t="shared" si="144"/>
        <v>1.1199385573291485</v>
      </c>
      <c r="N377" s="366">
        <f t="shared" si="145"/>
        <v>0.4670373272220284</v>
      </c>
      <c r="O377" s="367">
        <f t="shared" si="146"/>
        <v>1.0004062106614007</v>
      </c>
      <c r="P377" s="368">
        <f t="shared" si="147"/>
        <v>0.15188785981585509</v>
      </c>
      <c r="Q377" s="369">
        <f t="shared" si="148"/>
        <v>-6.8690273116712897</v>
      </c>
      <c r="R377" s="370">
        <f t="shared" si="149"/>
        <v>-179.05365394017173</v>
      </c>
      <c r="S377" s="372">
        <f t="shared" si="150"/>
        <v>0.94634605982827225</v>
      </c>
      <c r="U377" s="345">
        <f t="shared" si="156"/>
        <v>31623</v>
      </c>
      <c r="V377" s="345">
        <f t="shared" si="157"/>
        <v>1000014129</v>
      </c>
      <c r="X377" s="371">
        <f t="shared" si="151"/>
        <v>37.725772225645137</v>
      </c>
      <c r="Y377" s="372">
        <f t="shared" si="152"/>
        <v>-27.110933097278377</v>
      </c>
      <c r="AA377" s="371">
        <f t="shared" si="153"/>
        <v>27.446400289242824</v>
      </c>
      <c r="AB377" s="372">
        <f t="shared" si="154"/>
        <v>-151.94272084289335</v>
      </c>
      <c r="AD377">
        <f t="shared" si="158"/>
        <v>0</v>
      </c>
      <c r="AE377">
        <f t="shared" si="161"/>
        <v>0</v>
      </c>
    </row>
    <row r="378" spans="1:31" x14ac:dyDescent="0.3">
      <c r="A378" s="373">
        <v>31807</v>
      </c>
      <c r="B378" s="390">
        <f t="shared" si="155"/>
        <v>31.806999999999999</v>
      </c>
      <c r="C378" s="363">
        <f t="shared" si="136"/>
        <v>236.06555096798064</v>
      </c>
      <c r="D378" s="364">
        <f t="shared" si="137"/>
        <v>1.5665602026052505</v>
      </c>
      <c r="E378" s="364">
        <f t="shared" si="138"/>
        <v>1.0283546154027787</v>
      </c>
      <c r="F378" s="365">
        <f t="shared" si="139"/>
        <v>0.23537395422901453</v>
      </c>
      <c r="G378" s="364">
        <f t="shared" si="140"/>
        <v>2.5608628223569991</v>
      </c>
      <c r="H378" s="365">
        <f t="shared" si="141"/>
        <v>-1.1696288564061683</v>
      </c>
      <c r="I378" s="363">
        <f t="shared" si="142"/>
        <v>48127.142798690038</v>
      </c>
      <c r="J378" s="366">
        <f t="shared" si="143"/>
        <v>1.5707755484992838</v>
      </c>
      <c r="K378" s="374">
        <f t="shared" si="159"/>
        <v>163.31988890206142</v>
      </c>
      <c r="L378" s="375">
        <f t="shared" si="160"/>
        <v>1.5646733355581672</v>
      </c>
      <c r="M378" s="363">
        <f t="shared" si="144"/>
        <v>1.1212626172856412</v>
      </c>
      <c r="N378" s="366">
        <f t="shared" si="145"/>
        <v>0.46937376735465969</v>
      </c>
      <c r="O378" s="367">
        <f t="shared" si="146"/>
        <v>1.0004116791124129</v>
      </c>
      <c r="P378" s="368">
        <f t="shared" si="147"/>
        <v>0.152777705498787</v>
      </c>
      <c r="Q378" s="369">
        <f t="shared" si="148"/>
        <v>-6.8843350976378996</v>
      </c>
      <c r="R378" s="370">
        <f t="shared" si="149"/>
        <v>-179.28243571102513</v>
      </c>
      <c r="S378" s="372">
        <f t="shared" si="150"/>
        <v>0.71756428897487012</v>
      </c>
      <c r="U378" s="345">
        <f t="shared" si="156"/>
        <v>31807</v>
      </c>
      <c r="V378" s="345">
        <f t="shared" si="157"/>
        <v>1011685249</v>
      </c>
      <c r="X378" s="371">
        <f t="shared" si="151"/>
        <v>37.715507400220496</v>
      </c>
      <c r="Y378" s="372">
        <f t="shared" si="152"/>
        <v>-27.242766961922865</v>
      </c>
      <c r="AA378" s="371">
        <f t="shared" si="153"/>
        <v>27.441357328700853</v>
      </c>
      <c r="AB378" s="372">
        <f t="shared" si="154"/>
        <v>-152.03966874910225</v>
      </c>
      <c r="AD378">
        <f t="shared" si="158"/>
        <v>0</v>
      </c>
      <c r="AE378">
        <f t="shared" si="161"/>
        <v>0</v>
      </c>
    </row>
    <row r="379" spans="1:31" x14ac:dyDescent="0.3">
      <c r="A379" s="373">
        <v>31991</v>
      </c>
      <c r="B379" s="390">
        <f t="shared" si="155"/>
        <v>31.991</v>
      </c>
      <c r="C379" s="363">
        <f t="shared" si="136"/>
        <v>237.43113980613202</v>
      </c>
      <c r="D379" s="364">
        <f t="shared" si="137"/>
        <v>1.5665845668829088</v>
      </c>
      <c r="E379" s="364">
        <f t="shared" si="138"/>
        <v>1.0286790339827987</v>
      </c>
      <c r="F379" s="365">
        <f t="shared" si="139"/>
        <v>0.23668541792062037</v>
      </c>
      <c r="G379" s="364">
        <f t="shared" si="140"/>
        <v>2.5734236816236193</v>
      </c>
      <c r="H379" s="365">
        <f t="shared" si="141"/>
        <v>-1.1716983200710887</v>
      </c>
      <c r="I379" s="363">
        <f t="shared" si="142"/>
        <v>48405.553031379277</v>
      </c>
      <c r="J379" s="366">
        <f t="shared" si="143"/>
        <v>1.5707756680080953</v>
      </c>
      <c r="K379" s="374">
        <f t="shared" si="159"/>
        <v>164.26464119477887</v>
      </c>
      <c r="L379" s="375">
        <f t="shared" si="160"/>
        <v>1.5647085517899579</v>
      </c>
      <c r="M379" s="363">
        <f t="shared" si="144"/>
        <v>1.1225927837031973</v>
      </c>
      <c r="N379" s="366">
        <f t="shared" si="145"/>
        <v>0.47170468326483389</v>
      </c>
      <c r="O379" s="367">
        <f t="shared" si="146"/>
        <v>1.0004171962156552</v>
      </c>
      <c r="P379" s="368">
        <f t="shared" si="147"/>
        <v>0.15366765585917108</v>
      </c>
      <c r="Q379" s="369">
        <f t="shared" si="148"/>
        <v>-6.899544878266596</v>
      </c>
      <c r="R379" s="370">
        <f t="shared" si="149"/>
        <v>-179.50979303048516</v>
      </c>
      <c r="S379" s="372">
        <f t="shared" si="150"/>
        <v>0.4902069695148441</v>
      </c>
      <c r="U379" s="345">
        <f t="shared" si="156"/>
        <v>31991</v>
      </c>
      <c r="V379" s="345">
        <f t="shared" si="157"/>
        <v>1023424081</v>
      </c>
      <c r="X379" s="371">
        <f t="shared" si="151"/>
        <v>37.705207471535985</v>
      </c>
      <c r="Y379" s="372">
        <f t="shared" si="152"/>
        <v>-27.37430771202461</v>
      </c>
      <c r="AA379" s="371">
        <f t="shared" si="153"/>
        <v>27.436447476756662</v>
      </c>
      <c r="AB379" s="372">
        <f t="shared" si="154"/>
        <v>-152.13548531846055</v>
      </c>
      <c r="AD379">
        <f t="shared" si="158"/>
        <v>0</v>
      </c>
      <c r="AE379">
        <f t="shared" si="161"/>
        <v>0</v>
      </c>
    </row>
    <row r="380" spans="1:31" x14ac:dyDescent="0.3">
      <c r="A380" s="373">
        <v>32175</v>
      </c>
      <c r="B380" s="390">
        <f t="shared" si="155"/>
        <v>32.174999999999997</v>
      </c>
      <c r="C380" s="363">
        <f t="shared" si="136"/>
        <v>238.79672878361487</v>
      </c>
      <c r="D380" s="364">
        <f t="shared" si="137"/>
        <v>1.5666086525002396</v>
      </c>
      <c r="E380" s="364">
        <f t="shared" si="138"/>
        <v>1.0290052207085856</v>
      </c>
      <c r="F380" s="365">
        <f t="shared" si="139"/>
        <v>0.23799605241747804</v>
      </c>
      <c r="G380" s="364">
        <f t="shared" si="140"/>
        <v>2.5859954549473958</v>
      </c>
      <c r="H380" s="365">
        <f t="shared" si="141"/>
        <v>-1.1737476711163133</v>
      </c>
      <c r="I380" s="363">
        <f t="shared" si="142"/>
        <v>48683.963264069214</v>
      </c>
      <c r="J380" s="366">
        <f t="shared" si="143"/>
        <v>1.5707757861500307</v>
      </c>
      <c r="K380" s="374">
        <f t="shared" si="159"/>
        <v>165.2093936888846</v>
      </c>
      <c r="L380" s="375">
        <f t="shared" si="160"/>
        <v>1.5647433652526501</v>
      </c>
      <c r="M380" s="363">
        <f t="shared" si="144"/>
        <v>1.1239290349008859</v>
      </c>
      <c r="N380" s="366">
        <f t="shared" si="145"/>
        <v>0.47403006928275904</v>
      </c>
      <c r="O380" s="367">
        <f t="shared" si="146"/>
        <v>1.0004227622645914</v>
      </c>
      <c r="P380" s="368">
        <f t="shared" si="147"/>
        <v>0.15455771146989031</v>
      </c>
      <c r="Q380" s="369">
        <f t="shared" si="148"/>
        <v>-6.9146587687913632</v>
      </c>
      <c r="R380" s="370">
        <f t="shared" si="149"/>
        <v>-179.73574171458503</v>
      </c>
      <c r="S380" s="372">
        <f t="shared" si="150"/>
        <v>0.26425828541496799</v>
      </c>
      <c r="U380" s="345">
        <f t="shared" si="156"/>
        <v>32175</v>
      </c>
      <c r="V380" s="345">
        <f t="shared" si="157"/>
        <v>1035230625</v>
      </c>
      <c r="X380" s="371">
        <f t="shared" si="151"/>
        <v>37.694872745599397</v>
      </c>
      <c r="Y380" s="372">
        <f t="shared" si="152"/>
        <v>-27.505554621292202</v>
      </c>
      <c r="AA380" s="371">
        <f t="shared" si="153"/>
        <v>27.43166831216849</v>
      </c>
      <c r="AB380" s="372">
        <f t="shared" si="154"/>
        <v>-152.23018709329284</v>
      </c>
      <c r="AD380">
        <f t="shared" si="158"/>
        <v>0</v>
      </c>
      <c r="AE380">
        <f t="shared" si="161"/>
        <v>0</v>
      </c>
    </row>
    <row r="381" spans="1:31" x14ac:dyDescent="0.3">
      <c r="A381" s="373">
        <v>32359</v>
      </c>
      <c r="B381" s="390">
        <f t="shared" si="155"/>
        <v>32.359000000000002</v>
      </c>
      <c r="C381" s="363">
        <f t="shared" si="136"/>
        <v>240.16231789805229</v>
      </c>
      <c r="D381" s="364">
        <f t="shared" si="137"/>
        <v>1.5666324642106939</v>
      </c>
      <c r="E381" s="364">
        <f t="shared" si="138"/>
        <v>1.0293331738992091</v>
      </c>
      <c r="F381" s="365">
        <f t="shared" si="139"/>
        <v>0.23930585400731164</v>
      </c>
      <c r="G381" s="364">
        <f t="shared" si="140"/>
        <v>2.5985779839235592</v>
      </c>
      <c r="H381" s="365">
        <f t="shared" si="141"/>
        <v>-1.1757771843628835</v>
      </c>
      <c r="I381" s="363">
        <f t="shared" si="142"/>
        <v>48962.373496759807</v>
      </c>
      <c r="J381" s="366">
        <f t="shared" si="143"/>
        <v>1.570775902948407</v>
      </c>
      <c r="K381" s="374">
        <f t="shared" si="159"/>
        <v>166.15414638094333</v>
      </c>
      <c r="L381" s="375">
        <f t="shared" si="160"/>
        <v>1.5647777828165956</v>
      </c>
      <c r="M381" s="363">
        <f t="shared" si="144"/>
        <v>1.125271349201816</v>
      </c>
      <c r="N381" s="366">
        <f t="shared" si="145"/>
        <v>0.47634992000473086</v>
      </c>
      <c r="O381" s="367">
        <f t="shared" si="146"/>
        <v>1.0004283775543681</v>
      </c>
      <c r="P381" s="368">
        <f t="shared" si="147"/>
        <v>0.15544787290325249</v>
      </c>
      <c r="Q381" s="369">
        <f t="shared" si="148"/>
        <v>-6.9296788272118937</v>
      </c>
      <c r="R381" s="370">
        <f t="shared" si="149"/>
        <v>-179.9602973253362</v>
      </c>
      <c r="S381" s="372">
        <f t="shared" si="150"/>
        <v>3.9702674663800508E-2</v>
      </c>
      <c r="U381" s="345">
        <f t="shared" si="156"/>
        <v>32359</v>
      </c>
      <c r="V381" s="345">
        <f t="shared" si="157"/>
        <v>1047104881</v>
      </c>
      <c r="X381" s="371">
        <f t="shared" si="151"/>
        <v>37.684503527683979</v>
      </c>
      <c r="Y381" s="372">
        <f t="shared" si="152"/>
        <v>-27.636506987810023</v>
      </c>
      <c r="AA381" s="371">
        <f t="shared" si="153"/>
        <v>27.427017471663376</v>
      </c>
      <c r="AB381" s="372">
        <f t="shared" si="154"/>
        <v>-152.32379033752616</v>
      </c>
      <c r="AD381">
        <f t="shared" si="158"/>
        <v>0</v>
      </c>
      <c r="AE381">
        <f t="shared" si="161"/>
        <v>0</v>
      </c>
    </row>
    <row r="382" spans="1:31" x14ac:dyDescent="0.3">
      <c r="A382" s="373">
        <v>32547.5</v>
      </c>
      <c r="B382" s="390">
        <f t="shared" si="155"/>
        <v>32.547499999999999</v>
      </c>
      <c r="C382" s="363">
        <f t="shared" si="136"/>
        <v>241.56130471194524</v>
      </c>
      <c r="D382" s="364">
        <f t="shared" si="137"/>
        <v>1.5666565790921343</v>
      </c>
      <c r="E382" s="364">
        <f t="shared" si="138"/>
        <v>1.0296709777150403</v>
      </c>
      <c r="F382" s="365">
        <f t="shared" si="139"/>
        <v>0.24064682121310674</v>
      </c>
      <c r="G382" s="364">
        <f t="shared" si="140"/>
        <v>2.6114792286985993</v>
      </c>
      <c r="H382" s="365">
        <f t="shared" si="141"/>
        <v>-1.1778360433946158</v>
      </c>
      <c r="I382" s="363">
        <f t="shared" si="142"/>
        <v>49247.592675359287</v>
      </c>
      <c r="J382" s="366">
        <f t="shared" si="143"/>
        <v>1.5707760212338377</v>
      </c>
      <c r="K382" s="374">
        <f t="shared" si="159"/>
        <v>167.12200463951791</v>
      </c>
      <c r="L382" s="375">
        <f t="shared" si="160"/>
        <v>1.5648126385929588</v>
      </c>
      <c r="M382" s="363">
        <f t="shared" si="144"/>
        <v>1.126652756525355</v>
      </c>
      <c r="N382" s="366">
        <f t="shared" si="145"/>
        <v>0.47872076082228965</v>
      </c>
      <c r="O382" s="367">
        <f t="shared" si="146"/>
        <v>1.0004341815468856</v>
      </c>
      <c r="P382" s="368">
        <f t="shared" si="147"/>
        <v>0.15635991492313561</v>
      </c>
      <c r="Q382" s="369">
        <f t="shared" si="148"/>
        <v>-6.9449710147073498</v>
      </c>
      <c r="R382" s="370">
        <f t="shared" si="149"/>
        <v>-180.18891619790062</v>
      </c>
      <c r="S382" s="372">
        <f t="shared" si="150"/>
        <v>-0.18891619790062464</v>
      </c>
      <c r="U382" s="345">
        <f t="shared" si="156"/>
        <v>32547.5</v>
      </c>
      <c r="V382" s="345">
        <f t="shared" si="157"/>
        <v>1059339756.25</v>
      </c>
      <c r="X382" s="371">
        <f t="shared" si="151"/>
        <v>37.673845265492382</v>
      </c>
      <c r="Y382" s="372">
        <f t="shared" si="152"/>
        <v>-27.770355849085124</v>
      </c>
      <c r="AA382" s="371">
        <f t="shared" si="153"/>
        <v>27.422383546359516</v>
      </c>
      <c r="AB382" s="372">
        <f t="shared" si="154"/>
        <v>-152.41856034881548</v>
      </c>
      <c r="AD382">
        <f t="shared" si="158"/>
        <v>0</v>
      </c>
      <c r="AE382">
        <f t="shared" si="161"/>
        <v>0</v>
      </c>
    </row>
    <row r="383" spans="1:31" x14ac:dyDescent="0.3">
      <c r="A383" s="373">
        <v>32736</v>
      </c>
      <c r="B383" s="390">
        <f t="shared" si="155"/>
        <v>32.735999999999997</v>
      </c>
      <c r="C383" s="363">
        <f t="shared" si="136"/>
        <v>242.96029166469498</v>
      </c>
      <c r="D383" s="364">
        <f t="shared" si="137"/>
        <v>1.5666804162623273</v>
      </c>
      <c r="E383" s="364">
        <f t="shared" si="138"/>
        <v>1.0300106318616511</v>
      </c>
      <c r="F383" s="365">
        <f t="shared" si="139"/>
        <v>0.24198690643824372</v>
      </c>
      <c r="G383" s="364">
        <f t="shared" si="140"/>
        <v>2.6243914344110078</v>
      </c>
      <c r="H383" s="365">
        <f t="shared" si="141"/>
        <v>-1.179874651510662</v>
      </c>
      <c r="I383" s="363">
        <f t="shared" si="142"/>
        <v>49532.811853959436</v>
      </c>
      <c r="J383" s="366">
        <f t="shared" si="143"/>
        <v>1.5707761381570495</v>
      </c>
      <c r="K383" s="374">
        <f t="shared" si="159"/>
        <v>168.08986309879501</v>
      </c>
      <c r="L383" s="375">
        <f t="shared" si="160"/>
        <v>1.5648470929714757</v>
      </c>
      <c r="M383" s="363">
        <f t="shared" si="144"/>
        <v>1.1280404811047082</v>
      </c>
      <c r="N383" s="366">
        <f t="shared" si="145"/>
        <v>0.48108578165084104</v>
      </c>
      <c r="O383" s="367">
        <f t="shared" si="146"/>
        <v>1.000440037850727</v>
      </c>
      <c r="P383" s="368">
        <f t="shared" si="147"/>
        <v>0.15727206921917516</v>
      </c>
      <c r="Q383" s="369">
        <f t="shared" si="148"/>
        <v>-6.9601689199554952</v>
      </c>
      <c r="R383" s="370">
        <f t="shared" si="149"/>
        <v>-180.41610529304629</v>
      </c>
      <c r="S383" s="372">
        <f t="shared" si="150"/>
        <v>-0.41610529304628585</v>
      </c>
      <c r="U383" s="345">
        <f t="shared" si="156"/>
        <v>32736</v>
      </c>
      <c r="V383" s="345">
        <f t="shared" si="157"/>
        <v>1071645696</v>
      </c>
      <c r="X383" s="371">
        <f t="shared" si="151"/>
        <v>37.663151449752043</v>
      </c>
      <c r="Y383" s="372">
        <f t="shared" si="152"/>
        <v>-27.903894169906032</v>
      </c>
      <c r="AA383" s="371">
        <f t="shared" si="153"/>
        <v>27.417879456851711</v>
      </c>
      <c r="AB383" s="372">
        <f t="shared" si="154"/>
        <v>-152.51221112314025</v>
      </c>
      <c r="AD383">
        <f t="shared" si="158"/>
        <v>0</v>
      </c>
      <c r="AE383">
        <f t="shared" si="161"/>
        <v>0</v>
      </c>
    </row>
    <row r="384" spans="1:31" x14ac:dyDescent="0.3">
      <c r="A384" s="373">
        <v>32924.5</v>
      </c>
      <c r="B384" s="390">
        <f t="shared" si="155"/>
        <v>32.924500000000002</v>
      </c>
      <c r="C384" s="363">
        <f t="shared" si="136"/>
        <v>244.35927875391664</v>
      </c>
      <c r="D384" s="364">
        <f t="shared" si="137"/>
        <v>1.5667039804910392</v>
      </c>
      <c r="E384" s="364">
        <f t="shared" si="138"/>
        <v>1.0303521345091637</v>
      </c>
      <c r="F384" s="365">
        <f t="shared" si="139"/>
        <v>0.24332610574421668</v>
      </c>
      <c r="G384" s="364">
        <f t="shared" si="140"/>
        <v>2.6373144400676103</v>
      </c>
      <c r="H384" s="365">
        <f t="shared" si="141"/>
        <v>-1.1818932893331895</v>
      </c>
      <c r="I384" s="363">
        <f t="shared" si="142"/>
        <v>49818.03103256027</v>
      </c>
      <c r="J384" s="366">
        <f t="shared" si="143"/>
        <v>1.5707762537414391</v>
      </c>
      <c r="K384" s="374">
        <f t="shared" si="159"/>
        <v>169.05772175532752</v>
      </c>
      <c r="L384" s="375">
        <f t="shared" si="160"/>
        <v>1.5648811528460946</v>
      </c>
      <c r="M384" s="363">
        <f t="shared" si="144"/>
        <v>1.1294344996540335</v>
      </c>
      <c r="N384" s="366">
        <f t="shared" si="145"/>
        <v>0.48344497753543875</v>
      </c>
      <c r="O384" s="367">
        <f t="shared" si="146"/>
        <v>1.0004459467887235</v>
      </c>
      <c r="P384" s="368">
        <f t="shared" si="147"/>
        <v>0.15818433640480317</v>
      </c>
      <c r="Q384" s="369">
        <f t="shared" si="148"/>
        <v>-6.9752745795307156</v>
      </c>
      <c r="R384" s="370">
        <f t="shared" si="149"/>
        <v>-180.6418805457823</v>
      </c>
      <c r="S384" s="372">
        <f t="shared" si="150"/>
        <v>-0.64188054578229981</v>
      </c>
      <c r="U384" s="345">
        <f t="shared" si="156"/>
        <v>32924.5</v>
      </c>
      <c r="V384" s="345">
        <f t="shared" si="157"/>
        <v>1084022700.25</v>
      </c>
      <c r="X384" s="371">
        <f t="shared" si="151"/>
        <v>37.652422406167531</v>
      </c>
      <c r="Y384" s="372">
        <f t="shared" si="152"/>
        <v>-28.037121272721638</v>
      </c>
      <c r="AA384" s="371">
        <f t="shared" si="153"/>
        <v>27.413502840861</v>
      </c>
      <c r="AB384" s="372">
        <f t="shared" si="154"/>
        <v>-152.60475927306067</v>
      </c>
      <c r="AD384">
        <f t="shared" si="158"/>
        <v>0</v>
      </c>
      <c r="AE384">
        <f t="shared" si="161"/>
        <v>0</v>
      </c>
    </row>
    <row r="385" spans="1:31" x14ac:dyDescent="0.3">
      <c r="A385" s="373">
        <v>33113</v>
      </c>
      <c r="B385" s="390">
        <f t="shared" si="155"/>
        <v>33.113</v>
      </c>
      <c r="C385" s="363">
        <f t="shared" si="136"/>
        <v>245.75826597727959</v>
      </c>
      <c r="D385" s="364">
        <f t="shared" si="137"/>
        <v>1.5667272764394296</v>
      </c>
      <c r="E385" s="364">
        <f t="shared" si="138"/>
        <v>1.0306954838201747</v>
      </c>
      <c r="F385" s="365">
        <f t="shared" si="139"/>
        <v>0.24466441521043608</v>
      </c>
      <c r="G385" s="364">
        <f t="shared" si="140"/>
        <v>2.6502480876819878</v>
      </c>
      <c r="H385" s="365">
        <f t="shared" si="141"/>
        <v>-1.1838922326643362</v>
      </c>
      <c r="I385" s="363">
        <f t="shared" si="142"/>
        <v>50103.25021116175</v>
      </c>
      <c r="J385" s="366">
        <f t="shared" si="143"/>
        <v>1.5707763680098707</v>
      </c>
      <c r="K385" s="374">
        <f t="shared" si="159"/>
        <v>170.02558060574691</v>
      </c>
      <c r="L385" s="375">
        <f t="shared" si="160"/>
        <v>1.5649148249537939</v>
      </c>
      <c r="M385" s="363">
        <f t="shared" si="144"/>
        <v>1.1308347888969581</v>
      </c>
      <c r="N385" s="366">
        <f t="shared" si="145"/>
        <v>0.48579834380487641</v>
      </c>
      <c r="O385" s="367">
        <f t="shared" si="146"/>
        <v>1.0004519086855606</v>
      </c>
      <c r="P385" s="368">
        <f t="shared" si="147"/>
        <v>0.15909671709280221</v>
      </c>
      <c r="Q385" s="369">
        <f t="shared" si="148"/>
        <v>-6.9902899740239839</v>
      </c>
      <c r="R385" s="370">
        <f t="shared" si="149"/>
        <v>-180.86625763288419</v>
      </c>
      <c r="S385" s="372">
        <f t="shared" si="150"/>
        <v>-0.86625763288418511</v>
      </c>
      <c r="U385" s="345">
        <f t="shared" si="156"/>
        <v>33113</v>
      </c>
      <c r="V385" s="345">
        <f t="shared" si="157"/>
        <v>1096470769</v>
      </c>
      <c r="X385" s="371">
        <f t="shared" si="151"/>
        <v>37.641658459554236</v>
      </c>
      <c r="Y385" s="372">
        <f t="shared" si="152"/>
        <v>-28.170036505201132</v>
      </c>
      <c r="AA385" s="371">
        <f t="shared" si="153"/>
        <v>27.409251392981034</v>
      </c>
      <c r="AB385" s="372">
        <f t="shared" si="154"/>
        <v>-152.696221127683</v>
      </c>
      <c r="AD385">
        <f t="shared" si="158"/>
        <v>0</v>
      </c>
      <c r="AE385">
        <f t="shared" si="161"/>
        <v>0</v>
      </c>
    </row>
    <row r="386" spans="1:31" x14ac:dyDescent="0.3">
      <c r="A386" s="373">
        <v>33305.75</v>
      </c>
      <c r="B386" s="390">
        <f t="shared" si="155"/>
        <v>33.305750000000003</v>
      </c>
      <c r="C386" s="363">
        <f t="shared" si="136"/>
        <v>247.18879548923252</v>
      </c>
      <c r="D386" s="364">
        <f t="shared" si="137"/>
        <v>1.5667508249520365</v>
      </c>
      <c r="E386" s="364">
        <f t="shared" si="138"/>
        <v>1.0310484820928594</v>
      </c>
      <c r="F386" s="365">
        <f t="shared" si="139"/>
        <v>0.24603197453695694</v>
      </c>
      <c r="G386" s="364">
        <f t="shared" si="140"/>
        <v>2.66348418578839</v>
      </c>
      <c r="H386" s="365">
        <f t="shared" si="141"/>
        <v>-1.1859161618443403</v>
      </c>
      <c r="I386" s="363">
        <f t="shared" si="142"/>
        <v>50394.900060899483</v>
      </c>
      <c r="J386" s="366">
        <f t="shared" si="143"/>
        <v>1.5707764835171274</v>
      </c>
      <c r="K386" s="374">
        <f t="shared" si="159"/>
        <v>171.01526140449934</v>
      </c>
      <c r="L386" s="375">
        <f t="shared" si="160"/>
        <v>1.5649488621264387</v>
      </c>
      <c r="M386" s="363">
        <f t="shared" si="144"/>
        <v>1.132273109768803</v>
      </c>
      <c r="N386" s="366">
        <f t="shared" si="145"/>
        <v>0.48819873723230411</v>
      </c>
      <c r="O386" s="367">
        <f t="shared" si="146"/>
        <v>1.0004580601053854</v>
      </c>
      <c r="P386" s="368">
        <f t="shared" si="147"/>
        <v>0.16002978670573809</v>
      </c>
      <c r="Q386" s="369">
        <f t="shared" si="148"/>
        <v>-7.0055525776837797</v>
      </c>
      <c r="R386" s="370">
        <f t="shared" si="149"/>
        <v>-181.09426388104998</v>
      </c>
      <c r="S386" s="372">
        <f t="shared" si="150"/>
        <v>-1.094263881049983</v>
      </c>
      <c r="U386" s="345">
        <f t="shared" si="156"/>
        <v>33305.75</v>
      </c>
      <c r="V386" s="345">
        <f t="shared" si="157"/>
        <v>1109272983.0625</v>
      </c>
      <c r="X386" s="371">
        <f t="shared" si="151"/>
        <v>37.630616069637291</v>
      </c>
      <c r="Y386" s="372">
        <f t="shared" si="152"/>
        <v>-28.305625349657817</v>
      </c>
      <c r="AA386" s="371">
        <f t="shared" si="153"/>
        <v>27.405031179238183</v>
      </c>
      <c r="AB386" s="372">
        <f t="shared" si="154"/>
        <v>-152.78863853139214</v>
      </c>
      <c r="AD386">
        <f t="shared" si="158"/>
        <v>0</v>
      </c>
      <c r="AE386">
        <f t="shared" si="161"/>
        <v>0</v>
      </c>
    </row>
    <row r="387" spans="1:31" x14ac:dyDescent="0.3">
      <c r="A387" s="373">
        <v>33498.5</v>
      </c>
      <c r="B387" s="390">
        <f t="shared" si="155"/>
        <v>33.4985</v>
      </c>
      <c r="C387" s="363">
        <f t="shared" si="136"/>
        <v>248.61932513668228</v>
      </c>
      <c r="D387" s="364">
        <f t="shared" si="137"/>
        <v>1.5667741024732886</v>
      </c>
      <c r="E387" s="364">
        <f t="shared" si="138"/>
        <v>1.0314034073294851</v>
      </c>
      <c r="F387" s="365">
        <f t="shared" si="139"/>
        <v>0.24739859521232188</v>
      </c>
      <c r="G387" s="364">
        <f t="shared" si="140"/>
        <v>2.6767310863695846</v>
      </c>
      <c r="H387" s="365">
        <f t="shared" si="141"/>
        <v>-1.1879200666796523</v>
      </c>
      <c r="I387" s="363">
        <f t="shared" si="142"/>
        <v>50686.549910637885</v>
      </c>
      <c r="J387" s="366">
        <f t="shared" si="143"/>
        <v>1.5707765976951289</v>
      </c>
      <c r="K387" s="374">
        <f t="shared" si="159"/>
        <v>172.00494239909801</v>
      </c>
      <c r="L387" s="375">
        <f t="shared" si="160"/>
        <v>1.5649825076133668</v>
      </c>
      <c r="M387" s="363">
        <f t="shared" si="144"/>
        <v>1.1337179380965166</v>
      </c>
      <c r="N387" s="366">
        <f t="shared" si="145"/>
        <v>0.49059302622634698</v>
      </c>
      <c r="O387" s="367">
        <f t="shared" si="146"/>
        <v>1.0004642675916042</v>
      </c>
      <c r="P387" s="368">
        <f t="shared" si="147"/>
        <v>0.16096297629069015</v>
      </c>
      <c r="Q387" s="369">
        <f t="shared" si="148"/>
        <v>-7.0207248164396088</v>
      </c>
      <c r="R387" s="370">
        <f t="shared" si="149"/>
        <v>-181.32084055426321</v>
      </c>
      <c r="S387" s="372">
        <f t="shared" si="150"/>
        <v>-1.3208405542632136</v>
      </c>
      <c r="U387" s="345">
        <f t="shared" si="156"/>
        <v>33498.5</v>
      </c>
      <c r="V387" s="345">
        <f t="shared" si="157"/>
        <v>1122149502.25</v>
      </c>
      <c r="X387" s="371">
        <f t="shared" si="151"/>
        <v>37.619537869056366</v>
      </c>
      <c r="Y387" s="372">
        <f t="shared" si="152"/>
        <v>-28.440886801622614</v>
      </c>
      <c r="AA387" s="371">
        <f t="shared" si="153"/>
        <v>27.400937141063274</v>
      </c>
      <c r="AB387" s="372">
        <f t="shared" si="154"/>
        <v>-152.8799537526406</v>
      </c>
      <c r="AD387">
        <f t="shared" si="158"/>
        <v>0</v>
      </c>
      <c r="AE387">
        <f t="shared" si="161"/>
        <v>0</v>
      </c>
    </row>
    <row r="388" spans="1:31" x14ac:dyDescent="0.3">
      <c r="A388" s="373">
        <v>33691.25</v>
      </c>
      <c r="B388" s="390">
        <f t="shared" si="155"/>
        <v>33.691249999999997</v>
      </c>
      <c r="C388" s="363">
        <f t="shared" si="136"/>
        <v>250.04985491730329</v>
      </c>
      <c r="D388" s="364">
        <f t="shared" si="137"/>
        <v>1.5667971136541679</v>
      </c>
      <c r="E388" s="364">
        <f t="shared" si="138"/>
        <v>1.0317602575414271</v>
      </c>
      <c r="F388" s="365">
        <f t="shared" si="139"/>
        <v>0.2487642731031183</v>
      </c>
      <c r="G388" s="364">
        <f t="shared" si="140"/>
        <v>2.6899886298345939</v>
      </c>
      <c r="H388" s="365">
        <f t="shared" si="141"/>
        <v>-1.1899042270249545</v>
      </c>
      <c r="I388" s="363">
        <f t="shared" si="142"/>
        <v>50978.199760376927</v>
      </c>
      <c r="J388" s="366">
        <f t="shared" si="143"/>
        <v>1.5707767105666899</v>
      </c>
      <c r="K388" s="374">
        <f t="shared" si="159"/>
        <v>172.9946235861816</v>
      </c>
      <c r="L388" s="375">
        <f t="shared" si="160"/>
        <v>1.5650157681368606</v>
      </c>
      <c r="M388" s="363">
        <f t="shared" si="144"/>
        <v>1.1351692490322891</v>
      </c>
      <c r="N388" s="366">
        <f t="shared" si="145"/>
        <v>0.49298120669730455</v>
      </c>
      <c r="O388" s="367">
        <f t="shared" si="146"/>
        <v>1.0004705314973739</v>
      </c>
      <c r="P388" s="368">
        <f t="shared" si="147"/>
        <v>0.16189628650069748</v>
      </c>
      <c r="Q388" s="369">
        <f t="shared" si="148"/>
        <v>-7.0358086368356787</v>
      </c>
      <c r="R388" s="370">
        <f t="shared" si="149"/>
        <v>-181.54600360956732</v>
      </c>
      <c r="S388" s="372">
        <f t="shared" si="150"/>
        <v>-1.5460036095673217</v>
      </c>
      <c r="U388" s="345">
        <f t="shared" si="156"/>
        <v>33691.25</v>
      </c>
      <c r="V388" s="345">
        <f t="shared" si="157"/>
        <v>1135100326.5625</v>
      </c>
      <c r="X388" s="371">
        <f t="shared" si="151"/>
        <v>37.608424202087164</v>
      </c>
      <c r="Y388" s="372">
        <f t="shared" si="152"/>
        <v>-28.575820242921711</v>
      </c>
      <c r="AA388" s="371">
        <f t="shared" si="153"/>
        <v>27.396966987636411</v>
      </c>
      <c r="AB388" s="372">
        <f t="shared" si="154"/>
        <v>-152.97018336664564</v>
      </c>
      <c r="AD388">
        <f t="shared" si="158"/>
        <v>0</v>
      </c>
      <c r="AE388">
        <f t="shared" si="161"/>
        <v>0</v>
      </c>
    </row>
    <row r="389" spans="1:31" x14ac:dyDescent="0.3">
      <c r="A389" s="373">
        <v>33884</v>
      </c>
      <c r="B389" s="390">
        <f t="shared" si="155"/>
        <v>33.884</v>
      </c>
      <c r="C389" s="363">
        <f t="shared" si="136"/>
        <v>251.48038482882291</v>
      </c>
      <c r="D389" s="364">
        <f t="shared" si="137"/>
        <v>1.5668198630398293</v>
      </c>
      <c r="E389" s="364">
        <f t="shared" si="138"/>
        <v>1.032119030732032</v>
      </c>
      <c r="F389" s="365">
        <f t="shared" si="139"/>
        <v>0.25012900409570166</v>
      </c>
      <c r="G389" s="364">
        <f t="shared" si="140"/>
        <v>2.7032566595961871</v>
      </c>
      <c r="H389" s="365">
        <f t="shared" si="141"/>
        <v>-1.1918689178691275</v>
      </c>
      <c r="I389" s="363">
        <f t="shared" si="142"/>
        <v>51269.849610116624</v>
      </c>
      <c r="J389" s="366">
        <f t="shared" si="143"/>
        <v>1.5707768221541054</v>
      </c>
      <c r="K389" s="374">
        <f t="shared" si="159"/>
        <v>173.98430496246544</v>
      </c>
      <c r="L389" s="375">
        <f t="shared" si="160"/>
        <v>1.5650486502662511</v>
      </c>
      <c r="M389" s="363">
        <f t="shared" si="144"/>
        <v>1.1366270177440174</v>
      </c>
      <c r="N389" s="366">
        <f t="shared" si="145"/>
        <v>0.49536327485503034</v>
      </c>
      <c r="O389" s="367">
        <f t="shared" si="146"/>
        <v>1.0004768521778766</v>
      </c>
      <c r="P389" s="368">
        <f t="shared" si="147"/>
        <v>0.16282971798807153</v>
      </c>
      <c r="Q389" s="369">
        <f t="shared" si="148"/>
        <v>-7.0508059311359386</v>
      </c>
      <c r="R389" s="370">
        <f t="shared" si="149"/>
        <v>-181.7697687438752</v>
      </c>
      <c r="S389" s="372">
        <f t="shared" si="150"/>
        <v>-1.7697687438752041</v>
      </c>
      <c r="U389" s="345">
        <f t="shared" si="156"/>
        <v>33884</v>
      </c>
      <c r="V389" s="345">
        <f t="shared" si="157"/>
        <v>1148125456</v>
      </c>
      <c r="X389" s="371">
        <f t="shared" si="151"/>
        <v>37.597275411950427</v>
      </c>
      <c r="Y389" s="372">
        <f t="shared" si="152"/>
        <v>-28.710425081278192</v>
      </c>
      <c r="AA389" s="371">
        <f t="shared" si="153"/>
        <v>27.393118483472882</v>
      </c>
      <c r="AB389" s="372">
        <f t="shared" si="154"/>
        <v>-153.05934366259697</v>
      </c>
      <c r="AD389">
        <f t="shared" si="158"/>
        <v>0</v>
      </c>
      <c r="AE389">
        <f t="shared" si="161"/>
        <v>0</v>
      </c>
    </row>
    <row r="390" spans="1:31" x14ac:dyDescent="0.3">
      <c r="A390" s="373">
        <v>34081.5</v>
      </c>
      <c r="B390" s="390">
        <f t="shared" si="155"/>
        <v>34.081499999999998</v>
      </c>
      <c r="C390" s="363">
        <f t="shared" si="136"/>
        <v>252.94616788069575</v>
      </c>
      <c r="D390" s="364">
        <f t="shared" si="137"/>
        <v>1.5668429061390088</v>
      </c>
      <c r="E390" s="364">
        <f t="shared" si="138"/>
        <v>1.0324886378342775</v>
      </c>
      <c r="F390" s="365">
        <f t="shared" si="139"/>
        <v>0.25152638012237599</v>
      </c>
      <c r="G390" s="364">
        <f t="shared" si="140"/>
        <v>2.7168623741045943</v>
      </c>
      <c r="H390" s="365">
        <f t="shared" si="141"/>
        <v>-1.1938621126793372</v>
      </c>
      <c r="I390" s="363">
        <f t="shared" si="142"/>
        <v>51568.686680537969</v>
      </c>
      <c r="J390" s="366">
        <f t="shared" si="143"/>
        <v>1.5707769351821868</v>
      </c>
      <c r="K390" s="374">
        <f t="shared" si="159"/>
        <v>174.99837556685696</v>
      </c>
      <c r="L390" s="375">
        <f t="shared" si="160"/>
        <v>1.5650819569379271</v>
      </c>
      <c r="M390" s="363">
        <f t="shared" si="144"/>
        <v>1.1381273832142922</v>
      </c>
      <c r="N390" s="366">
        <f t="shared" si="145"/>
        <v>0.49779770131937201</v>
      </c>
      <c r="O390" s="367">
        <f t="shared" si="146"/>
        <v>1.0004833878851607</v>
      </c>
      <c r="P390" s="368">
        <f t="shared" si="147"/>
        <v>0.16378627880524291</v>
      </c>
      <c r="Q390" s="369">
        <f t="shared" si="148"/>
        <v>-7.0660849812568376</v>
      </c>
      <c r="R390" s="370">
        <f t="shared" si="149"/>
        <v>-181.99761432204522</v>
      </c>
      <c r="S390" s="372">
        <f t="shared" si="150"/>
        <v>-1.9976143220452229</v>
      </c>
      <c r="U390" s="345">
        <f t="shared" si="156"/>
        <v>34081.5</v>
      </c>
      <c r="V390" s="345">
        <f t="shared" si="157"/>
        <v>1161548642.25</v>
      </c>
      <c r="X390" s="371">
        <f t="shared" si="151"/>
        <v>37.585815804252469</v>
      </c>
      <c r="Y390" s="372">
        <f t="shared" si="152"/>
        <v>-28.848005587692512</v>
      </c>
      <c r="AA390" s="371">
        <f t="shared" si="153"/>
        <v>27.389299041049938</v>
      </c>
      <c r="AB390" s="372">
        <f t="shared" si="154"/>
        <v>-153.14960873435271</v>
      </c>
      <c r="AD390">
        <f t="shared" si="158"/>
        <v>0</v>
      </c>
      <c r="AE390">
        <f t="shared" si="161"/>
        <v>0</v>
      </c>
    </row>
    <row r="391" spans="1:31" x14ac:dyDescent="0.3">
      <c r="A391" s="373">
        <v>34279</v>
      </c>
      <c r="B391" s="390">
        <f t="shared" si="155"/>
        <v>34.279000000000003</v>
      </c>
      <c r="C391" s="363">
        <f t="shared" si="136"/>
        <v>254.41195106533138</v>
      </c>
      <c r="D391" s="364">
        <f t="shared" si="137"/>
        <v>1.56686568371461</v>
      </c>
      <c r="E391" s="364">
        <f t="shared" si="138"/>
        <v>1.0328602595903285</v>
      </c>
      <c r="F391" s="365">
        <f t="shared" si="139"/>
        <v>0.25292275332596681</v>
      </c>
      <c r="G391" s="364">
        <f t="shared" si="140"/>
        <v>2.730478774641238</v>
      </c>
      <c r="H391" s="365">
        <f t="shared" si="141"/>
        <v>-1.1958354358649377</v>
      </c>
      <c r="I391" s="363">
        <f t="shared" si="142"/>
        <v>51867.523750959976</v>
      </c>
      <c r="J391" s="366">
        <f t="shared" si="143"/>
        <v>1.5707770469078355</v>
      </c>
      <c r="K391" s="374">
        <f t="shared" si="159"/>
        <v>176.01244636314325</v>
      </c>
      <c r="L391" s="375">
        <f t="shared" si="160"/>
        <v>1.5651148798262902</v>
      </c>
      <c r="M391" s="363">
        <f t="shared" si="144"/>
        <v>1.1396344759359565</v>
      </c>
      <c r="N391" s="366">
        <f t="shared" si="145"/>
        <v>0.50022570339907668</v>
      </c>
      <c r="O391" s="367">
        <f t="shared" si="146"/>
        <v>1.0004899839614096</v>
      </c>
      <c r="P391" s="368">
        <f t="shared" si="147"/>
        <v>0.16474296833501526</v>
      </c>
      <c r="Q391" s="369">
        <f t="shared" si="148"/>
        <v>-7.0812770426462892</v>
      </c>
      <c r="R391" s="370">
        <f t="shared" si="149"/>
        <v>-182.22402478324466</v>
      </c>
      <c r="S391" s="372">
        <f t="shared" si="150"/>
        <v>-2.2240247832446585</v>
      </c>
      <c r="U391" s="345">
        <f t="shared" si="156"/>
        <v>34279</v>
      </c>
      <c r="V391" s="345">
        <f t="shared" si="157"/>
        <v>1175049841</v>
      </c>
      <c r="X391" s="371">
        <f t="shared" si="151"/>
        <v>37.574320047043571</v>
      </c>
      <c r="Y391" s="372">
        <f t="shared" si="152"/>
        <v>-28.985239918520929</v>
      </c>
      <c r="AA391" s="371">
        <f t="shared" si="153"/>
        <v>27.385602736869387</v>
      </c>
      <c r="AB391" s="372">
        <f t="shared" si="154"/>
        <v>-153.23878486472373</v>
      </c>
      <c r="AD391">
        <f t="shared" si="158"/>
        <v>0</v>
      </c>
      <c r="AE391">
        <f t="shared" si="161"/>
        <v>0</v>
      </c>
    </row>
    <row r="392" spans="1:31" x14ac:dyDescent="0.3">
      <c r="A392" s="373">
        <v>34476.5</v>
      </c>
      <c r="B392" s="390">
        <f t="shared" si="155"/>
        <v>34.476500000000001</v>
      </c>
      <c r="C392" s="363">
        <f t="shared" si="136"/>
        <v>255.87773438044832</v>
      </c>
      <c r="D392" s="364">
        <f t="shared" si="137"/>
        <v>1.5668882003297266</v>
      </c>
      <c r="E392" s="364">
        <f t="shared" si="138"/>
        <v>1.0332338938263623</v>
      </c>
      <c r="F392" s="365">
        <f t="shared" si="139"/>
        <v>0.25431811934601578</v>
      </c>
      <c r="G392" s="364">
        <f t="shared" si="140"/>
        <v>2.7441057021321758</v>
      </c>
      <c r="H392" s="365">
        <f t="shared" si="141"/>
        <v>-1.1977891679831993</v>
      </c>
      <c r="I392" s="363">
        <f t="shared" si="142"/>
        <v>52166.360821382616</v>
      </c>
      <c r="J392" s="366">
        <f t="shared" si="143"/>
        <v>1.5707771573534344</v>
      </c>
      <c r="K392" s="374">
        <f t="shared" si="159"/>
        <v>177.02651734802666</v>
      </c>
      <c r="L392" s="375">
        <f t="shared" si="160"/>
        <v>1.5651474255266113</v>
      </c>
      <c r="M392" s="363">
        <f t="shared" si="144"/>
        <v>1.1411482692553536</v>
      </c>
      <c r="N392" s="366">
        <f t="shared" si="145"/>
        <v>0.50264727797751441</v>
      </c>
      <c r="O392" s="367">
        <f t="shared" si="146"/>
        <v>1.0004966407953328</v>
      </c>
      <c r="P392" s="368">
        <f t="shared" si="147"/>
        <v>0.16569978727671494</v>
      </c>
      <c r="Q392" s="369">
        <f t="shared" si="148"/>
        <v>-7.096383984004496</v>
      </c>
      <c r="R392" s="370">
        <f t="shared" si="149"/>
        <v>-182.44901619840283</v>
      </c>
      <c r="S392" s="372">
        <f t="shared" si="150"/>
        <v>-2.4490161984028305</v>
      </c>
      <c r="U392" s="345">
        <f t="shared" si="156"/>
        <v>34476.5</v>
      </c>
      <c r="V392" s="345">
        <f t="shared" si="157"/>
        <v>1188629052.25</v>
      </c>
      <c r="X392" s="371">
        <f t="shared" si="151"/>
        <v>37.562788505973572</v>
      </c>
      <c r="Y392" s="372">
        <f t="shared" si="152"/>
        <v>-29.122127518594979</v>
      </c>
      <c r="AA392" s="371">
        <f t="shared" si="153"/>
        <v>27.382027336581185</v>
      </c>
      <c r="AB392" s="372">
        <f t="shared" si="154"/>
        <v>-153.32688867980784</v>
      </c>
      <c r="AD392">
        <f t="shared" si="158"/>
        <v>0</v>
      </c>
      <c r="AE392">
        <f t="shared" si="161"/>
        <v>0</v>
      </c>
    </row>
    <row r="393" spans="1:31" x14ac:dyDescent="0.3">
      <c r="A393" s="373">
        <v>34674</v>
      </c>
      <c r="B393" s="390">
        <f t="shared" si="155"/>
        <v>34.673999999999999</v>
      </c>
      <c r="C393" s="363">
        <f t="shared" si="136"/>
        <v>257.34351782381685</v>
      </c>
      <c r="D393" s="364">
        <f t="shared" si="137"/>
        <v>1.5669104604434907</v>
      </c>
      <c r="E393" s="364">
        <f t="shared" si="138"/>
        <v>1.0336095383599355</v>
      </c>
      <c r="F393" s="365">
        <f t="shared" si="139"/>
        <v>0.25571247384404056</v>
      </c>
      <c r="G393" s="364">
        <f t="shared" si="140"/>
        <v>2.7577430005258416</v>
      </c>
      <c r="H393" s="365">
        <f t="shared" si="141"/>
        <v>-1.1997235846465573</v>
      </c>
      <c r="I393" s="363">
        <f t="shared" si="142"/>
        <v>52465.197891805881</v>
      </c>
      <c r="J393" s="366">
        <f t="shared" si="143"/>
        <v>1.570777266540857</v>
      </c>
      <c r="K393" s="374">
        <f t="shared" si="159"/>
        <v>178.04058851828449</v>
      </c>
      <c r="L393" s="375">
        <f t="shared" si="160"/>
        <v>1.5651796004839049</v>
      </c>
      <c r="M393" s="363">
        <f t="shared" si="144"/>
        <v>1.1426687365418782</v>
      </c>
      <c r="N393" s="366">
        <f t="shared" si="145"/>
        <v>0.50506242225606035</v>
      </c>
      <c r="O393" s="367">
        <f t="shared" si="146"/>
        <v>1.0005033587778713</v>
      </c>
      <c r="P393" s="368">
        <f t="shared" si="147"/>
        <v>0.16665673632884545</v>
      </c>
      <c r="Q393" s="369">
        <f t="shared" si="148"/>
        <v>-7.1114076210433828</v>
      </c>
      <c r="R393" s="370">
        <f t="shared" si="149"/>
        <v>-182.67260437466828</v>
      </c>
      <c r="S393" s="372">
        <f t="shared" si="150"/>
        <v>-2.6726043746682819</v>
      </c>
      <c r="U393" s="345">
        <f t="shared" si="156"/>
        <v>34674</v>
      </c>
      <c r="V393" s="345">
        <f t="shared" si="157"/>
        <v>1202286276</v>
      </c>
      <c r="X393" s="371">
        <f t="shared" si="151"/>
        <v>37.551221545443745</v>
      </c>
      <c r="Y393" s="372">
        <f t="shared" si="152"/>
        <v>-29.258667859546417</v>
      </c>
      <c r="AA393" s="371">
        <f t="shared" si="153"/>
        <v>27.378570660072118</v>
      </c>
      <c r="AB393" s="372">
        <f t="shared" si="154"/>
        <v>-153.41393651512186</v>
      </c>
      <c r="AD393">
        <f t="shared" si="158"/>
        <v>0</v>
      </c>
      <c r="AE393">
        <f t="shared" si="161"/>
        <v>0</v>
      </c>
    </row>
    <row r="394" spans="1:31" x14ac:dyDescent="0.3">
      <c r="A394" s="373">
        <v>34875.75</v>
      </c>
      <c r="B394" s="390">
        <f t="shared" si="155"/>
        <v>34.875749999999996</v>
      </c>
      <c r="C394" s="363">
        <f t="shared" si="136"/>
        <v>258.84084357270439</v>
      </c>
      <c r="D394" s="364">
        <f t="shared" si="137"/>
        <v>1.5669329392636677</v>
      </c>
      <c r="E394" s="364">
        <f t="shared" si="138"/>
        <v>1.0339953397573032</v>
      </c>
      <c r="F394" s="365">
        <f t="shared" si="139"/>
        <v>0.25713578454360347</v>
      </c>
      <c r="G394" s="364">
        <f t="shared" si="140"/>
        <v>2.7716843086394776</v>
      </c>
      <c r="H394" s="365">
        <f t="shared" si="141"/>
        <v>-1.2016799661462867</v>
      </c>
      <c r="I394" s="363">
        <f t="shared" si="142"/>
        <v>52770.465633365486</v>
      </c>
      <c r="J394" s="366">
        <f t="shared" si="143"/>
        <v>1.5707773768010307</v>
      </c>
      <c r="K394" s="374">
        <f t="shared" si="159"/>
        <v>179.07648166134484</v>
      </c>
      <c r="L394" s="375">
        <f t="shared" si="160"/>
        <v>1.5652120915674559</v>
      </c>
      <c r="M394" s="363">
        <f t="shared" si="144"/>
        <v>1.1442287860145677</v>
      </c>
      <c r="N394" s="366">
        <f t="shared" si="145"/>
        <v>0.50752289606361356</v>
      </c>
      <c r="O394" s="367">
        <f t="shared" si="146"/>
        <v>1.0005102848700276</v>
      </c>
      <c r="P394" s="368">
        <f t="shared" si="147"/>
        <v>0.16763441302135776</v>
      </c>
      <c r="Q394" s="369">
        <f t="shared" si="148"/>
        <v>-7.1266703734541395</v>
      </c>
      <c r="R394" s="370">
        <f t="shared" si="149"/>
        <v>-182.89957125195124</v>
      </c>
      <c r="S394" s="372">
        <f t="shared" si="150"/>
        <v>-2.8995712519512438</v>
      </c>
      <c r="U394" s="345">
        <f t="shared" si="156"/>
        <v>34875.75</v>
      </c>
      <c r="V394" s="345">
        <f t="shared" si="157"/>
        <v>1216317938.0625</v>
      </c>
      <c r="X394" s="371">
        <f t="shared" si="151"/>
        <v>37.539369482309702</v>
      </c>
      <c r="Y394" s="372">
        <f t="shared" si="152"/>
        <v>-29.39778733996398</v>
      </c>
      <c r="AA394" s="371">
        <f t="shared" si="153"/>
        <v>27.375159970795412</v>
      </c>
      <c r="AB394" s="372">
        <f t="shared" si="154"/>
        <v>-153.5017839119873</v>
      </c>
      <c r="AD394">
        <f t="shared" si="158"/>
        <v>0</v>
      </c>
      <c r="AE394">
        <f t="shared" si="161"/>
        <v>0</v>
      </c>
    </row>
    <row r="395" spans="1:31" x14ac:dyDescent="0.3">
      <c r="A395" s="373">
        <v>35077.5</v>
      </c>
      <c r="B395" s="390">
        <f t="shared" si="155"/>
        <v>35.077500000000001</v>
      </c>
      <c r="C395" s="363">
        <f t="shared" si="136"/>
        <v>260.33816945087898</v>
      </c>
      <c r="D395" s="364">
        <f t="shared" si="137"/>
        <v>1.5669551595115596</v>
      </c>
      <c r="E395" s="364">
        <f t="shared" si="138"/>
        <v>1.03438323427122</v>
      </c>
      <c r="F395" s="365">
        <f t="shared" si="139"/>
        <v>0.25855803063734623</v>
      </c>
      <c r="G395" s="364">
        <f t="shared" si="140"/>
        <v>2.7856361189690597</v>
      </c>
      <c r="H395" s="365">
        <f t="shared" si="141"/>
        <v>-1.2036167579913952</v>
      </c>
      <c r="I395" s="363">
        <f t="shared" si="142"/>
        <v>53075.733374925716</v>
      </c>
      <c r="J395" s="366">
        <f t="shared" si="143"/>
        <v>1.5707774857928705</v>
      </c>
      <c r="K395" s="374">
        <f t="shared" si="159"/>
        <v>180.11237499127643</v>
      </c>
      <c r="L395" s="375">
        <f t="shared" si="160"/>
        <v>1.5652442089144025</v>
      </c>
      <c r="M395" s="363">
        <f t="shared" si="144"/>
        <v>1.1457957436823278</v>
      </c>
      <c r="N395" s="366">
        <f t="shared" si="145"/>
        <v>0.509976654944296</v>
      </c>
      <c r="O395" s="367">
        <f t="shared" si="146"/>
        <v>1.0005172756026197</v>
      </c>
      <c r="P395" s="368">
        <f t="shared" si="147"/>
        <v>0.16861222695505579</v>
      </c>
      <c r="Q395" s="369">
        <f t="shared" si="148"/>
        <v>-7.1418498655841098</v>
      </c>
      <c r="R395" s="370">
        <f t="shared" si="149"/>
        <v>-183.1251063742516</v>
      </c>
      <c r="S395" s="372">
        <f t="shared" si="150"/>
        <v>-3.125106374251601</v>
      </c>
      <c r="U395" s="345">
        <f t="shared" si="156"/>
        <v>35077.5</v>
      </c>
      <c r="V395" s="345">
        <f t="shared" si="157"/>
        <v>1230431006.25</v>
      </c>
      <c r="X395" s="371">
        <f t="shared" si="151"/>
        <v>37.527481223550573</v>
      </c>
      <c r="Y395" s="372">
        <f t="shared" si="152"/>
        <v>-29.53654342427161</v>
      </c>
      <c r="AA395" s="371">
        <f t="shared" si="153"/>
        <v>27.371868737424563</v>
      </c>
      <c r="AB395" s="372">
        <f t="shared" si="154"/>
        <v>-153.58856294998</v>
      </c>
      <c r="AD395">
        <f t="shared" si="158"/>
        <v>0</v>
      </c>
      <c r="AE395">
        <f t="shared" si="161"/>
        <v>0</v>
      </c>
    </row>
    <row r="396" spans="1:31" x14ac:dyDescent="0.3">
      <c r="A396" s="373">
        <v>35279.25</v>
      </c>
      <c r="B396" s="390">
        <f t="shared" si="155"/>
        <v>35.279249999999998</v>
      </c>
      <c r="C396" s="363">
        <f t="shared" si="136"/>
        <v>261.83549545612271</v>
      </c>
      <c r="D396" s="364">
        <f t="shared" si="137"/>
        <v>1.5669771256231391</v>
      </c>
      <c r="E396" s="364">
        <f t="shared" si="138"/>
        <v>1.0347732195478125</v>
      </c>
      <c r="F396" s="365">
        <f t="shared" si="139"/>
        <v>0.25997920757195564</v>
      </c>
      <c r="G396" s="364">
        <f t="shared" si="140"/>
        <v>2.7995982745010743</v>
      </c>
      <c r="H396" s="365">
        <f t="shared" si="141"/>
        <v>-1.2055342386344177</v>
      </c>
      <c r="I396" s="363">
        <f t="shared" si="142"/>
        <v>53381.001116486572</v>
      </c>
      <c r="J396" s="366">
        <f t="shared" si="143"/>
        <v>1.5707775935381358</v>
      </c>
      <c r="K396" s="374">
        <f t="shared" si="159"/>
        <v>181.14826850487336</v>
      </c>
      <c r="L396" s="375">
        <f t="shared" si="160"/>
        <v>1.5652759589362988</v>
      </c>
      <c r="M396" s="363">
        <f t="shared" si="144"/>
        <v>1.1473695812416826</v>
      </c>
      <c r="N396" s="366">
        <f t="shared" si="145"/>
        <v>0.51242369692249912</v>
      </c>
      <c r="O396" s="367">
        <f t="shared" si="146"/>
        <v>1.0005243313995849</v>
      </c>
      <c r="P396" s="368">
        <f t="shared" si="147"/>
        <v>0.1695901788718201</v>
      </c>
      <c r="Q396" s="369">
        <f t="shared" si="148"/>
        <v>-7.1569478717886987</v>
      </c>
      <c r="R396" s="370">
        <f t="shared" si="149"/>
        <v>-183.34922577397685</v>
      </c>
      <c r="S396" s="372">
        <f t="shared" si="150"/>
        <v>-3.3492257739768547</v>
      </c>
      <c r="U396" s="345">
        <f t="shared" si="156"/>
        <v>35279.25</v>
      </c>
      <c r="V396" s="345">
        <f t="shared" si="157"/>
        <v>1244625480.5625</v>
      </c>
      <c r="X396" s="371">
        <f t="shared" si="151"/>
        <v>37.515557153435175</v>
      </c>
      <c r="Y396" s="372">
        <f t="shared" si="152"/>
        <v>-29.674935633166985</v>
      </c>
      <c r="AA396" s="371">
        <f t="shared" si="153"/>
        <v>27.36869480133538</v>
      </c>
      <c r="AB396" s="372">
        <f t="shared" si="154"/>
        <v>-153.67429014080989</v>
      </c>
      <c r="AD396">
        <f t="shared" si="158"/>
        <v>0</v>
      </c>
      <c r="AE396">
        <f t="shared" si="161"/>
        <v>0</v>
      </c>
    </row>
    <row r="397" spans="1:31" x14ac:dyDescent="0.3">
      <c r="A397" s="373">
        <v>35481</v>
      </c>
      <c r="B397" s="390">
        <f t="shared" si="155"/>
        <v>35.481000000000002</v>
      </c>
      <c r="C397" s="363">
        <f t="shared" ref="C397:C460" si="162">SQRT(1+(A397/pole1)^2)</f>
        <v>263.33282158626793</v>
      </c>
      <c r="D397" s="364">
        <f t="shared" ref="D397:D460" si="163">ATAN(A397/pole1)</f>
        <v>1.5669988419334877</v>
      </c>
      <c r="E397" s="364">
        <f t="shared" ref="E397:E460" si="164">SQRT(1+(A397/Zero1)^2)</f>
        <v>1.0351652932240762</v>
      </c>
      <c r="F397" s="365">
        <f t="shared" ref="F397:F460" si="165">ATAN(A397/Zero1)</f>
        <v>0.2613993108182372</v>
      </c>
      <c r="G397" s="364">
        <f t="shared" ref="G397:G460" si="166">IF(VIN_nom&gt;Vout, 1, SQRT(1+(A397/z_RHP)^2))</f>
        <v>2.8135706212234051</v>
      </c>
      <c r="H397" s="365">
        <f t="shared" ref="H397:H460" si="167">IF(VIN_nom&gt;Vout, 0, -ATAN(A397/z_RHP))</f>
        <v>-1.2074326815708287</v>
      </c>
      <c r="I397" s="363">
        <f t="shared" ref="I397:I460" si="168">SQRT(1+(A397/Pole2)^2)</f>
        <v>53686.268858048046</v>
      </c>
      <c r="J397" s="366">
        <f t="shared" ref="J397:J460" si="169">ATAN(A397/Pole2)</f>
        <v>1.5707777000580916</v>
      </c>
      <c r="K397" s="374">
        <f t="shared" si="159"/>
        <v>182.18416219900274</v>
      </c>
      <c r="L397" s="375">
        <f t="shared" si="160"/>
        <v>1.5653073478988777</v>
      </c>
      <c r="M397" s="363">
        <f t="shared" ref="M397:M460" si="170">SQRT(1+(A397/pole4)^2)</f>
        <v>1.1489502704203076</v>
      </c>
      <c r="N397" s="366">
        <f t="shared" ref="N397:N460" si="171">ATAN(A397/pole4)</f>
        <v>0.51486402035518097</v>
      </c>
      <c r="O397" s="367">
        <f t="shared" ref="O397:O460" si="172">SQRT((1-(V397/pterm2))^2+(A397/pterm1)^2)</f>
        <v>1.0005314526872886</v>
      </c>
      <c r="P397" s="368">
        <f t="shared" ref="P397:P460" si="173">IF((ATAN((A397/pterm1)/(1-A397^2/pterm2))&gt;0),ATAN((A397/pterm1)/(1-A397^2/pterm2)),PI()+ATAN((A397/pterm1)/(1-A397^2/pterm2)))</f>
        <v>0.17056826951261253</v>
      </c>
      <c r="Q397" s="369">
        <f t="shared" ref="Q397:Q460" si="174">20*LOG10(((E397*K397*G397)/(C397*I397*O397*M397))*Adc)</f>
        <v>-7.1719661153947447</v>
      </c>
      <c r="R397" s="370">
        <f t="shared" ref="R397:R460" si="175">((F397+L397+H397)-(D397+J397+P397+N397))*radconv</f>
        <v>-183.57194521968196</v>
      </c>
      <c r="S397" s="372">
        <f t="shared" ref="S397:S460" si="176">IF(R397&gt;0,R397,R397+180)</f>
        <v>-3.5719452196819645</v>
      </c>
      <c r="U397" s="345">
        <f t="shared" si="156"/>
        <v>35481</v>
      </c>
      <c r="V397" s="345">
        <f t="shared" si="157"/>
        <v>1258901361</v>
      </c>
      <c r="X397" s="371">
        <f t="shared" ref="X397:X460" si="177">20*LOG10((K397/(I397*M397))*AEA)</f>
        <v>37.503597654785878</v>
      </c>
      <c r="Y397" s="372">
        <f t="shared" ref="Y397:Y460" si="178">(L397-(J397+N397))*radconv</f>
        <v>-29.812963514729081</v>
      </c>
      <c r="AA397" s="371">
        <f t="shared" ref="AA397:AA460" si="179">20*LOG10((E397*G397/(C397*O397))*Acs*Am)</f>
        <v>27.365636056378623</v>
      </c>
      <c r="AB397" s="372">
        <f t="shared" ref="AB397:AB460" si="180">(F397+H397-(D397+P397))*radconv</f>
        <v>-153.7589817049529</v>
      </c>
      <c r="AD397">
        <f t="shared" si="158"/>
        <v>0</v>
      </c>
      <c r="AE397">
        <f t="shared" si="161"/>
        <v>0</v>
      </c>
    </row>
    <row r="398" spans="1:31" x14ac:dyDescent="0.3">
      <c r="A398" s="373">
        <v>35687.75</v>
      </c>
      <c r="B398" s="390">
        <f t="shared" ref="B398:B461" si="181">A398/1000</f>
        <v>35.687750000000001</v>
      </c>
      <c r="C398" s="363">
        <f t="shared" si="162"/>
        <v>264.86725629805915</v>
      </c>
      <c r="D398" s="364">
        <f t="shared" si="163"/>
        <v>1.5670208417096687</v>
      </c>
      <c r="E398" s="364">
        <f t="shared" si="164"/>
        <v>1.0355692479154048</v>
      </c>
      <c r="F398" s="365">
        <f t="shared" si="165"/>
        <v>0.26285349004821279</v>
      </c>
      <c r="G398" s="364">
        <f t="shared" si="166"/>
        <v>2.8278996618314802</v>
      </c>
      <c r="H398" s="365">
        <f t="shared" si="167"/>
        <v>-1.209358703605061</v>
      </c>
      <c r="I398" s="363">
        <f t="shared" si="168"/>
        <v>53999.102095063958</v>
      </c>
      <c r="J398" s="366">
        <f t="shared" si="169"/>
        <v>1.5707778079684485</v>
      </c>
      <c r="K398" s="374">
        <f t="shared" si="159"/>
        <v>183.24572878340271</v>
      </c>
      <c r="L398" s="375">
        <f t="shared" si="160"/>
        <v>1.5653391465914304</v>
      </c>
      <c r="M398" s="363">
        <f t="shared" si="170"/>
        <v>1.1505772129423988</v>
      </c>
      <c r="N398" s="366">
        <f t="shared" si="171"/>
        <v>0.51735785094213693</v>
      </c>
      <c r="O398" s="367">
        <f t="shared" si="172"/>
        <v>1.0005388188569224</v>
      </c>
      <c r="P398" s="368">
        <f t="shared" si="173"/>
        <v>0.17157074501575403</v>
      </c>
      <c r="Q398" s="369">
        <f t="shared" si="174"/>
        <v>-7.1872755567197002</v>
      </c>
      <c r="R398" s="370">
        <f t="shared" si="175"/>
        <v>-183.79874815032323</v>
      </c>
      <c r="S398" s="372">
        <f t="shared" si="176"/>
        <v>-3.7987481503232345</v>
      </c>
      <c r="U398" s="345">
        <f t="shared" ref="U398:U461" si="182">IF(Q398&lt;0,A398,1000000000)</f>
        <v>35687.75</v>
      </c>
      <c r="V398" s="345">
        <f t="shared" ref="V398:V461" si="183">A398^2</f>
        <v>1273615500.0625</v>
      </c>
      <c r="X398" s="371">
        <f t="shared" si="177"/>
        <v>37.491305404566134</v>
      </c>
      <c r="Y398" s="372">
        <f t="shared" si="178"/>
        <v>-29.954033734274212</v>
      </c>
      <c r="AA398" s="371">
        <f t="shared" si="179"/>
        <v>27.362618865273415</v>
      </c>
      <c r="AB398" s="372">
        <f t="shared" si="180"/>
        <v>-153.84471441604904</v>
      </c>
      <c r="AD398">
        <f t="shared" ref="AD398:AD461" si="184">SUM((Q399&lt;0)*(Q398&gt;0))*A398</f>
        <v>0</v>
      </c>
      <c r="AE398">
        <f t="shared" si="161"/>
        <v>0</v>
      </c>
    </row>
    <row r="399" spans="1:31" x14ac:dyDescent="0.3">
      <c r="A399" s="373">
        <v>35894.5</v>
      </c>
      <c r="B399" s="390">
        <f t="shared" si="181"/>
        <v>35.894500000000001</v>
      </c>
      <c r="C399" s="363">
        <f t="shared" si="162"/>
        <v>266.40169113656674</v>
      </c>
      <c r="D399" s="364">
        <f t="shared" si="163"/>
        <v>1.5670425880548637</v>
      </c>
      <c r="E399" s="364">
        <f t="shared" si="164"/>
        <v>1.0359753907495568</v>
      </c>
      <c r="F399" s="365">
        <f t="shared" si="165"/>
        <v>0.26430653215868177</v>
      </c>
      <c r="G399" s="364">
        <f t="shared" si="166"/>
        <v>2.8422390869103795</v>
      </c>
      <c r="H399" s="365">
        <f t="shared" si="167"/>
        <v>-1.2112652986445336</v>
      </c>
      <c r="I399" s="363">
        <f t="shared" si="168"/>
        <v>54311.935332080488</v>
      </c>
      <c r="J399" s="366">
        <f t="shared" si="169"/>
        <v>1.5707779146356917</v>
      </c>
      <c r="K399" s="374">
        <f t="shared" si="159"/>
        <v>184.3072955509584</v>
      </c>
      <c r="L399" s="375">
        <f t="shared" si="160"/>
        <v>1.5653705789780017</v>
      </c>
      <c r="M399" s="363">
        <f t="shared" si="170"/>
        <v>1.1522112908901831</v>
      </c>
      <c r="N399" s="366">
        <f t="shared" si="171"/>
        <v>0.51984462340577442</v>
      </c>
      <c r="O399" s="367">
        <f t="shared" si="172"/>
        <v>1.0005462547180903</v>
      </c>
      <c r="P399" s="368">
        <f t="shared" si="173"/>
        <v>0.1725733677767525</v>
      </c>
      <c r="Q399" s="369">
        <f t="shared" si="174"/>
        <v>-7.2025047396979645</v>
      </c>
      <c r="R399" s="370">
        <f t="shared" si="175"/>
        <v>-184.02411358091501</v>
      </c>
      <c r="S399" s="372">
        <f t="shared" si="176"/>
        <v>-4.0241135809150137</v>
      </c>
      <c r="U399" s="345">
        <f t="shared" si="182"/>
        <v>35894.5</v>
      </c>
      <c r="V399" s="345">
        <f t="shared" si="183"/>
        <v>1288415130.25</v>
      </c>
      <c r="X399" s="371">
        <f t="shared" si="177"/>
        <v>37.478976757273124</v>
      </c>
      <c r="Y399" s="372">
        <f t="shared" si="178"/>
        <v>-30.094720469703038</v>
      </c>
      <c r="AA399" s="371">
        <f t="shared" si="179"/>
        <v>27.359718329588162</v>
      </c>
      <c r="AB399" s="372">
        <f t="shared" si="180"/>
        <v>-153.92939311121199</v>
      </c>
      <c r="AD399">
        <f t="shared" si="184"/>
        <v>0</v>
      </c>
      <c r="AE399">
        <f t="shared" si="161"/>
        <v>0</v>
      </c>
    </row>
    <row r="400" spans="1:31" x14ac:dyDescent="0.3">
      <c r="A400" s="373">
        <v>36101.25</v>
      </c>
      <c r="B400" s="390">
        <f t="shared" si="181"/>
        <v>36.10125</v>
      </c>
      <c r="C400" s="363">
        <f t="shared" si="162"/>
        <v>267.9361260996136</v>
      </c>
      <c r="D400" s="364">
        <f t="shared" si="163"/>
        <v>1.5670640853231497</v>
      </c>
      <c r="E400" s="364">
        <f t="shared" si="164"/>
        <v>1.0363837191540335</v>
      </c>
      <c r="F400" s="365">
        <f t="shared" si="165"/>
        <v>0.26575843235441632</v>
      </c>
      <c r="G400" s="364">
        <f t="shared" si="166"/>
        <v>2.8565887400770702</v>
      </c>
      <c r="H400" s="365">
        <f t="shared" si="167"/>
        <v>-1.2131527454885429</v>
      </c>
      <c r="I400" s="363">
        <f t="shared" si="168"/>
        <v>54624.768569097629</v>
      </c>
      <c r="J400" s="366">
        <f t="shared" si="169"/>
        <v>1.5707780200811796</v>
      </c>
      <c r="K400" s="374">
        <f t="shared" si="159"/>
        <v>185.36886249852319</v>
      </c>
      <c r="L400" s="375">
        <f t="shared" si="160"/>
        <v>1.5654016513517921</v>
      </c>
      <c r="M400" s="363">
        <f t="shared" si="170"/>
        <v>1.1538524739482383</v>
      </c>
      <c r="N400" s="366">
        <f t="shared" si="171"/>
        <v>0.52232433704189074</v>
      </c>
      <c r="O400" s="367">
        <f t="shared" si="172"/>
        <v>1.000553760737585</v>
      </c>
      <c r="P400" s="368">
        <f t="shared" si="173"/>
        <v>0.17357613858999477</v>
      </c>
      <c r="Q400" s="369">
        <f t="shared" si="174"/>
        <v>-7.2176553621954289</v>
      </c>
      <c r="R400" s="370">
        <f t="shared" si="175"/>
        <v>-184.24805765551392</v>
      </c>
      <c r="S400" s="372">
        <f t="shared" si="176"/>
        <v>-4.248057655513918</v>
      </c>
      <c r="U400" s="345">
        <f t="shared" si="182"/>
        <v>36101.25</v>
      </c>
      <c r="V400" s="345">
        <f t="shared" si="183"/>
        <v>1303300251.5625</v>
      </c>
      <c r="X400" s="371">
        <f t="shared" si="177"/>
        <v>37.466612120041361</v>
      </c>
      <c r="Y400" s="372">
        <f t="shared" si="178"/>
        <v>-30.23502332131763</v>
      </c>
      <c r="AA400" s="371">
        <f t="shared" si="179"/>
        <v>27.356932344322459</v>
      </c>
      <c r="AB400" s="372">
        <f t="shared" si="180"/>
        <v>-154.01303433419631</v>
      </c>
      <c r="AD400">
        <f t="shared" si="184"/>
        <v>0</v>
      </c>
      <c r="AE400">
        <f t="shared" si="161"/>
        <v>0</v>
      </c>
    </row>
    <row r="401" spans="1:31" x14ac:dyDescent="0.3">
      <c r="A401" s="373">
        <v>36308</v>
      </c>
      <c r="B401" s="390">
        <f t="shared" si="181"/>
        <v>36.308</v>
      </c>
      <c r="C401" s="363">
        <f t="shared" si="162"/>
        <v>269.47056118507237</v>
      </c>
      <c r="D401" s="364">
        <f t="shared" si="163"/>
        <v>1.567085337769432</v>
      </c>
      <c r="E401" s="364">
        <f t="shared" si="164"/>
        <v>1.0367942305465567</v>
      </c>
      <c r="F401" s="365">
        <f t="shared" si="165"/>
        <v>0.26720918586697989</v>
      </c>
      <c r="G401" s="364">
        <f t="shared" si="166"/>
        <v>2.8709484679646318</v>
      </c>
      <c r="H401" s="365">
        <f t="shared" si="167"/>
        <v>-1.2150213179101605</v>
      </c>
      <c r="I401" s="363">
        <f t="shared" si="168"/>
        <v>54937.601806115374</v>
      </c>
      <c r="J401" s="366">
        <f t="shared" si="169"/>
        <v>1.570778124325783</v>
      </c>
      <c r="K401" s="374">
        <f t="shared" si="159"/>
        <v>186.43042962302195</v>
      </c>
      <c r="L401" s="375">
        <f t="shared" si="160"/>
        <v>1.5654323698626662</v>
      </c>
      <c r="M401" s="363">
        <f t="shared" si="170"/>
        <v>1.1555007318419321</v>
      </c>
      <c r="N401" s="366">
        <f t="shared" si="171"/>
        <v>0.5247969914975098</v>
      </c>
      <c r="O401" s="367">
        <f t="shared" si="172"/>
        <v>1.0005613373848767</v>
      </c>
      <c r="P401" s="368">
        <f t="shared" si="173"/>
        <v>0.17457905824882819</v>
      </c>
      <c r="Q401" s="369">
        <f t="shared" si="174"/>
        <v>-7.2327290723777136</v>
      </c>
      <c r="R401" s="370">
        <f t="shared" si="175"/>
        <v>-184.47059625122691</v>
      </c>
      <c r="S401" s="372">
        <f t="shared" si="176"/>
        <v>-4.4705962512269082</v>
      </c>
      <c r="U401" s="345">
        <f t="shared" si="182"/>
        <v>36308</v>
      </c>
      <c r="V401" s="345">
        <f t="shared" si="183"/>
        <v>1318270864</v>
      </c>
      <c r="X401" s="371">
        <f t="shared" si="177"/>
        <v>37.454211898321567</v>
      </c>
      <c r="Y401" s="372">
        <f t="shared" si="178"/>
        <v>-30.374941917728513</v>
      </c>
      <c r="AA401" s="371">
        <f t="shared" si="179"/>
        <v>27.354258855859971</v>
      </c>
      <c r="AB401" s="372">
        <f t="shared" si="180"/>
        <v>-154.09565433349843</v>
      </c>
      <c r="AD401">
        <f t="shared" si="184"/>
        <v>0</v>
      </c>
      <c r="AE401">
        <f t="shared" si="161"/>
        <v>0</v>
      </c>
    </row>
    <row r="402" spans="1:31" x14ac:dyDescent="0.3">
      <c r="A402" s="373">
        <v>36519.5</v>
      </c>
      <c r="B402" s="390">
        <f t="shared" si="181"/>
        <v>36.519500000000001</v>
      </c>
      <c r="C402" s="363">
        <f t="shared" si="162"/>
        <v>271.04024943810202</v>
      </c>
      <c r="D402" s="364">
        <f t="shared" si="163"/>
        <v>1.5671068294940034</v>
      </c>
      <c r="E402" s="364">
        <f t="shared" si="164"/>
        <v>1.0372164293685184</v>
      </c>
      <c r="F402" s="365">
        <f t="shared" si="165"/>
        <v>0.26869207842500703</v>
      </c>
      <c r="G402" s="364">
        <f t="shared" si="166"/>
        <v>2.8856483727125908</v>
      </c>
      <c r="H402" s="365">
        <f t="shared" si="167"/>
        <v>-1.2169135704862779</v>
      </c>
      <c r="I402" s="363">
        <f t="shared" si="168"/>
        <v>55257.622263814912</v>
      </c>
      <c r="J402" s="366">
        <f t="shared" si="169"/>
        <v>1.5707782297440449</v>
      </c>
      <c r="K402" s="374">
        <f t="shared" si="159"/>
        <v>187.51638601496941</v>
      </c>
      <c r="L402" s="375">
        <f t="shared" si="160"/>
        <v>1.5654634342342801</v>
      </c>
      <c r="M402" s="363">
        <f t="shared" si="170"/>
        <v>1.1571941468067259</v>
      </c>
      <c r="N402" s="366">
        <f t="shared" si="171"/>
        <v>0.52731914989727624</v>
      </c>
      <c r="O402" s="367">
        <f t="shared" si="172"/>
        <v>1.0005691616753669</v>
      </c>
      <c r="P402" s="368">
        <f t="shared" si="173"/>
        <v>0.17560517443315343</v>
      </c>
      <c r="Q402" s="369">
        <f t="shared" si="174"/>
        <v>-7.2480711799213644</v>
      </c>
      <c r="R402" s="370">
        <f t="shared" si="175"/>
        <v>-184.69680957879254</v>
      </c>
      <c r="S402" s="372">
        <f t="shared" si="176"/>
        <v>-4.6968095787925392</v>
      </c>
      <c r="U402" s="345">
        <f t="shared" si="182"/>
        <v>36519.5</v>
      </c>
      <c r="V402" s="345">
        <f t="shared" si="183"/>
        <v>1333673880.25</v>
      </c>
      <c r="X402" s="371">
        <f t="shared" si="177"/>
        <v>37.441490387147525</v>
      </c>
      <c r="Y402" s="372">
        <f t="shared" si="178"/>
        <v>-30.517677132096477</v>
      </c>
      <c r="AA402" s="371">
        <f t="shared" si="179"/>
        <v>27.351638259490365</v>
      </c>
      <c r="AB402" s="372">
        <f t="shared" si="180"/>
        <v>-154.17913244669606</v>
      </c>
      <c r="AD402">
        <f t="shared" si="184"/>
        <v>0</v>
      </c>
      <c r="AE402">
        <f t="shared" si="161"/>
        <v>0</v>
      </c>
    </row>
    <row r="403" spans="1:31" x14ac:dyDescent="0.3">
      <c r="A403" s="373">
        <v>36731</v>
      </c>
      <c r="B403" s="390">
        <f t="shared" si="181"/>
        <v>36.731000000000002</v>
      </c>
      <c r="C403" s="363">
        <f t="shared" si="162"/>
        <v>272.6099378148819</v>
      </c>
      <c r="D403" s="364">
        <f t="shared" si="163"/>
        <v>1.5671280737198283</v>
      </c>
      <c r="E403" s="364">
        <f t="shared" si="164"/>
        <v>1.0376409071396728</v>
      </c>
      <c r="F403" s="365">
        <f t="shared" si="165"/>
        <v>0.27017376099668006</v>
      </c>
      <c r="G403" s="364">
        <f t="shared" si="166"/>
        <v>2.9003585051131981</v>
      </c>
      <c r="H403" s="365">
        <f t="shared" si="167"/>
        <v>-1.2187866353365073</v>
      </c>
      <c r="I403" s="363">
        <f t="shared" si="168"/>
        <v>55577.642721515047</v>
      </c>
      <c r="J403" s="366">
        <f t="shared" si="169"/>
        <v>1.5707783339482935</v>
      </c>
      <c r="K403" s="374">
        <f t="shared" si="159"/>
        <v>188.60234258578544</v>
      </c>
      <c r="L403" s="375">
        <f t="shared" si="160"/>
        <v>1.5654941408737977</v>
      </c>
      <c r="M403" s="363">
        <f t="shared" si="170"/>
        <v>1.1588949014707308</v>
      </c>
      <c r="N403" s="366">
        <f t="shared" si="171"/>
        <v>0.52983392138775409</v>
      </c>
      <c r="O403" s="367">
        <f t="shared" si="172"/>
        <v>1.0005770608786657</v>
      </c>
      <c r="P403" s="368">
        <f t="shared" si="173"/>
        <v>0.17663144805712869</v>
      </c>
      <c r="Q403" s="369">
        <f t="shared" si="174"/>
        <v>-7.2633361369429856</v>
      </c>
      <c r="R403" s="370">
        <f t="shared" si="175"/>
        <v>-184.92158488600552</v>
      </c>
      <c r="S403" s="372">
        <f t="shared" si="176"/>
        <v>-4.9215848860055189</v>
      </c>
      <c r="U403" s="345">
        <f t="shared" si="182"/>
        <v>36731</v>
      </c>
      <c r="V403" s="345">
        <f t="shared" si="183"/>
        <v>1349166361</v>
      </c>
      <c r="X403" s="371">
        <f t="shared" si="177"/>
        <v>37.428732490477287</v>
      </c>
      <c r="Y403" s="372">
        <f t="shared" si="178"/>
        <v>-30.66000953471957</v>
      </c>
      <c r="AA403" s="371">
        <f t="shared" si="179"/>
        <v>27.349131199138977</v>
      </c>
      <c r="AB403" s="372">
        <f t="shared" si="180"/>
        <v>-154.26157535128596</v>
      </c>
      <c r="AD403">
        <f t="shared" si="184"/>
        <v>0</v>
      </c>
      <c r="AE403">
        <f t="shared" si="161"/>
        <v>0</v>
      </c>
    </row>
    <row r="404" spans="1:31" x14ac:dyDescent="0.3">
      <c r="A404" s="373">
        <v>36942.5</v>
      </c>
      <c r="B404" s="390">
        <f t="shared" si="181"/>
        <v>36.942500000000003</v>
      </c>
      <c r="C404" s="363">
        <f t="shared" si="162"/>
        <v>274.17962631328652</v>
      </c>
      <c r="D404" s="364">
        <f t="shared" si="163"/>
        <v>1.5671490746977059</v>
      </c>
      <c r="E404" s="364">
        <f t="shared" si="164"/>
        <v>1.0380676610643549</v>
      </c>
      <c r="F404" s="365">
        <f t="shared" si="165"/>
        <v>0.27165422856461358</v>
      </c>
      <c r="G404" s="364">
        <f t="shared" si="166"/>
        <v>2.9150787103334608</v>
      </c>
      <c r="H404" s="365">
        <f t="shared" si="167"/>
        <v>-1.2206407898930878</v>
      </c>
      <c r="I404" s="363">
        <f t="shared" si="168"/>
        <v>55897.663179215786</v>
      </c>
      <c r="J404" s="366">
        <f t="shared" si="169"/>
        <v>1.5707784369593798</v>
      </c>
      <c r="K404" s="374">
        <f t="shared" si="159"/>
        <v>189.68829933239803</v>
      </c>
      <c r="L404" s="375">
        <f t="shared" si="160"/>
        <v>1.5655244959251595</v>
      </c>
      <c r="M404" s="363">
        <f t="shared" si="170"/>
        <v>1.160602963567027</v>
      </c>
      <c r="N404" s="366">
        <f t="shared" si="171"/>
        <v>0.53234130670615987</v>
      </c>
      <c r="O404" s="367">
        <f t="shared" si="172"/>
        <v>1.0005850355060417</v>
      </c>
      <c r="P404" s="368">
        <f t="shared" si="173"/>
        <v>0.17765787996662835</v>
      </c>
      <c r="Q404" s="369">
        <f t="shared" si="174"/>
        <v>-7.2785255561902371</v>
      </c>
      <c r="R404" s="370">
        <f t="shared" si="175"/>
        <v>-185.14493833946736</v>
      </c>
      <c r="S404" s="372">
        <f t="shared" si="176"/>
        <v>-5.1449383394673589</v>
      </c>
      <c r="U404" s="345">
        <f t="shared" si="182"/>
        <v>36942.5</v>
      </c>
      <c r="V404" s="345">
        <f t="shared" si="183"/>
        <v>1364748306.25</v>
      </c>
      <c r="X404" s="371">
        <f t="shared" si="177"/>
        <v>37.415938636749424</v>
      </c>
      <c r="Y404" s="372">
        <f t="shared" si="178"/>
        <v>-30.80193881701004</v>
      </c>
      <c r="AA404" s="371">
        <f t="shared" si="179"/>
        <v>27.346735633619584</v>
      </c>
      <c r="AB404" s="372">
        <f t="shared" si="180"/>
        <v>-154.34299952245735</v>
      </c>
      <c r="AD404">
        <f t="shared" si="184"/>
        <v>0</v>
      </c>
      <c r="AE404">
        <f t="shared" si="161"/>
        <v>0</v>
      </c>
    </row>
    <row r="405" spans="1:31" x14ac:dyDescent="0.3">
      <c r="A405" s="373">
        <v>37154</v>
      </c>
      <c r="B405" s="390">
        <f t="shared" si="181"/>
        <v>37.154000000000003</v>
      </c>
      <c r="C405" s="363">
        <f t="shared" si="162"/>
        <v>275.74931493123887</v>
      </c>
      <c r="D405" s="364">
        <f t="shared" si="163"/>
        <v>1.5671698365816464</v>
      </c>
      <c r="E405" s="364">
        <f t="shared" si="164"/>
        <v>1.0384966883365156</v>
      </c>
      <c r="F405" s="365">
        <f t="shared" si="165"/>
        <v>0.27313347614095168</v>
      </c>
      <c r="G405" s="364">
        <f t="shared" si="166"/>
        <v>2.9298088365471222</v>
      </c>
      <c r="H405" s="365">
        <f t="shared" si="167"/>
        <v>-1.2224763065347386</v>
      </c>
      <c r="I405" s="363">
        <f t="shared" si="168"/>
        <v>56217.683636917114</v>
      </c>
      <c r="J405" s="366">
        <f t="shared" si="169"/>
        <v>1.57077853879768</v>
      </c>
      <c r="K405" s="374">
        <f t="shared" si="159"/>
        <v>190.7742562518051</v>
      </c>
      <c r="L405" s="375">
        <f t="shared" si="160"/>
        <v>1.5655545053924147</v>
      </c>
      <c r="M405" s="363">
        <f t="shared" si="170"/>
        <v>1.162318300880133</v>
      </c>
      <c r="N405" s="366">
        <f t="shared" si="171"/>
        <v>0.53484130695687704</v>
      </c>
      <c r="O405" s="367">
        <f t="shared" si="172"/>
        <v>1.0005930860716934</v>
      </c>
      <c r="P405" s="368">
        <f t="shared" si="173"/>
        <v>0.17868447100635926</v>
      </c>
      <c r="Q405" s="369">
        <f t="shared" si="174"/>
        <v>-7.2936410024222535</v>
      </c>
      <c r="R405" s="370">
        <f t="shared" si="175"/>
        <v>-185.3668858379549</v>
      </c>
      <c r="S405" s="372">
        <f t="shared" si="176"/>
        <v>-5.3668858379548965</v>
      </c>
      <c r="U405" s="345">
        <f t="shared" si="182"/>
        <v>37154</v>
      </c>
      <c r="V405" s="345">
        <f t="shared" si="183"/>
        <v>1380419716</v>
      </c>
      <c r="X405" s="371">
        <f t="shared" si="177"/>
        <v>37.403109252469847</v>
      </c>
      <c r="Y405" s="372">
        <f t="shared" si="178"/>
        <v>-30.943464699405123</v>
      </c>
      <c r="AA405" s="371">
        <f t="shared" si="179"/>
        <v>27.344449571667148</v>
      </c>
      <c r="AB405" s="372">
        <f t="shared" si="180"/>
        <v>-154.42342113854977</v>
      </c>
      <c r="AD405">
        <f t="shared" si="184"/>
        <v>0</v>
      </c>
      <c r="AE405">
        <f t="shared" si="161"/>
        <v>0</v>
      </c>
    </row>
    <row r="406" spans="1:31" x14ac:dyDescent="0.3">
      <c r="A406" s="373">
        <v>37370.25</v>
      </c>
      <c r="B406" s="390">
        <f t="shared" si="181"/>
        <v>37.370249999999999</v>
      </c>
      <c r="C406" s="363">
        <f t="shared" si="162"/>
        <v>277.35425672474963</v>
      </c>
      <c r="D406" s="364">
        <f t="shared" si="163"/>
        <v>1.5671908217688577</v>
      </c>
      <c r="E406" s="364">
        <f t="shared" si="164"/>
        <v>1.0389376985443552</v>
      </c>
      <c r="F406" s="365">
        <f t="shared" si="165"/>
        <v>0.27464467902652001</v>
      </c>
      <c r="G406" s="364">
        <f t="shared" si="166"/>
        <v>2.9448798838330497</v>
      </c>
      <c r="H406" s="365">
        <f t="shared" si="167"/>
        <v>-1.2243340544259842</v>
      </c>
      <c r="I406" s="363">
        <f t="shared" si="168"/>
        <v>56544.891315300265</v>
      </c>
      <c r="J406" s="366">
        <f t="shared" si="169"/>
        <v>1.570778641731281</v>
      </c>
      <c r="K406" s="374">
        <f t="shared" si="159"/>
        <v>191.88460245020616</v>
      </c>
      <c r="L406" s="375">
        <f t="shared" si="160"/>
        <v>1.5655848376298029</v>
      </c>
      <c r="M406" s="363">
        <f t="shared" si="170"/>
        <v>1.1640796509533387</v>
      </c>
      <c r="N406" s="366">
        <f t="shared" si="171"/>
        <v>0.53738981959781329</v>
      </c>
      <c r="O406" s="367">
        <f t="shared" si="172"/>
        <v>1.0006013964963407</v>
      </c>
      <c r="P406" s="368">
        <f t="shared" si="173"/>
        <v>0.17973428328304081</v>
      </c>
      <c r="Q406" s="369">
        <f t="shared" si="174"/>
        <v>-7.3090210184629436</v>
      </c>
      <c r="R406" s="370">
        <f t="shared" si="175"/>
        <v>-185.59238058668035</v>
      </c>
      <c r="S406" s="372">
        <f t="shared" si="176"/>
        <v>-5.5923805866803491</v>
      </c>
      <c r="U406" s="345">
        <f t="shared" si="182"/>
        <v>37370.25</v>
      </c>
      <c r="V406" s="345">
        <f t="shared" si="183"/>
        <v>1396535585.0625</v>
      </c>
      <c r="X406" s="371">
        <f t="shared" si="177"/>
        <v>37.389955443583332</v>
      </c>
      <c r="Y406" s="372">
        <f t="shared" si="178"/>
        <v>-31.087751706406745</v>
      </c>
      <c r="AA406" s="371">
        <f t="shared" si="179"/>
        <v>27.342223364512975</v>
      </c>
      <c r="AB406" s="372">
        <f t="shared" si="180"/>
        <v>-154.50462888027357</v>
      </c>
      <c r="AD406">
        <f t="shared" si="184"/>
        <v>0</v>
      </c>
      <c r="AE406">
        <f t="shared" si="161"/>
        <v>0</v>
      </c>
    </row>
    <row r="407" spans="1:31" x14ac:dyDescent="0.3">
      <c r="A407" s="373">
        <v>37586.5</v>
      </c>
      <c r="B407" s="390">
        <f t="shared" si="181"/>
        <v>37.586500000000001</v>
      </c>
      <c r="C407" s="363">
        <f t="shared" si="162"/>
        <v>278.95919863899576</v>
      </c>
      <c r="D407" s="364">
        <f t="shared" si="163"/>
        <v>1.5672115654870267</v>
      </c>
      <c r="E407" s="364">
        <f t="shared" si="164"/>
        <v>1.0393810793931086</v>
      </c>
      <c r="F407" s="365">
        <f t="shared" si="165"/>
        <v>0.27615459605518827</v>
      </c>
      <c r="G407" s="364">
        <f t="shared" si="166"/>
        <v>2.9599609910510782</v>
      </c>
      <c r="H407" s="365">
        <f t="shared" si="167"/>
        <v>-1.2261728780256347</v>
      </c>
      <c r="I407" s="363">
        <f t="shared" si="168"/>
        <v>56872.09899368402</v>
      </c>
      <c r="J407" s="366">
        <f t="shared" si="169"/>
        <v>1.5707787434804463</v>
      </c>
      <c r="K407" s="374">
        <f t="shared" ref="K407:K470" si="185">SQRT(1+(A407/Zero2)^2)</f>
        <v>192.99494882311825</v>
      </c>
      <c r="L407" s="375">
        <f t="shared" ref="L407:L470" si="186">ATAN(A407/Zero2)</f>
        <v>1.5656148208498999</v>
      </c>
      <c r="M407" s="363">
        <f t="shared" si="170"/>
        <v>1.1658485387533628</v>
      </c>
      <c r="N407" s="366">
        <f t="shared" si="171"/>
        <v>0.53993061521982633</v>
      </c>
      <c r="O407" s="367">
        <f t="shared" si="172"/>
        <v>1.0006097874050557</v>
      </c>
      <c r="P407" s="368">
        <f t="shared" si="173"/>
        <v>0.18078426370012646</v>
      </c>
      <c r="Q407" s="369">
        <f t="shared" si="174"/>
        <v>-7.3243268627564966</v>
      </c>
      <c r="R407" s="370">
        <f t="shared" si="175"/>
        <v>-185.81643830285731</v>
      </c>
      <c r="S407" s="372">
        <f t="shared" si="176"/>
        <v>-5.816438302857307</v>
      </c>
      <c r="U407" s="345">
        <f t="shared" si="182"/>
        <v>37586.5</v>
      </c>
      <c r="V407" s="345">
        <f t="shared" si="183"/>
        <v>1412744982.25</v>
      </c>
      <c r="X407" s="371">
        <f t="shared" si="177"/>
        <v>37.376765385788076</v>
      </c>
      <c r="Y407" s="372">
        <f t="shared" si="178"/>
        <v>-31.231616490147779</v>
      </c>
      <c r="AA407" s="371">
        <f t="shared" si="179"/>
        <v>27.340107578014674</v>
      </c>
      <c r="AB407" s="372">
        <f t="shared" si="180"/>
        <v>-154.58482181270949</v>
      </c>
      <c r="AD407">
        <f t="shared" si="184"/>
        <v>0</v>
      </c>
      <c r="AE407">
        <f t="shared" si="161"/>
        <v>0</v>
      </c>
    </row>
    <row r="408" spans="1:31" x14ac:dyDescent="0.3">
      <c r="A408" s="373">
        <v>37802.75</v>
      </c>
      <c r="B408" s="390">
        <f t="shared" si="181"/>
        <v>37.802750000000003</v>
      </c>
      <c r="C408" s="363">
        <f t="shared" si="162"/>
        <v>280.56414067190519</v>
      </c>
      <c r="D408" s="364">
        <f t="shared" si="163"/>
        <v>1.5672320718800414</v>
      </c>
      <c r="E408" s="364">
        <f t="shared" si="164"/>
        <v>1.0398268278502605</v>
      </c>
      <c r="F408" s="365">
        <f t="shared" si="165"/>
        <v>0.27766322199147198</v>
      </c>
      <c r="G408" s="364">
        <f t="shared" si="166"/>
        <v>2.9750520052140565</v>
      </c>
      <c r="H408" s="365">
        <f t="shared" si="167"/>
        <v>-1.2279930527847491</v>
      </c>
      <c r="I408" s="363">
        <f t="shared" si="168"/>
        <v>57199.306672068349</v>
      </c>
      <c r="J408" s="366">
        <f t="shared" si="169"/>
        <v>1.5707788440655031</v>
      </c>
      <c r="K408" s="374">
        <f t="shared" si="185"/>
        <v>194.10529536754657</v>
      </c>
      <c r="L408" s="375">
        <f t="shared" si="186"/>
        <v>1.5656444610421345</v>
      </c>
      <c r="M408" s="363">
        <f t="shared" si="170"/>
        <v>1.1676249300224761</v>
      </c>
      <c r="N408" s="366">
        <f t="shared" si="171"/>
        <v>0.54246369616514689</v>
      </c>
      <c r="O408" s="367">
        <f t="shared" si="172"/>
        <v>1.0006182593569608</v>
      </c>
      <c r="P408" s="368">
        <f t="shared" si="173"/>
        <v>0.18183441315668944</v>
      </c>
      <c r="Q408" s="369">
        <f t="shared" si="174"/>
        <v>-7.3395600618216363</v>
      </c>
      <c r="R408" s="370">
        <f t="shared" si="175"/>
        <v>-186.0390751497761</v>
      </c>
      <c r="S408" s="372">
        <f t="shared" si="176"/>
        <v>-6.0390751497760959</v>
      </c>
      <c r="U408" s="345">
        <f t="shared" si="182"/>
        <v>37802.75</v>
      </c>
      <c r="V408" s="345">
        <f t="shared" si="183"/>
        <v>1429047907.5625</v>
      </c>
      <c r="X408" s="371">
        <f t="shared" si="177"/>
        <v>37.363539528575998</v>
      </c>
      <c r="Y408" s="372">
        <f t="shared" si="178"/>
        <v>-31.375058842823812</v>
      </c>
      <c r="AA408" s="371">
        <f t="shared" si="179"/>
        <v>27.338100236161612</v>
      </c>
      <c r="AB408" s="372">
        <f t="shared" si="180"/>
        <v>-154.66401630695228</v>
      </c>
      <c r="AD408">
        <f t="shared" si="184"/>
        <v>0</v>
      </c>
      <c r="AE408">
        <f t="shared" si="161"/>
        <v>0</v>
      </c>
    </row>
    <row r="409" spans="1:31" x14ac:dyDescent="0.3">
      <c r="A409" s="373">
        <v>38019</v>
      </c>
      <c r="B409" s="390">
        <f t="shared" si="181"/>
        <v>38.018999999999998</v>
      </c>
      <c r="C409" s="363">
        <f t="shared" si="162"/>
        <v>282.16908282145306</v>
      </c>
      <c r="D409" s="364">
        <f t="shared" si="163"/>
        <v>1.5672523449975109</v>
      </c>
      <c r="E409" s="364">
        <f t="shared" si="164"/>
        <v>1.0402749408723142</v>
      </c>
      <c r="F409" s="365">
        <f t="shared" si="165"/>
        <v>0.27917055163234411</v>
      </c>
      <c r="G409" s="364">
        <f t="shared" si="166"/>
        <v>2.9901527763237858</v>
      </c>
      <c r="H409" s="365">
        <f t="shared" si="167"/>
        <v>-1.2297948490898616</v>
      </c>
      <c r="I409" s="363">
        <f t="shared" si="168"/>
        <v>57526.514350453253</v>
      </c>
      <c r="J409" s="366">
        <f t="shared" si="169"/>
        <v>1.5707789435063149</v>
      </c>
      <c r="K409" s="374">
        <f t="shared" si="185"/>
        <v>195.21564208056452</v>
      </c>
      <c r="L409" s="375">
        <f t="shared" si="186"/>
        <v>1.5656737640596718</v>
      </c>
      <c r="M409" s="363">
        <f t="shared" si="170"/>
        <v>1.1694087905662287</v>
      </c>
      <c r="N409" s="366">
        <f t="shared" si="171"/>
        <v>0.5449890651578112</v>
      </c>
      <c r="O409" s="367">
        <f t="shared" si="172"/>
        <v>1.000626812914378</v>
      </c>
      <c r="P409" s="368">
        <f t="shared" si="173"/>
        <v>0.18288473255049412</v>
      </c>
      <c r="Q409" s="369">
        <f t="shared" si="174"/>
        <v>-7.3547220960061779</v>
      </c>
      <c r="R409" s="370">
        <f t="shared" si="175"/>
        <v>-186.26030702287127</v>
      </c>
      <c r="S409" s="372">
        <f t="shared" si="176"/>
        <v>-6.2603070228712738</v>
      </c>
      <c r="U409" s="345">
        <f t="shared" si="182"/>
        <v>38019</v>
      </c>
      <c r="V409" s="345">
        <f t="shared" si="183"/>
        <v>1445444361</v>
      </c>
      <c r="X409" s="371">
        <f t="shared" si="177"/>
        <v>37.350278319239166</v>
      </c>
      <c r="Y409" s="372">
        <f t="shared" si="178"/>
        <v>-31.518078586287032</v>
      </c>
      <c r="AA409" s="371">
        <f t="shared" si="179"/>
        <v>27.336199411313899</v>
      </c>
      <c r="AB409" s="372">
        <f t="shared" si="180"/>
        <v>-154.74222843658424</v>
      </c>
      <c r="AD409">
        <f t="shared" si="184"/>
        <v>0</v>
      </c>
      <c r="AE409">
        <f t="shared" si="161"/>
        <v>0</v>
      </c>
    </row>
    <row r="410" spans="1:31" x14ac:dyDescent="0.3">
      <c r="A410" s="373">
        <v>38240.5</v>
      </c>
      <c r="B410" s="390">
        <f t="shared" si="181"/>
        <v>38.240499999999997</v>
      </c>
      <c r="C410" s="363">
        <f t="shared" si="162"/>
        <v>283.81298900331069</v>
      </c>
      <c r="D410" s="364">
        <f t="shared" si="163"/>
        <v>1.567272872591351</v>
      </c>
      <c r="E410" s="364">
        <f t="shared" si="164"/>
        <v>1.0407363811167913</v>
      </c>
      <c r="F410" s="365">
        <f t="shared" si="165"/>
        <v>0.28071312611615118</v>
      </c>
      <c r="G410" s="364">
        <f t="shared" si="166"/>
        <v>3.0056301171877871</v>
      </c>
      <c r="H410" s="365">
        <f t="shared" si="167"/>
        <v>-1.2316216126547279</v>
      </c>
      <c r="I410" s="363">
        <f t="shared" si="168"/>
        <v>57861.66579906542</v>
      </c>
      <c r="J410" s="366">
        <f t="shared" si="169"/>
        <v>1.5707790441953338</v>
      </c>
      <c r="K410" s="374">
        <f t="shared" si="185"/>
        <v>196.35294535956092</v>
      </c>
      <c r="L410" s="375">
        <f t="shared" si="186"/>
        <v>1.5657034349052104</v>
      </c>
      <c r="M410" s="363">
        <f t="shared" si="170"/>
        <v>1.1712436665170012</v>
      </c>
      <c r="N410" s="366">
        <f t="shared" si="171"/>
        <v>0.5475677518646257</v>
      </c>
      <c r="O410" s="367">
        <f t="shared" si="172"/>
        <v>1.000635659322783</v>
      </c>
      <c r="P410" s="368">
        <f t="shared" si="173"/>
        <v>0.18396072814050446</v>
      </c>
      <c r="Q410" s="369">
        <f t="shared" si="174"/>
        <v>-7.3701799485153536</v>
      </c>
      <c r="R410" s="370">
        <f t="shared" si="175"/>
        <v>-186.48546962844864</v>
      </c>
      <c r="S410" s="372">
        <f t="shared" si="176"/>
        <v>-6.4854696284486408</v>
      </c>
      <c r="U410" s="345">
        <f t="shared" si="182"/>
        <v>38240.5</v>
      </c>
      <c r="V410" s="345">
        <f t="shared" si="183"/>
        <v>1462335840.25</v>
      </c>
      <c r="X410" s="371">
        <f t="shared" si="177"/>
        <v>37.336658976665746</v>
      </c>
      <c r="Y410" s="372">
        <f t="shared" si="178"/>
        <v>-31.664132206272779</v>
      </c>
      <c r="AA410" s="371">
        <f t="shared" si="179"/>
        <v>27.334360901378155</v>
      </c>
      <c r="AB410" s="372">
        <f t="shared" si="180"/>
        <v>-154.82133742217587</v>
      </c>
      <c r="AD410">
        <f t="shared" si="184"/>
        <v>0</v>
      </c>
      <c r="AE410">
        <f t="shared" ref="AE410:AE473" si="187">IF(AD410&gt;0,S410,0)</f>
        <v>0</v>
      </c>
    </row>
    <row r="411" spans="1:31" x14ac:dyDescent="0.3">
      <c r="A411" s="373">
        <v>38462</v>
      </c>
      <c r="B411" s="390">
        <f t="shared" si="181"/>
        <v>38.462000000000003</v>
      </c>
      <c r="C411" s="363">
        <f t="shared" si="162"/>
        <v>285.45689530338456</v>
      </c>
      <c r="D411" s="364">
        <f t="shared" si="163"/>
        <v>1.5672931637541205</v>
      </c>
      <c r="E411" s="364">
        <f t="shared" si="164"/>
        <v>1.041200295632509</v>
      </c>
      <c r="F411" s="365">
        <f t="shared" si="165"/>
        <v>0.28225432965358199</v>
      </c>
      <c r="G411" s="364">
        <f t="shared" si="166"/>
        <v>3.0211173852475639</v>
      </c>
      <c r="H411" s="365">
        <f t="shared" si="167"/>
        <v>-1.2334296529877149</v>
      </c>
      <c r="I411" s="363">
        <f t="shared" si="168"/>
        <v>58196.817247678169</v>
      </c>
      <c r="J411" s="366">
        <f t="shared" si="169"/>
        <v>1.5707791437246301</v>
      </c>
      <c r="K411" s="374">
        <f t="shared" si="185"/>
        <v>197.49024880942747</v>
      </c>
      <c r="L411" s="375">
        <f t="shared" si="186"/>
        <v>1.5657327640148642</v>
      </c>
      <c r="M411" s="363">
        <f t="shared" si="170"/>
        <v>1.1730863064047941</v>
      </c>
      <c r="N411" s="366">
        <f t="shared" si="171"/>
        <v>0.55013835461199379</v>
      </c>
      <c r="O411" s="367">
        <f t="shared" si="172"/>
        <v>1.0006445925516678</v>
      </c>
      <c r="P411" s="368">
        <f t="shared" si="173"/>
        <v>0.18503690392159503</v>
      </c>
      <c r="Q411" s="369">
        <f t="shared" si="174"/>
        <v>-7.3855661404571489</v>
      </c>
      <c r="R411" s="370">
        <f t="shared" si="175"/>
        <v>-186.70919113580476</v>
      </c>
      <c r="S411" s="372">
        <f t="shared" si="176"/>
        <v>-6.7091911358047582</v>
      </c>
      <c r="U411" s="345">
        <f t="shared" si="182"/>
        <v>38462</v>
      </c>
      <c r="V411" s="345">
        <f t="shared" si="183"/>
        <v>1479325444</v>
      </c>
      <c r="X411" s="371">
        <f t="shared" si="177"/>
        <v>37.323003487391219</v>
      </c>
      <c r="Y411" s="372">
        <f t="shared" si="178"/>
        <v>-31.809742163076663</v>
      </c>
      <c r="AA411" s="371">
        <f t="shared" si="179"/>
        <v>27.332630198710884</v>
      </c>
      <c r="AB411" s="372">
        <f t="shared" si="180"/>
        <v>-154.89944897272809</v>
      </c>
      <c r="AD411">
        <f t="shared" si="184"/>
        <v>0</v>
      </c>
      <c r="AE411">
        <f t="shared" si="187"/>
        <v>0</v>
      </c>
    </row>
    <row r="412" spans="1:31" x14ac:dyDescent="0.3">
      <c r="A412" s="373">
        <v>38683.5</v>
      </c>
      <c r="B412" s="390">
        <f t="shared" si="181"/>
        <v>38.683500000000002</v>
      </c>
      <c r="C412" s="363">
        <f t="shared" si="162"/>
        <v>287.10080171964398</v>
      </c>
      <c r="D412" s="364">
        <f t="shared" si="163"/>
        <v>1.5673132225471351</v>
      </c>
      <c r="E412" s="364">
        <f t="shared" si="164"/>
        <v>1.0416666811136579</v>
      </c>
      <c r="F412" s="365">
        <f t="shared" si="165"/>
        <v>0.28379415675956327</v>
      </c>
      <c r="G412" s="364">
        <f t="shared" si="166"/>
        <v>3.0366144286117827</v>
      </c>
      <c r="H412" s="365">
        <f t="shared" si="167"/>
        <v>-1.2352192448326982</v>
      </c>
      <c r="I412" s="363">
        <f t="shared" si="168"/>
        <v>58531.968696291493</v>
      </c>
      <c r="J412" s="366">
        <f t="shared" si="169"/>
        <v>1.570779242114126</v>
      </c>
      <c r="K412" s="374">
        <f t="shared" si="185"/>
        <v>198.62755242722912</v>
      </c>
      <c r="L412" s="375">
        <f t="shared" si="186"/>
        <v>1.5657617572587261</v>
      </c>
      <c r="M412" s="363">
        <f t="shared" si="170"/>
        <v>1.1749366737013243</v>
      </c>
      <c r="N412" s="366">
        <f t="shared" si="171"/>
        <v>0.55270087754073094</v>
      </c>
      <c r="O412" s="367">
        <f t="shared" si="172"/>
        <v>1.0006536132157473</v>
      </c>
      <c r="P412" s="368">
        <f t="shared" si="173"/>
        <v>0.18611326085419105</v>
      </c>
      <c r="Q412" s="369">
        <f t="shared" si="174"/>
        <v>-7.4008821213538276</v>
      </c>
      <c r="R412" s="370">
        <f t="shared" si="175"/>
        <v>-186.93148779066135</v>
      </c>
      <c r="S412" s="372">
        <f t="shared" si="176"/>
        <v>-6.9314877906613503</v>
      </c>
      <c r="U412" s="345">
        <f t="shared" si="182"/>
        <v>38683.5</v>
      </c>
      <c r="V412" s="345">
        <f t="shared" si="183"/>
        <v>1496413172.25</v>
      </c>
      <c r="X412" s="371">
        <f t="shared" si="177"/>
        <v>37.309312324773231</v>
      </c>
      <c r="Y412" s="372">
        <f t="shared" si="178"/>
        <v>-31.954908358759859</v>
      </c>
      <c r="AA412" s="371">
        <f t="shared" si="179"/>
        <v>27.331005380432188</v>
      </c>
      <c r="AB412" s="372">
        <f t="shared" si="180"/>
        <v>-154.97657943190151</v>
      </c>
      <c r="AD412">
        <f t="shared" si="184"/>
        <v>0</v>
      </c>
      <c r="AE412">
        <f t="shared" si="187"/>
        <v>0</v>
      </c>
    </row>
    <row r="413" spans="1:31" x14ac:dyDescent="0.3">
      <c r="A413" s="373">
        <v>38905</v>
      </c>
      <c r="B413" s="390">
        <f t="shared" si="181"/>
        <v>38.905000000000001</v>
      </c>
      <c r="C413" s="363">
        <f t="shared" si="162"/>
        <v>288.74470825010462</v>
      </c>
      <c r="D413" s="364">
        <f t="shared" si="163"/>
        <v>1.5673330529392215</v>
      </c>
      <c r="E413" s="364">
        <f t="shared" si="164"/>
        <v>1.0421355342427552</v>
      </c>
      <c r="F413" s="365">
        <f t="shared" si="165"/>
        <v>0.28533260198492355</v>
      </c>
      <c r="G413" s="364">
        <f t="shared" si="166"/>
        <v>3.0521210983790978</v>
      </c>
      <c r="H413" s="365">
        <f t="shared" si="167"/>
        <v>-1.2369906578280463</v>
      </c>
      <c r="I413" s="363">
        <f t="shared" si="168"/>
        <v>58867.120144905377</v>
      </c>
      <c r="J413" s="366">
        <f t="shared" si="169"/>
        <v>1.5707793393832892</v>
      </c>
      <c r="K413" s="374">
        <f t="shared" si="185"/>
        <v>199.76485621009749</v>
      </c>
      <c r="L413" s="375">
        <f t="shared" si="186"/>
        <v>1.5657904203732136</v>
      </c>
      <c r="M413" s="363">
        <f t="shared" si="170"/>
        <v>1.1767947319553471</v>
      </c>
      <c r="N413" s="366">
        <f t="shared" si="171"/>
        <v>0.55525532519011245</v>
      </c>
      <c r="O413" s="367">
        <f t="shared" si="172"/>
        <v>1.0006627219332547</v>
      </c>
      <c r="P413" s="368">
        <f t="shared" si="173"/>
        <v>0.18718979989723974</v>
      </c>
      <c r="Q413" s="369">
        <f t="shared" si="174"/>
        <v>-7.4161292960654315</v>
      </c>
      <c r="R413" s="370">
        <f t="shared" si="175"/>
        <v>-187.15237556923839</v>
      </c>
      <c r="S413" s="372">
        <f t="shared" si="176"/>
        <v>-7.1523755692383872</v>
      </c>
      <c r="U413" s="345">
        <f t="shared" si="182"/>
        <v>38905</v>
      </c>
      <c r="V413" s="345">
        <f t="shared" si="183"/>
        <v>1513599025</v>
      </c>
      <c r="X413" s="371">
        <f t="shared" si="177"/>
        <v>37.295585959662091</v>
      </c>
      <c r="Y413" s="372">
        <f t="shared" si="178"/>
        <v>-32.099630725846588</v>
      </c>
      <c r="AA413" s="371">
        <f t="shared" si="179"/>
        <v>27.329484570831724</v>
      </c>
      <c r="AB413" s="372">
        <f t="shared" si="180"/>
        <v>-155.05274484339179</v>
      </c>
      <c r="AD413">
        <f t="shared" si="184"/>
        <v>0</v>
      </c>
      <c r="AE413">
        <f t="shared" si="187"/>
        <v>0</v>
      </c>
    </row>
    <row r="414" spans="1:31" x14ac:dyDescent="0.3">
      <c r="A414" s="373">
        <v>39131.5</v>
      </c>
      <c r="B414" s="390">
        <f t="shared" si="181"/>
        <v>39.131500000000003</v>
      </c>
      <c r="C414" s="363">
        <f t="shared" si="162"/>
        <v>290.42572339620074</v>
      </c>
      <c r="D414" s="364">
        <f t="shared" si="163"/>
        <v>1.5673530988181228</v>
      </c>
      <c r="E414" s="364">
        <f t="shared" si="164"/>
        <v>1.0426175193266591</v>
      </c>
      <c r="F414" s="365">
        <f t="shared" si="165"/>
        <v>0.28690434043042873</v>
      </c>
      <c r="G414" s="364">
        <f t="shared" si="166"/>
        <v>3.0679876085634152</v>
      </c>
      <c r="H414" s="365">
        <f t="shared" si="167"/>
        <v>-1.238783534258008</v>
      </c>
      <c r="I414" s="363">
        <f t="shared" si="168"/>
        <v>59209.837088973865</v>
      </c>
      <c r="J414" s="366">
        <f t="shared" si="169"/>
        <v>1.5707794377094133</v>
      </c>
      <c r="K414" s="374">
        <f t="shared" si="185"/>
        <v>200.92783293236582</v>
      </c>
      <c r="L414" s="375">
        <f t="shared" si="186"/>
        <v>1.5658193949595895</v>
      </c>
      <c r="M414" s="363">
        <f t="shared" si="170"/>
        <v>1.1787026482709515</v>
      </c>
      <c r="N414" s="366">
        <f t="shared" si="171"/>
        <v>0.55785908968974129</v>
      </c>
      <c r="O414" s="367">
        <f t="shared" si="172"/>
        <v>1.0006721279703283</v>
      </c>
      <c r="P414" s="368">
        <f t="shared" si="173"/>
        <v>0.18829082936803845</v>
      </c>
      <c r="Q414" s="369">
        <f t="shared" si="174"/>
        <v>-7.4316509157219031</v>
      </c>
      <c r="R414" s="370">
        <f t="shared" si="175"/>
        <v>-187.3768089575824</v>
      </c>
      <c r="S414" s="372">
        <f t="shared" si="176"/>
        <v>-7.3768089575823979</v>
      </c>
      <c r="U414" s="345">
        <f t="shared" si="182"/>
        <v>39131.5</v>
      </c>
      <c r="V414" s="345">
        <f t="shared" si="183"/>
        <v>1531274292.25</v>
      </c>
      <c r="X414" s="371">
        <f t="shared" si="177"/>
        <v>37.281513828831855</v>
      </c>
      <c r="Y414" s="372">
        <f t="shared" si="178"/>
        <v>-32.247160954849349</v>
      </c>
      <c r="AA414" s="371">
        <f t="shared" si="179"/>
        <v>27.328035082005485</v>
      </c>
      <c r="AB414" s="372">
        <f t="shared" si="180"/>
        <v>-155.12964800273303</v>
      </c>
      <c r="AD414">
        <f t="shared" si="184"/>
        <v>0</v>
      </c>
      <c r="AE414">
        <f t="shared" si="187"/>
        <v>0</v>
      </c>
    </row>
    <row r="415" spans="1:31" x14ac:dyDescent="0.3">
      <c r="A415" s="373">
        <v>39358</v>
      </c>
      <c r="B415" s="390">
        <f t="shared" si="181"/>
        <v>39.357999999999997</v>
      </c>
      <c r="C415" s="363">
        <f t="shared" si="162"/>
        <v>292.1067386576575</v>
      </c>
      <c r="D415" s="364">
        <f t="shared" si="163"/>
        <v>1.5673729139770662</v>
      </c>
      <c r="E415" s="364">
        <f t="shared" si="164"/>
        <v>1.0431020776690352</v>
      </c>
      <c r="F415" s="365">
        <f t="shared" si="165"/>
        <v>0.28847462249429673</v>
      </c>
      <c r="G415" s="364">
        <f t="shared" si="166"/>
        <v>3.0838638790091211</v>
      </c>
      <c r="H415" s="365">
        <f t="shared" si="167"/>
        <v>-1.2405579562601849</v>
      </c>
      <c r="I415" s="363">
        <f t="shared" si="168"/>
        <v>59552.554033042921</v>
      </c>
      <c r="J415" s="366">
        <f t="shared" si="169"/>
        <v>1.5707795349038303</v>
      </c>
      <c r="K415" s="374">
        <f t="shared" si="185"/>
        <v>202.09080982137695</v>
      </c>
      <c r="L415" s="375">
        <f t="shared" si="186"/>
        <v>1.5658480360644782</v>
      </c>
      <c r="M415" s="363">
        <f t="shared" si="170"/>
        <v>1.1806185298473935</v>
      </c>
      <c r="N415" s="366">
        <f t="shared" si="171"/>
        <v>0.56045442107457133</v>
      </c>
      <c r="O415" s="367">
        <f t="shared" si="172"/>
        <v>1.0006816273997918</v>
      </c>
      <c r="P415" s="368">
        <f t="shared" si="173"/>
        <v>0.18939205128709946</v>
      </c>
      <c r="Q415" s="369">
        <f t="shared" si="174"/>
        <v>-7.4471034220743029</v>
      </c>
      <c r="R415" s="370">
        <f t="shared" si="175"/>
        <v>-187.59980209716747</v>
      </c>
      <c r="S415" s="372">
        <f t="shared" si="176"/>
        <v>-7.5998020971674691</v>
      </c>
      <c r="U415" s="345">
        <f t="shared" si="182"/>
        <v>39358</v>
      </c>
      <c r="V415" s="345">
        <f t="shared" si="183"/>
        <v>1549052164</v>
      </c>
      <c r="X415" s="371">
        <f t="shared" si="177"/>
        <v>37.267405875994505</v>
      </c>
      <c r="Y415" s="372">
        <f t="shared" si="178"/>
        <v>-32.394227044205181</v>
      </c>
      <c r="AA415" s="371">
        <f t="shared" si="179"/>
        <v>27.326690528490438</v>
      </c>
      <c r="AB415" s="372">
        <f t="shared" si="180"/>
        <v>-155.20557505296227</v>
      </c>
      <c r="AD415">
        <f t="shared" si="184"/>
        <v>0</v>
      </c>
      <c r="AE415">
        <f t="shared" si="187"/>
        <v>0</v>
      </c>
    </row>
    <row r="416" spans="1:31" x14ac:dyDescent="0.3">
      <c r="A416" s="373">
        <v>39584.5</v>
      </c>
      <c r="B416" s="390">
        <f t="shared" si="181"/>
        <v>39.584499999999998</v>
      </c>
      <c r="C416" s="363">
        <f t="shared" si="162"/>
        <v>293.78775403249477</v>
      </c>
      <c r="D416" s="364">
        <f t="shared" si="163"/>
        <v>1.5673925023764852</v>
      </c>
      <c r="E416" s="364">
        <f t="shared" si="164"/>
        <v>1.0435892056854443</v>
      </c>
      <c r="F416" s="365">
        <f t="shared" si="165"/>
        <v>0.29004344246665886</v>
      </c>
      <c r="G416" s="364">
        <f t="shared" si="166"/>
        <v>3.0997497597461621</v>
      </c>
      <c r="H416" s="365">
        <f t="shared" si="167"/>
        <v>-1.2423141963049436</v>
      </c>
      <c r="I416" s="363">
        <f t="shared" si="168"/>
        <v>59895.27097711253</v>
      </c>
      <c r="J416" s="366">
        <f t="shared" si="169"/>
        <v>1.5707796309859665</v>
      </c>
      <c r="K416" s="374">
        <f t="shared" si="185"/>
        <v>203.25378687426866</v>
      </c>
      <c r="L416" s="375">
        <f t="shared" si="186"/>
        <v>1.5658763494121732</v>
      </c>
      <c r="M416" s="363">
        <f t="shared" si="170"/>
        <v>1.1825423379702122</v>
      </c>
      <c r="N416" s="366">
        <f t="shared" si="171"/>
        <v>0.56304132545503116</v>
      </c>
      <c r="O416" s="367">
        <f t="shared" si="172"/>
        <v>1.0006912208941072</v>
      </c>
      <c r="P416" s="368">
        <f t="shared" si="173"/>
        <v>0.19049346667493058</v>
      </c>
      <c r="Q416" s="369">
        <f t="shared" si="174"/>
        <v>-7.4624881815369974</v>
      </c>
      <c r="R416" s="370">
        <f t="shared" si="175"/>
        <v>-187.82137123517091</v>
      </c>
      <c r="S416" s="372">
        <f t="shared" si="176"/>
        <v>-7.8213712351709148</v>
      </c>
      <c r="U416" s="345">
        <f t="shared" si="182"/>
        <v>39584.5</v>
      </c>
      <c r="V416" s="345">
        <f t="shared" si="183"/>
        <v>1566932640.25</v>
      </c>
      <c r="X416" s="371">
        <f t="shared" si="177"/>
        <v>37.253262596351853</v>
      </c>
      <c r="Y416" s="372">
        <f t="shared" si="178"/>
        <v>-32.540829017151019</v>
      </c>
      <c r="AA416" s="371">
        <f t="shared" si="179"/>
        <v>27.3254490486704</v>
      </c>
      <c r="AB416" s="372">
        <f t="shared" si="180"/>
        <v>-155.28054221801992</v>
      </c>
      <c r="AD416">
        <f t="shared" si="184"/>
        <v>0</v>
      </c>
      <c r="AE416">
        <f t="shared" si="187"/>
        <v>0</v>
      </c>
    </row>
    <row r="417" spans="1:31" x14ac:dyDescent="0.3">
      <c r="A417" s="373">
        <v>39811</v>
      </c>
      <c r="B417" s="390">
        <f t="shared" si="181"/>
        <v>39.811</v>
      </c>
      <c r="C417" s="363">
        <f t="shared" si="162"/>
        <v>295.46876951877726</v>
      </c>
      <c r="D417" s="364">
        <f t="shared" si="163"/>
        <v>1.5674118678866846</v>
      </c>
      <c r="E417" s="364">
        <f t="shared" si="164"/>
        <v>1.0440788997791464</v>
      </c>
      <c r="F417" s="365">
        <f t="shared" si="165"/>
        <v>0.29161079467706208</v>
      </c>
      <c r="G417" s="364">
        <f t="shared" si="166"/>
        <v>3.1156451037732595</v>
      </c>
      <c r="H417" s="365">
        <f t="shared" si="167"/>
        <v>-1.2440525217560132</v>
      </c>
      <c r="I417" s="363">
        <f t="shared" si="168"/>
        <v>60237.987921182692</v>
      </c>
      <c r="J417" s="366">
        <f t="shared" si="169"/>
        <v>1.5707797259748069</v>
      </c>
      <c r="K417" s="374">
        <f t="shared" si="185"/>
        <v>204.41676408824392</v>
      </c>
      <c r="L417" s="375">
        <f t="shared" si="186"/>
        <v>1.5659043405967019</v>
      </c>
      <c r="M417" s="363">
        <f t="shared" si="170"/>
        <v>1.1844740340168118</v>
      </c>
      <c r="N417" s="366">
        <f t="shared" si="171"/>
        <v>0.56561980935308398</v>
      </c>
      <c r="O417" s="367">
        <f t="shared" si="172"/>
        <v>1.0007009091295811</v>
      </c>
      <c r="P417" s="368">
        <f t="shared" si="173"/>
        <v>0.19159507655038166</v>
      </c>
      <c r="Q417" s="369">
        <f t="shared" si="174"/>
        <v>-7.4778065176867159</v>
      </c>
      <c r="R417" s="370">
        <f t="shared" si="175"/>
        <v>-188.04153234968166</v>
      </c>
      <c r="S417" s="372">
        <f t="shared" si="176"/>
        <v>-8.0415323496816598</v>
      </c>
      <c r="U417" s="345">
        <f t="shared" si="182"/>
        <v>39811</v>
      </c>
      <c r="V417" s="345">
        <f t="shared" si="183"/>
        <v>1584915721</v>
      </c>
      <c r="X417" s="371">
        <f t="shared" si="177"/>
        <v>37.239084482281982</v>
      </c>
      <c r="Y417" s="372">
        <f t="shared" si="178"/>
        <v>-32.686966927941469</v>
      </c>
      <c r="AA417" s="371">
        <f t="shared" si="179"/>
        <v>27.324308826590553</v>
      </c>
      <c r="AB417" s="372">
        <f t="shared" si="180"/>
        <v>-155.35456542174018</v>
      </c>
      <c r="AD417">
        <f t="shared" si="184"/>
        <v>0</v>
      </c>
      <c r="AE417">
        <f t="shared" si="187"/>
        <v>0</v>
      </c>
    </row>
    <row r="418" spans="1:31" x14ac:dyDescent="0.3">
      <c r="A418" s="373">
        <v>40042.75</v>
      </c>
      <c r="B418" s="390">
        <f t="shared" si="181"/>
        <v>40.042749999999998</v>
      </c>
      <c r="C418" s="363">
        <f t="shared" si="162"/>
        <v>297.18874905354971</v>
      </c>
      <c r="D418" s="364">
        <f t="shared" si="163"/>
        <v>1.5674314555127671</v>
      </c>
      <c r="E418" s="364">
        <f t="shared" si="164"/>
        <v>1.044582596618429</v>
      </c>
      <c r="F418" s="365">
        <f t="shared" si="165"/>
        <v>0.29321295118254764</v>
      </c>
      <c r="G418" s="364">
        <f t="shared" si="166"/>
        <v>3.131918527493188</v>
      </c>
      <c r="H418" s="365">
        <f t="shared" si="167"/>
        <v>-1.2458128708856213</v>
      </c>
      <c r="I418" s="363">
        <f t="shared" si="168"/>
        <v>60588.648635480196</v>
      </c>
      <c r="J418" s="366">
        <f t="shared" si="169"/>
        <v>1.5707798220531246</v>
      </c>
      <c r="K418" s="374">
        <f t="shared" si="185"/>
        <v>205.60669789158501</v>
      </c>
      <c r="L418" s="375">
        <f t="shared" si="186"/>
        <v>1.5659326528347601</v>
      </c>
      <c r="M418" s="363">
        <f t="shared" si="170"/>
        <v>1.1864586285804228</v>
      </c>
      <c r="N418" s="366">
        <f t="shared" si="171"/>
        <v>0.56824935115268105</v>
      </c>
      <c r="O418" s="367">
        <f t="shared" si="172"/>
        <v>1.000710920696837</v>
      </c>
      <c r="P418" s="368">
        <f t="shared" si="173"/>
        <v>0.19272242279236446</v>
      </c>
      <c r="Q418" s="369">
        <f t="shared" si="174"/>
        <v>-7.4934125010902601</v>
      </c>
      <c r="R418" s="370">
        <f t="shared" si="175"/>
        <v>-188.26535556997342</v>
      </c>
      <c r="S418" s="372">
        <f t="shared" si="176"/>
        <v>-8.2653555699734227</v>
      </c>
      <c r="U418" s="345">
        <f t="shared" si="182"/>
        <v>40042.75</v>
      </c>
      <c r="V418" s="345">
        <f t="shared" si="183"/>
        <v>1603421827.5625</v>
      </c>
      <c r="X418" s="371">
        <f t="shared" si="177"/>
        <v>37.224542192098554</v>
      </c>
      <c r="Y418" s="372">
        <f t="shared" si="178"/>
        <v>-32.836011908414719</v>
      </c>
      <c r="AA418" s="371">
        <f t="shared" si="179"/>
        <v>27.323245133370438</v>
      </c>
      <c r="AB418" s="372">
        <f t="shared" si="180"/>
        <v>-155.4293436615587</v>
      </c>
      <c r="AD418">
        <f t="shared" si="184"/>
        <v>0</v>
      </c>
      <c r="AE418">
        <f t="shared" si="187"/>
        <v>0</v>
      </c>
    </row>
    <row r="419" spans="1:31" x14ac:dyDescent="0.3">
      <c r="A419" s="373">
        <v>40274.5</v>
      </c>
      <c r="B419" s="390">
        <f t="shared" si="181"/>
        <v>40.274500000000003</v>
      </c>
      <c r="C419" s="363">
        <f t="shared" si="162"/>
        <v>298.90872870103385</v>
      </c>
      <c r="D419" s="364">
        <f t="shared" si="163"/>
        <v>1.5674508177167465</v>
      </c>
      <c r="E419" s="364">
        <f t="shared" si="164"/>
        <v>1.0450889722138468</v>
      </c>
      <c r="F419" s="365">
        <f t="shared" si="165"/>
        <v>0.29481355921173324</v>
      </c>
      <c r="G419" s="364">
        <f t="shared" si="166"/>
        <v>3.1482015561403522</v>
      </c>
      <c r="H419" s="365">
        <f t="shared" si="167"/>
        <v>-1.2475550157230806</v>
      </c>
      <c r="I419" s="363">
        <f t="shared" si="168"/>
        <v>60939.309349778254</v>
      </c>
      <c r="J419" s="366">
        <f t="shared" si="169"/>
        <v>1.5707799170257228</v>
      </c>
      <c r="K419" s="374">
        <f t="shared" si="185"/>
        <v>206.79663185784023</v>
      </c>
      <c r="L419" s="375">
        <f t="shared" si="186"/>
        <v>1.5659606392484455</v>
      </c>
      <c r="M419" s="363">
        <f t="shared" si="170"/>
        <v>1.1884513994685211</v>
      </c>
      <c r="N419" s="366">
        <f t="shared" si="171"/>
        <v>0.57087009269953182</v>
      </c>
      <c r="O419" s="367">
        <f t="shared" si="172"/>
        <v>1.0007210328929008</v>
      </c>
      <c r="P419" s="368">
        <f t="shared" si="173"/>
        <v>0.1938499747950593</v>
      </c>
      <c r="Q419" s="369">
        <f t="shared" si="174"/>
        <v>-7.5089516182758853</v>
      </c>
      <c r="R419" s="370">
        <f t="shared" si="175"/>
        <v>-188.48773774346375</v>
      </c>
      <c r="S419" s="372">
        <f t="shared" si="176"/>
        <v>-8.4877377434637538</v>
      </c>
      <c r="U419" s="345">
        <f t="shared" si="182"/>
        <v>40274.5</v>
      </c>
      <c r="V419" s="345">
        <f t="shared" si="183"/>
        <v>1622035350.25</v>
      </c>
      <c r="X419" s="371">
        <f t="shared" si="177"/>
        <v>37.209964467684493</v>
      </c>
      <c r="Y419" s="372">
        <f t="shared" si="178"/>
        <v>-32.984571276554782</v>
      </c>
      <c r="AA419" s="371">
        <f t="shared" si="179"/>
        <v>27.32228374059887</v>
      </c>
      <c r="AB419" s="372">
        <f t="shared" si="180"/>
        <v>-155.50316646690891</v>
      </c>
      <c r="AD419">
        <f t="shared" si="184"/>
        <v>0</v>
      </c>
      <c r="AE419">
        <f t="shared" si="187"/>
        <v>0</v>
      </c>
    </row>
    <row r="420" spans="1:31" x14ac:dyDescent="0.3">
      <c r="A420" s="373">
        <v>40506.25</v>
      </c>
      <c r="B420" s="390">
        <f t="shared" si="181"/>
        <v>40.506250000000001</v>
      </c>
      <c r="C420" s="363">
        <f t="shared" si="162"/>
        <v>300.62870845929507</v>
      </c>
      <c r="D420" s="364">
        <f t="shared" si="163"/>
        <v>1.5674699583677145</v>
      </c>
      <c r="E420" s="364">
        <f t="shared" si="164"/>
        <v>1.0455980226734927</v>
      </c>
      <c r="F420" s="365">
        <f t="shared" si="165"/>
        <v>0.29641261281900183</v>
      </c>
      <c r="G420" s="364">
        <f t="shared" si="166"/>
        <v>3.1644940414471621</v>
      </c>
      <c r="H420" s="365">
        <f t="shared" si="167"/>
        <v>-1.2492792267868464</v>
      </c>
      <c r="I420" s="363">
        <f t="shared" si="168"/>
        <v>61289.970064076857</v>
      </c>
      <c r="J420" s="366">
        <f t="shared" si="169"/>
        <v>1.5707800109115799</v>
      </c>
      <c r="K420" s="374">
        <f t="shared" si="185"/>
        <v>207.98656598421334</v>
      </c>
      <c r="L420" s="375">
        <f t="shared" si="186"/>
        <v>1.5659883054300399</v>
      </c>
      <c r="M420" s="363">
        <f t="shared" si="170"/>
        <v>1.1904523056205591</v>
      </c>
      <c r="N420" s="366">
        <f t="shared" si="171"/>
        <v>0.57348204227787092</v>
      </c>
      <c r="O420" s="367">
        <f t="shared" si="172"/>
        <v>1.0007312464546974</v>
      </c>
      <c r="P420" s="368">
        <f t="shared" si="173"/>
        <v>0.19497773364435866</v>
      </c>
      <c r="Q420" s="369">
        <f t="shared" si="174"/>
        <v>-7.5244251566548526</v>
      </c>
      <c r="R420" s="370">
        <f t="shared" si="175"/>
        <v>-188.7086951496016</v>
      </c>
      <c r="S420" s="372">
        <f t="shared" si="176"/>
        <v>-8.7086951496015956</v>
      </c>
      <c r="U420" s="345">
        <f t="shared" si="182"/>
        <v>40506.25</v>
      </c>
      <c r="V420" s="345">
        <f t="shared" si="183"/>
        <v>1640756289.0625</v>
      </c>
      <c r="X420" s="371">
        <f t="shared" si="177"/>
        <v>37.19535182715795</v>
      </c>
      <c r="Y420" s="372">
        <f t="shared" si="178"/>
        <v>-33.132645187686563</v>
      </c>
      <c r="AA420" s="371">
        <f t="shared" si="179"/>
        <v>27.321422842746443</v>
      </c>
      <c r="AB420" s="372">
        <f t="shared" si="180"/>
        <v>-155.57604996191509</v>
      </c>
      <c r="AD420">
        <f t="shared" si="184"/>
        <v>0</v>
      </c>
      <c r="AE420">
        <f t="shared" si="187"/>
        <v>0</v>
      </c>
    </row>
    <row r="421" spans="1:31" x14ac:dyDescent="0.3">
      <c r="A421" s="373">
        <v>40738</v>
      </c>
      <c r="B421" s="390">
        <f t="shared" si="181"/>
        <v>40.738</v>
      </c>
      <c r="C421" s="363">
        <f t="shared" si="162"/>
        <v>302.34868832644293</v>
      </c>
      <c r="D421" s="364">
        <f t="shared" si="163"/>
        <v>1.5674888812467223</v>
      </c>
      <c r="E421" s="364">
        <f t="shared" si="164"/>
        <v>1.0461097440924965</v>
      </c>
      <c r="F421" s="365">
        <f t="shared" si="165"/>
        <v>0.29801010610207584</v>
      </c>
      <c r="G421" s="364">
        <f t="shared" si="166"/>
        <v>3.1807958380985837</v>
      </c>
      <c r="H421" s="365">
        <f t="shared" si="167"/>
        <v>-1.2509857694810382</v>
      </c>
      <c r="I421" s="363">
        <f t="shared" si="168"/>
        <v>61640.630778375984</v>
      </c>
      <c r="J421" s="366">
        <f t="shared" si="169"/>
        <v>1.570780103729243</v>
      </c>
      <c r="K421" s="374">
        <f t="shared" si="185"/>
        <v>209.17650026797182</v>
      </c>
      <c r="L421" s="375">
        <f t="shared" si="186"/>
        <v>1.5660156568445758</v>
      </c>
      <c r="M421" s="363">
        <f t="shared" si="170"/>
        <v>1.1924613060845177</v>
      </c>
      <c r="N421" s="366">
        <f t="shared" si="171"/>
        <v>0.57608520859629264</v>
      </c>
      <c r="O421" s="367">
        <f t="shared" si="172"/>
        <v>1.0007415621233597</v>
      </c>
      <c r="P421" s="368">
        <f t="shared" si="173"/>
        <v>0.19610570042429051</v>
      </c>
      <c r="Q421" s="369">
        <f t="shared" si="174"/>
        <v>-7.5398343625306952</v>
      </c>
      <c r="R421" s="370">
        <f t="shared" si="175"/>
        <v>-188.92824379875228</v>
      </c>
      <c r="S421" s="372">
        <f t="shared" si="176"/>
        <v>-8.9282437987522769</v>
      </c>
      <c r="U421" s="345">
        <f t="shared" si="182"/>
        <v>40738</v>
      </c>
      <c r="V421" s="345">
        <f t="shared" si="183"/>
        <v>1659584644</v>
      </c>
      <c r="X421" s="371">
        <f t="shared" si="177"/>
        <v>37.180704785465238</v>
      </c>
      <c r="Y421" s="372">
        <f t="shared" si="178"/>
        <v>-33.280233828715119</v>
      </c>
      <c r="AA421" s="371">
        <f t="shared" si="179"/>
        <v>27.320660678563318</v>
      </c>
      <c r="AB421" s="372">
        <f t="shared" si="180"/>
        <v>-155.64800997003715</v>
      </c>
      <c r="AD421">
        <f t="shared" si="184"/>
        <v>0</v>
      </c>
      <c r="AE421">
        <f t="shared" si="187"/>
        <v>0</v>
      </c>
    </row>
    <row r="422" spans="1:31" x14ac:dyDescent="0.3">
      <c r="A422" s="373">
        <v>40975.25</v>
      </c>
      <c r="B422" s="390">
        <f t="shared" si="181"/>
        <v>40.975250000000003</v>
      </c>
      <c r="C422" s="363">
        <f t="shared" si="162"/>
        <v>304.10948767562815</v>
      </c>
      <c r="D422" s="364">
        <f t="shared" si="163"/>
        <v>1.5675080314845689</v>
      </c>
      <c r="E422" s="364">
        <f t="shared" si="164"/>
        <v>1.0466363726286789</v>
      </c>
      <c r="F422" s="365">
        <f t="shared" si="165"/>
        <v>0.29964388942110076</v>
      </c>
      <c r="G422" s="364">
        <f t="shared" si="166"/>
        <v>3.1974940134003842</v>
      </c>
      <c r="H422" s="365">
        <f t="shared" si="167"/>
        <v>-1.2527147821839317</v>
      </c>
      <c r="I422" s="363">
        <f t="shared" si="168"/>
        <v>61999.613537675221</v>
      </c>
      <c r="J422" s="366">
        <f t="shared" si="169"/>
        <v>1.5707801976621008</v>
      </c>
      <c r="K422" s="374">
        <f t="shared" si="185"/>
        <v>210.3946747920638</v>
      </c>
      <c r="L422" s="375">
        <f t="shared" si="186"/>
        <v>1.5660433368908013</v>
      </c>
      <c r="M422" s="363">
        <f t="shared" si="170"/>
        <v>1.1945263271897981</v>
      </c>
      <c r="N422" s="366">
        <f t="shared" si="171"/>
        <v>0.57874106560711591</v>
      </c>
      <c r="O422" s="367">
        <f t="shared" si="172"/>
        <v>1.000752229157035</v>
      </c>
      <c r="P422" s="368">
        <f t="shared" si="173"/>
        <v>0.19726065316345104</v>
      </c>
      <c r="Q422" s="369">
        <f t="shared" si="174"/>
        <v>-7.5555438856404846</v>
      </c>
      <c r="R422" s="370">
        <f t="shared" si="175"/>
        <v>-189.15156001592626</v>
      </c>
      <c r="S422" s="372">
        <f t="shared" si="176"/>
        <v>-9.1515600159262647</v>
      </c>
      <c r="U422" s="345">
        <f t="shared" si="182"/>
        <v>40975.25</v>
      </c>
      <c r="V422" s="345">
        <f t="shared" si="183"/>
        <v>1678971112.5625</v>
      </c>
      <c r="X422" s="371">
        <f t="shared" si="177"/>
        <v>37.165675032092139</v>
      </c>
      <c r="Y422" s="372">
        <f t="shared" si="178"/>
        <v>-33.430822658728445</v>
      </c>
      <c r="AA422" s="371">
        <f t="shared" si="179"/>
        <v>27.319980908826622</v>
      </c>
      <c r="AB422" s="372">
        <f t="shared" si="180"/>
        <v>-155.72073735719781</v>
      </c>
      <c r="AD422">
        <f t="shared" si="184"/>
        <v>0</v>
      </c>
      <c r="AE422">
        <f t="shared" si="187"/>
        <v>0</v>
      </c>
    </row>
    <row r="423" spans="1:31" x14ac:dyDescent="0.3">
      <c r="A423" s="373">
        <v>41212.5</v>
      </c>
      <c r="B423" s="390">
        <f t="shared" si="181"/>
        <v>41.212499999999999</v>
      </c>
      <c r="C423" s="363">
        <f t="shared" si="162"/>
        <v>305.87028713505583</v>
      </c>
      <c r="D423" s="364">
        <f t="shared" si="163"/>
        <v>1.5675269612385776</v>
      </c>
      <c r="E423" s="364">
        <f t="shared" si="164"/>
        <v>1.0471657920825059</v>
      </c>
      <c r="F423" s="365">
        <f t="shared" si="165"/>
        <v>0.301276025097378</v>
      </c>
      <c r="G423" s="364">
        <f t="shared" si="166"/>
        <v>3.2142016482268496</v>
      </c>
      <c r="H423" s="365">
        <f t="shared" si="167"/>
        <v>-1.2544258249107485</v>
      </c>
      <c r="I423" s="363">
        <f t="shared" si="168"/>
        <v>62358.596296974989</v>
      </c>
      <c r="J423" s="366">
        <f t="shared" si="169"/>
        <v>1.5707802905134627</v>
      </c>
      <c r="K423" s="374">
        <f t="shared" si="185"/>
        <v>211.61284947550109</v>
      </c>
      <c r="L423" s="375">
        <f t="shared" si="186"/>
        <v>1.5660706982500525</v>
      </c>
      <c r="M423" s="363">
        <f t="shared" si="170"/>
        <v>1.1965997448621732</v>
      </c>
      <c r="N423" s="366">
        <f t="shared" si="171"/>
        <v>0.58138773731817894</v>
      </c>
      <c r="O423" s="367">
        <f t="shared" si="172"/>
        <v>1.0007630047869849</v>
      </c>
      <c r="P423" s="368">
        <f t="shared" si="173"/>
        <v>0.1984158261128797</v>
      </c>
      <c r="Q423" s="369">
        <f t="shared" si="174"/>
        <v>-7.5711885035879964</v>
      </c>
      <c r="R423" s="370">
        <f t="shared" si="175"/>
        <v>-189.3734329351563</v>
      </c>
      <c r="S423" s="372">
        <f t="shared" si="176"/>
        <v>-9.3734329351563019</v>
      </c>
      <c r="U423" s="345">
        <f t="shared" si="182"/>
        <v>41212.5</v>
      </c>
      <c r="V423" s="345">
        <f t="shared" si="183"/>
        <v>1698470156.25</v>
      </c>
      <c r="X423" s="371">
        <f t="shared" si="177"/>
        <v>37.150610307235027</v>
      </c>
      <c r="Y423" s="372">
        <f t="shared" si="178"/>
        <v>-33.580903407284836</v>
      </c>
      <c r="AA423" s="371">
        <f t="shared" si="179"/>
        <v>27.319401015736226</v>
      </c>
      <c r="AB423" s="372">
        <f t="shared" si="180"/>
        <v>-155.79252952787147</v>
      </c>
      <c r="AD423">
        <f t="shared" si="184"/>
        <v>0</v>
      </c>
      <c r="AE423">
        <f t="shared" si="187"/>
        <v>0</v>
      </c>
    </row>
    <row r="424" spans="1:31" x14ac:dyDescent="0.3">
      <c r="A424" s="373">
        <v>41449.75</v>
      </c>
      <c r="B424" s="390">
        <f t="shared" si="181"/>
        <v>41.449750000000002</v>
      </c>
      <c r="C424" s="363">
        <f t="shared" si="162"/>
        <v>307.6310867028331</v>
      </c>
      <c r="D424" s="364">
        <f t="shared" si="163"/>
        <v>1.5675456742947096</v>
      </c>
      <c r="E424" s="364">
        <f t="shared" si="164"/>
        <v>1.0476979982230841</v>
      </c>
      <c r="F424" s="365">
        <f t="shared" si="165"/>
        <v>0.30290650693968141</v>
      </c>
      <c r="G424" s="364">
        <f t="shared" si="166"/>
        <v>3.2309185958275051</v>
      </c>
      <c r="H424" s="365">
        <f t="shared" si="167"/>
        <v>-1.2561191664971894</v>
      </c>
      <c r="I424" s="363">
        <f t="shared" si="168"/>
        <v>62717.579056275281</v>
      </c>
      <c r="J424" s="366">
        <f t="shared" si="169"/>
        <v>1.5707803823018998</v>
      </c>
      <c r="K424" s="374">
        <f t="shared" si="185"/>
        <v>212.83102431554752</v>
      </c>
      <c r="L424" s="375">
        <f t="shared" si="186"/>
        <v>1.5660977463944667</v>
      </c>
      <c r="M424" s="363">
        <f t="shared" si="170"/>
        <v>1.1986815155297934</v>
      </c>
      <c r="N424" s="366">
        <f t="shared" si="171"/>
        <v>0.58402523441126675</v>
      </c>
      <c r="O424" s="367">
        <f t="shared" si="172"/>
        <v>1.0007738898220766</v>
      </c>
      <c r="P424" s="368">
        <f t="shared" si="173"/>
        <v>0.19957122042947895</v>
      </c>
      <c r="Q424" s="369">
        <f t="shared" si="174"/>
        <v>-7.5867694283347227</v>
      </c>
      <c r="R424" s="370">
        <f t="shared" si="175"/>
        <v>-189.59387889708464</v>
      </c>
      <c r="S424" s="372">
        <f t="shared" si="176"/>
        <v>-9.593878897084636</v>
      </c>
      <c r="U424" s="345">
        <f t="shared" si="182"/>
        <v>41449.75</v>
      </c>
      <c r="V424" s="345">
        <f t="shared" si="183"/>
        <v>1718081775.0625</v>
      </c>
      <c r="X424" s="371">
        <f t="shared" si="177"/>
        <v>37.135511152940722</v>
      </c>
      <c r="Y424" s="372">
        <f t="shared" si="178"/>
        <v>-33.730476373939162</v>
      </c>
      <c r="AA424" s="371">
        <f t="shared" si="179"/>
        <v>27.318919245283805</v>
      </c>
      <c r="AB424" s="372">
        <f t="shared" si="180"/>
        <v>-155.86340252314548</v>
      </c>
      <c r="AD424">
        <f t="shared" si="184"/>
        <v>0</v>
      </c>
      <c r="AE424">
        <f t="shared" si="187"/>
        <v>0</v>
      </c>
    </row>
    <row r="425" spans="1:31" x14ac:dyDescent="0.3">
      <c r="A425" s="373">
        <v>41687</v>
      </c>
      <c r="B425" s="390">
        <f t="shared" si="181"/>
        <v>41.686999999999998</v>
      </c>
      <c r="C425" s="363">
        <f t="shared" si="162"/>
        <v>309.39188637710998</v>
      </c>
      <c r="D425" s="364">
        <f t="shared" si="163"/>
        <v>1.5675641743527406</v>
      </c>
      <c r="E425" s="364">
        <f t="shared" si="164"/>
        <v>1.0482329868058653</v>
      </c>
      <c r="F425" s="365">
        <f t="shared" si="165"/>
        <v>0.30453532880449879</v>
      </c>
      <c r="G425" s="364">
        <f t="shared" si="166"/>
        <v>3.2476447123924483</v>
      </c>
      <c r="H425" s="365">
        <f t="shared" si="167"/>
        <v>-1.2577950706513865</v>
      </c>
      <c r="I425" s="363">
        <f t="shared" si="168"/>
        <v>63076.561815576104</v>
      </c>
      <c r="J425" s="366">
        <f t="shared" si="169"/>
        <v>1.5707804730455599</v>
      </c>
      <c r="K425" s="374">
        <f t="shared" si="185"/>
        <v>214.04919930952929</v>
      </c>
      <c r="L425" s="375">
        <f t="shared" si="186"/>
        <v>1.5661244866716131</v>
      </c>
      <c r="M425" s="363">
        <f t="shared" si="170"/>
        <v>1.2007715957480432</v>
      </c>
      <c r="N425" s="366">
        <f t="shared" si="171"/>
        <v>0.58665356800481416</v>
      </c>
      <c r="O425" s="367">
        <f t="shared" si="172"/>
        <v>1.0007848850757948</v>
      </c>
      <c r="P425" s="368">
        <f t="shared" si="173"/>
        <v>0.20072683726804996</v>
      </c>
      <c r="Q425" s="369">
        <f t="shared" si="174"/>
        <v>-7.6022878323914398</v>
      </c>
      <c r="R425" s="370">
        <f t="shared" si="175"/>
        <v>-189.81291397290445</v>
      </c>
      <c r="S425" s="372">
        <f t="shared" si="176"/>
        <v>-9.8129139729044539</v>
      </c>
      <c r="U425" s="345">
        <f t="shared" si="182"/>
        <v>41687</v>
      </c>
      <c r="V425" s="345">
        <f t="shared" si="183"/>
        <v>1737805969</v>
      </c>
      <c r="X425" s="371">
        <f t="shared" si="177"/>
        <v>37.120378107701953</v>
      </c>
      <c r="Y425" s="372">
        <f t="shared" si="178"/>
        <v>-33.879541890377467</v>
      </c>
      <c r="AA425" s="371">
        <f t="shared" si="179"/>
        <v>27.318533886465861</v>
      </c>
      <c r="AB425" s="372">
        <f t="shared" si="180"/>
        <v>-155.933372082527</v>
      </c>
      <c r="AD425">
        <f t="shared" si="184"/>
        <v>0</v>
      </c>
      <c r="AE425">
        <f t="shared" si="187"/>
        <v>0</v>
      </c>
    </row>
    <row r="426" spans="1:31" x14ac:dyDescent="0.3">
      <c r="A426" s="373">
        <v>41929.75</v>
      </c>
      <c r="B426" s="390">
        <f t="shared" si="181"/>
        <v>41.929749999999999</v>
      </c>
      <c r="C426" s="363">
        <f t="shared" si="162"/>
        <v>311.19350554101214</v>
      </c>
      <c r="D426" s="364">
        <f t="shared" si="163"/>
        <v>1.5675828865937698</v>
      </c>
      <c r="E426" s="364">
        <f t="shared" si="164"/>
        <v>1.0487832531565164</v>
      </c>
      <c r="F426" s="365">
        <f t="shared" si="165"/>
        <v>0.30620018599727067</v>
      </c>
      <c r="G426" s="364">
        <f t="shared" si="166"/>
        <v>3.2647679220367305</v>
      </c>
      <c r="H426" s="365">
        <f t="shared" si="167"/>
        <v>-1.259492047437603</v>
      </c>
      <c r="I426" s="363">
        <f t="shared" si="168"/>
        <v>63443.866619877059</v>
      </c>
      <c r="J426" s="366">
        <f t="shared" si="169"/>
        <v>1.5707805648299769</v>
      </c>
      <c r="K426" s="374">
        <f t="shared" si="185"/>
        <v>215.29561455481232</v>
      </c>
      <c r="L426" s="375">
        <f t="shared" si="186"/>
        <v>1.5661515336449723</v>
      </c>
      <c r="M426" s="363">
        <f t="shared" si="170"/>
        <v>1.2029186843831838</v>
      </c>
      <c r="N426" s="366">
        <f t="shared" si="171"/>
        <v>0.58933335984774637</v>
      </c>
      <c r="O426" s="367">
        <f t="shared" si="172"/>
        <v>1.0007962501590191</v>
      </c>
      <c r="P426" s="368">
        <f t="shared" si="173"/>
        <v>0.20190947548147625</v>
      </c>
      <c r="Q426" s="369">
        <f t="shared" si="174"/>
        <v>-7.6181024601309133</v>
      </c>
      <c r="R426" s="370">
        <f t="shared" si="175"/>
        <v>-190.03558294507059</v>
      </c>
      <c r="S426" s="372">
        <f t="shared" si="176"/>
        <v>-10.035582945070587</v>
      </c>
      <c r="U426" s="345">
        <f t="shared" si="182"/>
        <v>41929.75</v>
      </c>
      <c r="V426" s="345">
        <f t="shared" si="183"/>
        <v>1758103935.0625</v>
      </c>
      <c r="X426" s="371">
        <f t="shared" si="177"/>
        <v>37.104859723080452</v>
      </c>
      <c r="Y426" s="372">
        <f t="shared" si="178"/>
        <v>-34.031538234562383</v>
      </c>
      <c r="AA426" s="371">
        <f t="shared" si="179"/>
        <v>27.318237643347882</v>
      </c>
      <c r="AB426" s="372">
        <f t="shared" si="180"/>
        <v>-156.00404471050823</v>
      </c>
      <c r="AD426">
        <f t="shared" si="184"/>
        <v>0</v>
      </c>
      <c r="AE426">
        <f t="shared" si="187"/>
        <v>0</v>
      </c>
    </row>
    <row r="427" spans="1:31" x14ac:dyDescent="0.3">
      <c r="A427" s="373">
        <v>42172.5</v>
      </c>
      <c r="B427" s="390">
        <f t="shared" si="181"/>
        <v>42.172499999999999</v>
      </c>
      <c r="C427" s="363">
        <f t="shared" si="162"/>
        <v>312.99512481262377</v>
      </c>
      <c r="D427" s="364">
        <f t="shared" si="163"/>
        <v>1.5676013834171751</v>
      </c>
      <c r="E427" s="364">
        <f t="shared" si="164"/>
        <v>1.0493364234181062</v>
      </c>
      <c r="F427" s="365">
        <f t="shared" si="165"/>
        <v>0.30786329249690519</v>
      </c>
      <c r="G427" s="364">
        <f t="shared" si="166"/>
        <v>3.2819004352105194</v>
      </c>
      <c r="H427" s="365">
        <f t="shared" si="167"/>
        <v>-1.2611713115532204</v>
      </c>
      <c r="I427" s="363">
        <f t="shared" si="168"/>
        <v>63811.171424178538</v>
      </c>
      <c r="J427" s="366">
        <f t="shared" si="169"/>
        <v>1.5707806555577493</v>
      </c>
      <c r="K427" s="374">
        <f t="shared" si="185"/>
        <v>216.54202995577936</v>
      </c>
      <c r="L427" s="375">
        <f t="shared" si="186"/>
        <v>1.5661782692537241</v>
      </c>
      <c r="M427" s="363">
        <f t="shared" si="170"/>
        <v>1.2050743807007558</v>
      </c>
      <c r="N427" s="366">
        <f t="shared" si="171"/>
        <v>0.59200358332240466</v>
      </c>
      <c r="O427" s="367">
        <f t="shared" si="172"/>
        <v>1.0008077323681708</v>
      </c>
      <c r="P427" s="368">
        <f t="shared" si="173"/>
        <v>0.20309234909276105</v>
      </c>
      <c r="Q427" s="369">
        <f t="shared" si="174"/>
        <v>-7.6338539974550725</v>
      </c>
      <c r="R427" s="370">
        <f t="shared" si="175"/>
        <v>-190.2568080602947</v>
      </c>
      <c r="S427" s="372">
        <f t="shared" si="176"/>
        <v>-10.256808060294702</v>
      </c>
      <c r="U427" s="345">
        <f t="shared" si="182"/>
        <v>42172.5</v>
      </c>
      <c r="V427" s="345">
        <f t="shared" si="183"/>
        <v>1778519756.25</v>
      </c>
      <c r="X427" s="371">
        <f t="shared" si="177"/>
        <v>37.089306987070103</v>
      </c>
      <c r="Y427" s="372">
        <f t="shared" si="178"/>
        <v>-34.183004130964399</v>
      </c>
      <c r="AA427" s="371">
        <f t="shared" si="179"/>
        <v>27.318038842034078</v>
      </c>
      <c r="AB427" s="372">
        <f t="shared" si="180"/>
        <v>-156.0738039293303</v>
      </c>
      <c r="AD427">
        <f t="shared" si="184"/>
        <v>0</v>
      </c>
      <c r="AE427">
        <f t="shared" si="187"/>
        <v>0</v>
      </c>
    </row>
    <row r="428" spans="1:31" x14ac:dyDescent="0.3">
      <c r="A428" s="373">
        <v>42415.25</v>
      </c>
      <c r="B428" s="390">
        <f t="shared" si="181"/>
        <v>42.41525</v>
      </c>
      <c r="C428" s="363">
        <f t="shared" si="162"/>
        <v>314.79674419009535</v>
      </c>
      <c r="D428" s="364">
        <f t="shared" si="163"/>
        <v>1.567619668521526</v>
      </c>
      <c r="E428" s="364">
        <f t="shared" si="164"/>
        <v>1.0498924930005722</v>
      </c>
      <c r="F428" s="365">
        <f t="shared" si="165"/>
        <v>0.30952464187787782</v>
      </c>
      <c r="G428" s="364">
        <f t="shared" si="166"/>
        <v>3.2990421069691607</v>
      </c>
      <c r="H428" s="365">
        <f t="shared" si="167"/>
        <v>-1.2628331295556199</v>
      </c>
      <c r="I428" s="363">
        <f t="shared" si="168"/>
        <v>64178.47622848054</v>
      </c>
      <c r="J428" s="366">
        <f t="shared" si="169"/>
        <v>1.5707807452470195</v>
      </c>
      <c r="K428" s="374">
        <f t="shared" si="185"/>
        <v>217.78844550975739</v>
      </c>
      <c r="L428" s="375">
        <f t="shared" si="186"/>
        <v>1.5662046988437019</v>
      </c>
      <c r="M428" s="363">
        <f t="shared" si="170"/>
        <v>1.2072386385900356</v>
      </c>
      <c r="N428" s="366">
        <f t="shared" si="171"/>
        <v>0.59466425170991388</v>
      </c>
      <c r="O428" s="367">
        <f t="shared" si="172"/>
        <v>1.0008193325896397</v>
      </c>
      <c r="P428" s="368">
        <f t="shared" si="173"/>
        <v>0.20427545933197361</v>
      </c>
      <c r="Q428" s="369">
        <f t="shared" si="174"/>
        <v>-7.649543580530084</v>
      </c>
      <c r="R428" s="370">
        <f t="shared" si="175"/>
        <v>-190.47660569743346</v>
      </c>
      <c r="S428" s="372">
        <f t="shared" si="176"/>
        <v>-10.476605697433456</v>
      </c>
      <c r="U428" s="345">
        <f t="shared" si="182"/>
        <v>42415.25</v>
      </c>
      <c r="V428" s="345">
        <f t="shared" si="183"/>
        <v>1799053432.5625</v>
      </c>
      <c r="X428" s="371">
        <f t="shared" si="177"/>
        <v>37.073720464839738</v>
      </c>
      <c r="Y428" s="372">
        <f t="shared" si="178"/>
        <v>-34.333940035281671</v>
      </c>
      <c r="AA428" s="371">
        <f t="shared" si="179"/>
        <v>27.317935781189426</v>
      </c>
      <c r="AB428" s="372">
        <f t="shared" si="180"/>
        <v>-156.14266566215178</v>
      </c>
      <c r="AD428">
        <f t="shared" si="184"/>
        <v>0</v>
      </c>
      <c r="AE428">
        <f t="shared" si="187"/>
        <v>0</v>
      </c>
    </row>
    <row r="429" spans="1:31" x14ac:dyDescent="0.3">
      <c r="A429" s="373">
        <v>42658</v>
      </c>
      <c r="B429" s="390">
        <f t="shared" si="181"/>
        <v>42.658000000000001</v>
      </c>
      <c r="C429" s="363">
        <f t="shared" si="162"/>
        <v>316.59836367161984</v>
      </c>
      <c r="D429" s="364">
        <f t="shared" si="163"/>
        <v>1.5676377455212052</v>
      </c>
      <c r="E429" s="364">
        <f t="shared" si="164"/>
        <v>1.0504514572995398</v>
      </c>
      <c r="F429" s="365">
        <f t="shared" si="165"/>
        <v>0.31118422776703225</v>
      </c>
      <c r="G429" s="364">
        <f t="shared" si="166"/>
        <v>3.3161927952882349</v>
      </c>
      <c r="H429" s="365">
        <f t="shared" si="167"/>
        <v>-1.264477762877728</v>
      </c>
      <c r="I429" s="363">
        <f t="shared" si="168"/>
        <v>64545.781032783052</v>
      </c>
      <c r="J429" s="366">
        <f t="shared" si="169"/>
        <v>1.5707808339155165</v>
      </c>
      <c r="K429" s="374">
        <f t="shared" si="185"/>
        <v>219.03486121413434</v>
      </c>
      <c r="L429" s="375">
        <f t="shared" si="186"/>
        <v>1.5662308276390586</v>
      </c>
      <c r="M429" s="363">
        <f t="shared" si="170"/>
        <v>1.2094114120878829</v>
      </c>
      <c r="N429" s="366">
        <f t="shared" si="171"/>
        <v>0.59731537873765472</v>
      </c>
      <c r="O429" s="367">
        <f t="shared" si="172"/>
        <v>1.0008310517148746</v>
      </c>
      <c r="P429" s="368">
        <f t="shared" si="173"/>
        <v>0.20545880742681943</v>
      </c>
      <c r="Q429" s="369">
        <f t="shared" si="174"/>
        <v>-7.6651723078273868</v>
      </c>
      <c r="R429" s="370">
        <f t="shared" si="175"/>
        <v>-190.6949919662913</v>
      </c>
      <c r="S429" s="372">
        <f t="shared" si="176"/>
        <v>-10.694991966291298</v>
      </c>
      <c r="U429" s="345">
        <f t="shared" si="182"/>
        <v>42658</v>
      </c>
      <c r="V429" s="345">
        <f t="shared" si="183"/>
        <v>1819704964</v>
      </c>
      <c r="X429" s="371">
        <f t="shared" si="177"/>
        <v>37.05810071760181</v>
      </c>
      <c r="Y429" s="372">
        <f t="shared" si="178"/>
        <v>-34.484346435729108</v>
      </c>
      <c r="AA429" s="371">
        <f t="shared" si="179"/>
        <v>27.317926801130056</v>
      </c>
      <c r="AB429" s="372">
        <f t="shared" si="180"/>
        <v>-156.2106455305622</v>
      </c>
      <c r="AD429">
        <f t="shared" si="184"/>
        <v>0</v>
      </c>
      <c r="AE429">
        <f t="shared" si="187"/>
        <v>0</v>
      </c>
    </row>
    <row r="430" spans="1:31" x14ac:dyDescent="0.3">
      <c r="A430" s="373">
        <v>42906.5</v>
      </c>
      <c r="B430" s="390">
        <f t="shared" si="181"/>
        <v>42.906500000000001</v>
      </c>
      <c r="C430" s="363">
        <f t="shared" si="162"/>
        <v>318.44265807687066</v>
      </c>
      <c r="D430" s="364">
        <f t="shared" si="163"/>
        <v>1.5676560388397303</v>
      </c>
      <c r="E430" s="364">
        <f t="shared" si="164"/>
        <v>1.0510266552987069</v>
      </c>
      <c r="F430" s="365">
        <f t="shared" si="165"/>
        <v>0.31288129089296263</v>
      </c>
      <c r="G430" s="364">
        <f t="shared" si="166"/>
        <v>3.3337589247728419</v>
      </c>
      <c r="H430" s="365">
        <f t="shared" si="167"/>
        <v>-1.2661438200948674</v>
      </c>
      <c r="I430" s="363">
        <f t="shared" si="168"/>
        <v>64921.786156858434</v>
      </c>
      <c r="J430" s="366">
        <f t="shared" si="169"/>
        <v>1.5707809236450569</v>
      </c>
      <c r="K430" s="374">
        <f t="shared" si="185"/>
        <v>220.31080082158033</v>
      </c>
      <c r="L430" s="375">
        <f t="shared" si="186"/>
        <v>1.5662572691085743</v>
      </c>
      <c r="M430" s="363">
        <f t="shared" si="170"/>
        <v>1.2116444246315734</v>
      </c>
      <c r="N430" s="366">
        <f t="shared" si="171"/>
        <v>0.60001943454786055</v>
      </c>
      <c r="O430" s="367">
        <f t="shared" si="172"/>
        <v>1.0008431725278903</v>
      </c>
      <c r="P430" s="368">
        <f t="shared" si="173"/>
        <v>0.20667043304682303</v>
      </c>
      <c r="Q430" s="369">
        <f t="shared" si="174"/>
        <v>-7.6811093050275749</v>
      </c>
      <c r="R430" s="370">
        <f t="shared" si="175"/>
        <v>-190.91710576516155</v>
      </c>
      <c r="S430" s="372">
        <f t="shared" si="176"/>
        <v>-10.917105765161551</v>
      </c>
      <c r="U430" s="345">
        <f t="shared" si="182"/>
        <v>42906.5</v>
      </c>
      <c r="V430" s="345">
        <f t="shared" si="183"/>
        <v>1840967742.25</v>
      </c>
      <c r="X430" s="371">
        <f t="shared" si="177"/>
        <v>37.042077153555596</v>
      </c>
      <c r="Y430" s="372">
        <f t="shared" si="178"/>
        <v>-34.637767577913621</v>
      </c>
      <c r="AA430" s="371">
        <f t="shared" si="179"/>
        <v>27.318013367976086</v>
      </c>
      <c r="AB430" s="372">
        <f t="shared" si="180"/>
        <v>-156.27933818724793</v>
      </c>
      <c r="AD430">
        <f t="shared" si="184"/>
        <v>0</v>
      </c>
      <c r="AE430">
        <f t="shared" si="187"/>
        <v>0</v>
      </c>
    </row>
    <row r="431" spans="1:31" x14ac:dyDescent="0.3">
      <c r="A431" s="373">
        <v>43155</v>
      </c>
      <c r="B431" s="390">
        <f t="shared" si="181"/>
        <v>43.155000000000001</v>
      </c>
      <c r="C431" s="363">
        <f t="shared" si="162"/>
        <v>320.28695258745961</v>
      </c>
      <c r="D431" s="364">
        <f t="shared" si="163"/>
        <v>1.5676741214830112</v>
      </c>
      <c r="E431" s="364">
        <f t="shared" si="164"/>
        <v>1.0516048769626536</v>
      </c>
      <c r="F431" s="365">
        <f t="shared" si="165"/>
        <v>0.31457649264691012</v>
      </c>
      <c r="G431" s="364">
        <f t="shared" si="166"/>
        <v>3.3513342109058875</v>
      </c>
      <c r="H431" s="365">
        <f t="shared" si="167"/>
        <v>-1.2677924073556406</v>
      </c>
      <c r="I431" s="363">
        <f t="shared" si="168"/>
        <v>65297.791280934332</v>
      </c>
      <c r="J431" s="366">
        <f t="shared" si="169"/>
        <v>1.5707810123412156</v>
      </c>
      <c r="K431" s="374">
        <f t="shared" si="185"/>
        <v>221.58674058128307</v>
      </c>
      <c r="L431" s="375">
        <f t="shared" si="186"/>
        <v>1.5662834060678092</v>
      </c>
      <c r="M431" s="363">
        <f t="shared" si="170"/>
        <v>1.2138862639871215</v>
      </c>
      <c r="N431" s="366">
        <f t="shared" si="171"/>
        <v>0.6027135221436084</v>
      </c>
      <c r="O431" s="367">
        <f t="shared" si="172"/>
        <v>1.0008554198510309</v>
      </c>
      <c r="P431" s="368">
        <f t="shared" si="173"/>
        <v>0.20788231051997935</v>
      </c>
      <c r="Q431" s="369">
        <f t="shared" si="174"/>
        <v>-7.696984743313684</v>
      </c>
      <c r="R431" s="370">
        <f t="shared" si="175"/>
        <v>-191.13777386866892</v>
      </c>
      <c r="S431" s="372">
        <f t="shared" si="176"/>
        <v>-11.137773868668916</v>
      </c>
      <c r="U431" s="345">
        <f t="shared" si="182"/>
        <v>43155</v>
      </c>
      <c r="V431" s="345">
        <f t="shared" si="183"/>
        <v>1862354025</v>
      </c>
      <c r="X431" s="371">
        <f t="shared" si="177"/>
        <v>37.026019949267564</v>
      </c>
      <c r="Y431" s="372">
        <f t="shared" si="178"/>
        <v>-34.790634971425298</v>
      </c>
      <c r="AA431" s="371">
        <f t="shared" si="179"/>
        <v>27.318195133978001</v>
      </c>
      <c r="AB431" s="372">
        <f t="shared" si="180"/>
        <v>-156.34713889724364</v>
      </c>
      <c r="AD431">
        <f t="shared" si="184"/>
        <v>0</v>
      </c>
      <c r="AE431">
        <f t="shared" si="187"/>
        <v>0</v>
      </c>
    </row>
    <row r="432" spans="1:31" x14ac:dyDescent="0.3">
      <c r="A432" s="373">
        <v>43403.5</v>
      </c>
      <c r="B432" s="390">
        <f t="shared" si="181"/>
        <v>43.403500000000001</v>
      </c>
      <c r="C432" s="363">
        <f t="shared" si="162"/>
        <v>322.13124720157742</v>
      </c>
      <c r="D432" s="364">
        <f t="shared" si="163"/>
        <v>1.5676919970695662</v>
      </c>
      <c r="E432" s="364">
        <f t="shared" si="164"/>
        <v>1.0521861173064773</v>
      </c>
      <c r="F432" s="365">
        <f t="shared" si="165"/>
        <v>0.31626982636261186</v>
      </c>
      <c r="G432" s="364">
        <f t="shared" si="166"/>
        <v>3.3689185103796206</v>
      </c>
      <c r="H432" s="365">
        <f t="shared" si="167"/>
        <v>-1.2694237891849263</v>
      </c>
      <c r="I432" s="363">
        <f t="shared" si="168"/>
        <v>65673.79640501074</v>
      </c>
      <c r="J432" s="366">
        <f t="shared" si="169"/>
        <v>1.5707811000217424</v>
      </c>
      <c r="K432" s="374">
        <f t="shared" si="185"/>
        <v>222.86268049062738</v>
      </c>
      <c r="L432" s="375">
        <f t="shared" si="186"/>
        <v>1.5663092437469015</v>
      </c>
      <c r="M432" s="363">
        <f t="shared" si="170"/>
        <v>1.2161368813402187</v>
      </c>
      <c r="N432" s="366">
        <f t="shared" si="171"/>
        <v>0.60539765765156184</v>
      </c>
      <c r="O432" s="367">
        <f t="shared" si="172"/>
        <v>1.0008677946570639</v>
      </c>
      <c r="P432" s="368">
        <f t="shared" si="173"/>
        <v>0.20909444115551984</v>
      </c>
      <c r="Q432" s="369">
        <f t="shared" si="174"/>
        <v>-7.7127996865531481</v>
      </c>
      <c r="R432" s="370">
        <f t="shared" si="175"/>
        <v>-191.35701272260252</v>
      </c>
      <c r="S432" s="372">
        <f t="shared" si="176"/>
        <v>-11.357012722602519</v>
      </c>
      <c r="U432" s="345">
        <f t="shared" si="182"/>
        <v>43403.5</v>
      </c>
      <c r="V432" s="345">
        <f t="shared" si="183"/>
        <v>1883863812.25</v>
      </c>
      <c r="X432" s="371">
        <f t="shared" si="177"/>
        <v>37.009929693819565</v>
      </c>
      <c r="Y432" s="372">
        <f t="shared" si="178"/>
        <v>-34.942949241606001</v>
      </c>
      <c r="AA432" s="371">
        <f t="shared" si="179"/>
        <v>27.318470446186538</v>
      </c>
      <c r="AB432" s="372">
        <f t="shared" si="180"/>
        <v>-156.4140634809965</v>
      </c>
      <c r="AD432">
        <f t="shared" si="184"/>
        <v>0</v>
      </c>
      <c r="AE432">
        <f t="shared" si="187"/>
        <v>0</v>
      </c>
    </row>
    <row r="433" spans="1:31" x14ac:dyDescent="0.3">
      <c r="A433" s="373">
        <v>43652</v>
      </c>
      <c r="B433" s="390">
        <f t="shared" si="181"/>
        <v>43.652000000000001</v>
      </c>
      <c r="C433" s="363">
        <f t="shared" si="162"/>
        <v>323.9755419174561</v>
      </c>
      <c r="D433" s="364">
        <f t="shared" si="163"/>
        <v>1.5677096691355175</v>
      </c>
      <c r="E433" s="364">
        <f t="shared" si="164"/>
        <v>1.0527703713302881</v>
      </c>
      <c r="F433" s="365">
        <f t="shared" si="165"/>
        <v>0.31796128543133906</v>
      </c>
      <c r="G433" s="364">
        <f t="shared" si="166"/>
        <v>3.3865116827900259</v>
      </c>
      <c r="H433" s="365">
        <f t="shared" si="167"/>
        <v>-1.2710382249812646</v>
      </c>
      <c r="I433" s="363">
        <f t="shared" si="168"/>
        <v>66049.801529087636</v>
      </c>
      <c r="J433" s="366">
        <f t="shared" si="169"/>
        <v>1.570781186703982</v>
      </c>
      <c r="K433" s="374">
        <f t="shared" si="185"/>
        <v>224.13862054705771</v>
      </c>
      <c r="L433" s="375">
        <f t="shared" si="186"/>
        <v>1.5663347872568962</v>
      </c>
      <c r="M433" s="363">
        <f t="shared" si="170"/>
        <v>1.2183962280468046</v>
      </c>
      <c r="N433" s="366">
        <f t="shared" si="171"/>
        <v>0.60807185765306537</v>
      </c>
      <c r="O433" s="367">
        <f t="shared" si="172"/>
        <v>1.0008802979243048</v>
      </c>
      <c r="P433" s="368">
        <f t="shared" si="173"/>
        <v>0.21030682626001165</v>
      </c>
      <c r="Q433" s="369">
        <f t="shared" si="174"/>
        <v>-7.7285551626121309</v>
      </c>
      <c r="R433" s="370">
        <f t="shared" si="175"/>
        <v>-191.57483850371528</v>
      </c>
      <c r="S433" s="372">
        <f t="shared" si="176"/>
        <v>-11.574838503715284</v>
      </c>
      <c r="U433" s="345">
        <f t="shared" si="182"/>
        <v>43652</v>
      </c>
      <c r="V433" s="345">
        <f t="shared" si="183"/>
        <v>1905497104</v>
      </c>
      <c r="X433" s="371">
        <f t="shared" si="177"/>
        <v>36.993806971898934</v>
      </c>
      <c r="Y433" s="372">
        <f t="shared" si="178"/>
        <v>-35.094711046649287</v>
      </c>
      <c r="AA433" s="371">
        <f t="shared" si="179"/>
        <v>27.318837692048184</v>
      </c>
      <c r="AB433" s="372">
        <f t="shared" si="180"/>
        <v>-156.48012745706603</v>
      </c>
      <c r="AD433">
        <f t="shared" si="184"/>
        <v>0</v>
      </c>
      <c r="AE433">
        <f t="shared" si="187"/>
        <v>0</v>
      </c>
    </row>
    <row r="434" spans="1:31" x14ac:dyDescent="0.3">
      <c r="A434" s="373">
        <v>43906</v>
      </c>
      <c r="B434" s="390">
        <f t="shared" si="181"/>
        <v>43.905999999999999</v>
      </c>
      <c r="C434" s="363">
        <f t="shared" si="162"/>
        <v>325.86065613685025</v>
      </c>
      <c r="D434" s="364">
        <f t="shared" si="163"/>
        <v>1.5677275256040837</v>
      </c>
      <c r="E434" s="364">
        <f t="shared" si="164"/>
        <v>1.0533706657788331</v>
      </c>
      <c r="F434" s="365">
        <f t="shared" si="165"/>
        <v>0.31968823705708105</v>
      </c>
      <c r="G434" s="364">
        <f t="shared" si="166"/>
        <v>3.4045032677889528</v>
      </c>
      <c r="H434" s="365">
        <f t="shared" si="167"/>
        <v>-1.2726711447887198</v>
      </c>
      <c r="I434" s="363">
        <f t="shared" si="168"/>
        <v>66434.128698164757</v>
      </c>
      <c r="J434" s="366">
        <f t="shared" si="169"/>
        <v>1.570781274290715</v>
      </c>
      <c r="K434" s="374">
        <f t="shared" si="185"/>
        <v>225.44280087486661</v>
      </c>
      <c r="L434" s="375">
        <f t="shared" si="186"/>
        <v>1.5663605973087054</v>
      </c>
      <c r="M434" s="363">
        <f t="shared" si="170"/>
        <v>1.2207145512524282</v>
      </c>
      <c r="N434" s="366">
        <f t="shared" si="171"/>
        <v>0.61079499511802515</v>
      </c>
      <c r="O434" s="367">
        <f t="shared" si="172"/>
        <v>1.0008932117055989</v>
      </c>
      <c r="P434" s="368">
        <f t="shared" si="173"/>
        <v>0.21154630917450234</v>
      </c>
      <c r="Q434" s="369">
        <f t="shared" si="174"/>
        <v>-7.7445989291137067</v>
      </c>
      <c r="R434" s="370">
        <f t="shared" si="175"/>
        <v>-191.79604161279366</v>
      </c>
      <c r="S434" s="372">
        <f t="shared" si="176"/>
        <v>-11.796041612793658</v>
      </c>
      <c r="U434" s="345">
        <f t="shared" si="182"/>
        <v>43906</v>
      </c>
      <c r="V434" s="345">
        <f t="shared" si="183"/>
        <v>1927736836</v>
      </c>
      <c r="X434" s="371">
        <f t="shared" si="177"/>
        <v>36.977294460854097</v>
      </c>
      <c r="Y434" s="372">
        <f t="shared" si="178"/>
        <v>-35.249261541914507</v>
      </c>
      <c r="AA434" s="371">
        <f t="shared" si="179"/>
        <v>27.319306436591443</v>
      </c>
      <c r="AB434" s="372">
        <f t="shared" si="180"/>
        <v>-156.54678007087915</v>
      </c>
      <c r="AD434">
        <f t="shared" si="184"/>
        <v>0</v>
      </c>
      <c r="AE434">
        <f t="shared" si="187"/>
        <v>0</v>
      </c>
    </row>
    <row r="435" spans="1:31" x14ac:dyDescent="0.3">
      <c r="A435" s="373">
        <v>44160</v>
      </c>
      <c r="B435" s="390">
        <f t="shared" si="181"/>
        <v>44.16</v>
      </c>
      <c r="C435" s="363">
        <f t="shared" si="162"/>
        <v>327.74577045895097</v>
      </c>
      <c r="D435" s="364">
        <f t="shared" si="163"/>
        <v>1.5677451766604875</v>
      </c>
      <c r="E435" s="364">
        <f t="shared" si="164"/>
        <v>1.0539740981759347</v>
      </c>
      <c r="F435" s="365">
        <f t="shared" si="165"/>
        <v>0.32141321635722259</v>
      </c>
      <c r="G435" s="364">
        <f t="shared" si="166"/>
        <v>3.4225038351917418</v>
      </c>
      <c r="H435" s="365">
        <f t="shared" si="167"/>
        <v>-1.2742868922706447</v>
      </c>
      <c r="I435" s="363">
        <f t="shared" si="168"/>
        <v>66818.455867242359</v>
      </c>
      <c r="J435" s="366">
        <f t="shared" si="169"/>
        <v>1.5707813608698831</v>
      </c>
      <c r="K435" s="374">
        <f t="shared" si="185"/>
        <v>226.7469813511286</v>
      </c>
      <c r="L435" s="375">
        <f t="shared" si="186"/>
        <v>1.5663861104572121</v>
      </c>
      <c r="M435" s="363">
        <f t="shared" si="170"/>
        <v>1.2230418922829358</v>
      </c>
      <c r="N435" s="366">
        <f t="shared" si="171"/>
        <v>0.61350778885436563</v>
      </c>
      <c r="O435" s="367">
        <f t="shared" si="172"/>
        <v>1.000906261781989</v>
      </c>
      <c r="P435" s="368">
        <f t="shared" si="173"/>
        <v>0.21278606069852576</v>
      </c>
      <c r="Q435" s="369">
        <f t="shared" si="174"/>
        <v>-7.7605826286868407</v>
      </c>
      <c r="R435" s="370">
        <f t="shared" si="175"/>
        <v>-192.01580174855098</v>
      </c>
      <c r="S435" s="372">
        <f t="shared" si="176"/>
        <v>-12.015801748550984</v>
      </c>
      <c r="U435" s="345">
        <f t="shared" si="182"/>
        <v>44160</v>
      </c>
      <c r="V435" s="345">
        <f t="shared" si="183"/>
        <v>1950105600</v>
      </c>
      <c r="X435" s="371">
        <f t="shared" si="177"/>
        <v>36.9607492514291</v>
      </c>
      <c r="Y435" s="372">
        <f t="shared" si="178"/>
        <v>-35.403236338761673</v>
      </c>
      <c r="AA435" s="371">
        <f t="shared" si="179"/>
        <v>27.319867946443313</v>
      </c>
      <c r="AB435" s="372">
        <f t="shared" si="180"/>
        <v>-156.61256540978931</v>
      </c>
      <c r="AD435">
        <f t="shared" si="184"/>
        <v>0</v>
      </c>
      <c r="AE435">
        <f t="shared" si="187"/>
        <v>0</v>
      </c>
    </row>
    <row r="436" spans="1:31" x14ac:dyDescent="0.3">
      <c r="A436" s="373">
        <v>44414</v>
      </c>
      <c r="B436" s="390">
        <f t="shared" si="181"/>
        <v>44.414000000000001</v>
      </c>
      <c r="C436" s="363">
        <f t="shared" si="162"/>
        <v>329.63088488199617</v>
      </c>
      <c r="D436" s="364">
        <f t="shared" si="163"/>
        <v>1.5677626258288906</v>
      </c>
      <c r="E436" s="364">
        <f t="shared" si="164"/>
        <v>1.0545806631349783</v>
      </c>
      <c r="F436" s="365">
        <f t="shared" si="165"/>
        <v>0.32313621646076762</v>
      </c>
      <c r="G436" s="364">
        <f t="shared" si="166"/>
        <v>3.4405132440121342</v>
      </c>
      <c r="H436" s="365">
        <f t="shared" si="167"/>
        <v>-1.275885728590159</v>
      </c>
      <c r="I436" s="363">
        <f t="shared" si="168"/>
        <v>67202.783036320456</v>
      </c>
      <c r="J436" s="366">
        <f t="shared" si="169"/>
        <v>1.5707814464587728</v>
      </c>
      <c r="K436" s="374">
        <f t="shared" si="185"/>
        <v>228.05116197329679</v>
      </c>
      <c r="L436" s="375">
        <f t="shared" si="186"/>
        <v>1.5664113317961816</v>
      </c>
      <c r="M436" s="363">
        <f t="shared" si="170"/>
        <v>1.2253781997561011</v>
      </c>
      <c r="N436" s="366">
        <f t="shared" si="171"/>
        <v>0.61621025798454776</v>
      </c>
      <c r="O436" s="367">
        <f t="shared" si="172"/>
        <v>1.0009194492161568</v>
      </c>
      <c r="P436" s="368">
        <f t="shared" si="173"/>
        <v>0.21402608221859329</v>
      </c>
      <c r="Q436" s="369">
        <f t="shared" si="174"/>
        <v>-7.7765072503033679</v>
      </c>
      <c r="R436" s="370">
        <f t="shared" si="175"/>
        <v>-192.23413535434725</v>
      </c>
      <c r="S436" s="372">
        <f t="shared" si="176"/>
        <v>-12.234135354347245</v>
      </c>
      <c r="U436" s="345">
        <f t="shared" si="182"/>
        <v>44414</v>
      </c>
      <c r="V436" s="345">
        <f t="shared" si="183"/>
        <v>1972603396</v>
      </c>
      <c r="X436" s="371">
        <f t="shared" si="177"/>
        <v>36.944171953706373</v>
      </c>
      <c r="Y436" s="372">
        <f t="shared" si="178"/>
        <v>-35.556636241966309</v>
      </c>
      <c r="AA436" s="371">
        <f t="shared" si="179"/>
        <v>27.320520622549505</v>
      </c>
      <c r="AB436" s="372">
        <f t="shared" si="180"/>
        <v>-156.67749911238096</v>
      </c>
      <c r="AD436">
        <f t="shared" si="184"/>
        <v>0</v>
      </c>
      <c r="AE436">
        <f t="shared" si="187"/>
        <v>0</v>
      </c>
    </row>
    <row r="437" spans="1:31" x14ac:dyDescent="0.3">
      <c r="A437" s="373">
        <v>44668</v>
      </c>
      <c r="B437" s="390">
        <f t="shared" si="181"/>
        <v>44.667999999999999</v>
      </c>
      <c r="C437" s="363">
        <f t="shared" si="162"/>
        <v>331.51599940426382</v>
      </c>
      <c r="D437" s="364">
        <f t="shared" si="163"/>
        <v>1.5677798765532975</v>
      </c>
      <c r="E437" s="364">
        <f t="shared" si="164"/>
        <v>1.055190355253804</v>
      </c>
      <c r="F437" s="365">
        <f t="shared" si="165"/>
        <v>0.32485723055948335</v>
      </c>
      <c r="G437" s="364">
        <f t="shared" si="166"/>
        <v>3.4585313561319375</v>
      </c>
      <c r="H437" s="365">
        <f t="shared" si="167"/>
        <v>-1.277467909817853</v>
      </c>
      <c r="I437" s="363">
        <f t="shared" si="168"/>
        <v>67587.110205399062</v>
      </c>
      <c r="J437" s="366">
        <f t="shared" si="169"/>
        <v>1.5707815310742776</v>
      </c>
      <c r="K437" s="374">
        <f t="shared" si="185"/>
        <v>229.35534273888214</v>
      </c>
      <c r="L437" s="375">
        <f t="shared" si="186"/>
        <v>1.5664362663035214</v>
      </c>
      <c r="M437" s="363">
        <f t="shared" si="170"/>
        <v>1.2277234224836038</v>
      </c>
      <c r="N437" s="366">
        <f t="shared" si="171"/>
        <v>0.61890242208898738</v>
      </c>
      <c r="O437" s="367">
        <f t="shared" si="172"/>
        <v>1.0009327750768329</v>
      </c>
      <c r="P437" s="368">
        <f t="shared" si="173"/>
        <v>0.21526637511823107</v>
      </c>
      <c r="Q437" s="369">
        <f t="shared" si="174"/>
        <v>-7.7923737488459013</v>
      </c>
      <c r="R437" s="370">
        <f t="shared" si="175"/>
        <v>-192.45105860625679</v>
      </c>
      <c r="S437" s="372">
        <f t="shared" si="176"/>
        <v>-12.451058606256794</v>
      </c>
      <c r="U437" s="345">
        <f t="shared" si="182"/>
        <v>44668</v>
      </c>
      <c r="V437" s="345">
        <f t="shared" si="183"/>
        <v>1995230224</v>
      </c>
      <c r="X437" s="371">
        <f t="shared" si="177"/>
        <v>36.927563172936267</v>
      </c>
      <c r="Y437" s="372">
        <f t="shared" si="178"/>
        <v>-35.709462089158464</v>
      </c>
      <c r="AA437" s="371">
        <f t="shared" si="179"/>
        <v>27.321262904777083</v>
      </c>
      <c r="AB437" s="372">
        <f t="shared" si="180"/>
        <v>-156.74159651709829</v>
      </c>
      <c r="AD437">
        <f t="shared" si="184"/>
        <v>0</v>
      </c>
      <c r="AE437">
        <f t="shared" si="187"/>
        <v>0</v>
      </c>
    </row>
    <row r="438" spans="1:31" x14ac:dyDescent="0.3">
      <c r="A438" s="373">
        <v>44928.25</v>
      </c>
      <c r="B438" s="390">
        <f t="shared" si="181"/>
        <v>44.928249999999998</v>
      </c>
      <c r="C438" s="363">
        <f t="shared" si="162"/>
        <v>333.44749971967138</v>
      </c>
      <c r="D438" s="364">
        <f t="shared" si="163"/>
        <v>1.5677973494451796</v>
      </c>
      <c r="E438" s="364">
        <f t="shared" si="164"/>
        <v>1.0558182875022766</v>
      </c>
      <c r="F438" s="365">
        <f t="shared" si="165"/>
        <v>0.32661852548416981</v>
      </c>
      <c r="G438" s="364">
        <f t="shared" si="166"/>
        <v>3.4770017129878958</v>
      </c>
      <c r="H438" s="365">
        <f t="shared" si="167"/>
        <v>-1.2790720103515911</v>
      </c>
      <c r="I438" s="363">
        <f t="shared" si="168"/>
        <v>67980.894243796021</v>
      </c>
      <c r="J438" s="366">
        <f t="shared" si="169"/>
        <v>1.5707816167795141</v>
      </c>
      <c r="K438" s="374">
        <f t="shared" si="185"/>
        <v>230.69161471282334</v>
      </c>
      <c r="L438" s="375">
        <f t="shared" si="186"/>
        <v>1.5664615219386073</v>
      </c>
      <c r="M438" s="363">
        <f t="shared" si="170"/>
        <v>1.230135546151061</v>
      </c>
      <c r="N438" s="366">
        <f t="shared" si="171"/>
        <v>0.62165016283808283</v>
      </c>
      <c r="O438" s="367">
        <f t="shared" si="172"/>
        <v>1.0009465735392387</v>
      </c>
      <c r="P438" s="368">
        <f t="shared" si="173"/>
        <v>0.21653746995788398</v>
      </c>
      <c r="Q438" s="369">
        <f t="shared" si="174"/>
        <v>-7.8085713411795528</v>
      </c>
      <c r="R438" s="370">
        <f t="shared" si="175"/>
        <v>-192.67187334134658</v>
      </c>
      <c r="S438" s="372">
        <f t="shared" si="176"/>
        <v>-12.671873341346583</v>
      </c>
      <c r="U438" s="345">
        <f t="shared" si="182"/>
        <v>44928.25</v>
      </c>
      <c r="V438" s="345">
        <f t="shared" si="183"/>
        <v>2018547648.0625</v>
      </c>
      <c r="X438" s="371">
        <f t="shared" si="177"/>
        <v>36.910513684768318</v>
      </c>
      <c r="Y438" s="372">
        <f t="shared" si="178"/>
        <v>-35.865453906704985</v>
      </c>
      <c r="AA438" s="371">
        <f t="shared" si="179"/>
        <v>27.322114800611384</v>
      </c>
      <c r="AB438" s="372">
        <f t="shared" si="180"/>
        <v>-156.80641943464161</v>
      </c>
      <c r="AD438">
        <f t="shared" si="184"/>
        <v>0</v>
      </c>
      <c r="AE438">
        <f t="shared" si="187"/>
        <v>0</v>
      </c>
    </row>
    <row r="439" spans="1:31" x14ac:dyDescent="0.3">
      <c r="A439" s="373">
        <v>45188.5</v>
      </c>
      <c r="B439" s="390">
        <f t="shared" si="181"/>
        <v>45.188499999999998</v>
      </c>
      <c r="C439" s="363">
        <f t="shared" si="162"/>
        <v>335.37900013570851</v>
      </c>
      <c r="D439" s="364">
        <f t="shared" si="163"/>
        <v>1.5678146210788011</v>
      </c>
      <c r="E439" s="364">
        <f t="shared" si="164"/>
        <v>1.0564494911683213</v>
      </c>
      <c r="F439" s="365">
        <f t="shared" si="165"/>
        <v>0.32837772119634923</v>
      </c>
      <c r="G439" s="364">
        <f t="shared" si="166"/>
        <v>3.4954809220864935</v>
      </c>
      <c r="H439" s="365">
        <f t="shared" si="167"/>
        <v>-1.2806591544579238</v>
      </c>
      <c r="I439" s="363">
        <f t="shared" si="168"/>
        <v>68374.678282193476</v>
      </c>
      <c r="J439" s="366">
        <f t="shared" si="169"/>
        <v>1.570781701497562</v>
      </c>
      <c r="K439" s="374">
        <f t="shared" si="185"/>
        <v>232.02788683221564</v>
      </c>
      <c r="L439" s="375">
        <f t="shared" si="186"/>
        <v>1.5664864866741839</v>
      </c>
      <c r="M439" s="363">
        <f t="shared" si="170"/>
        <v>1.2325569210466405</v>
      </c>
      <c r="N439" s="366">
        <f t="shared" si="171"/>
        <v>0.62438712823557874</v>
      </c>
      <c r="O439" s="367">
        <f t="shared" si="172"/>
        <v>1.0009605196153057</v>
      </c>
      <c r="P439" s="368">
        <f t="shared" si="173"/>
        <v>0.217808852627661</v>
      </c>
      <c r="Q439" s="369">
        <f t="shared" si="174"/>
        <v>-7.8247098398520247</v>
      </c>
      <c r="R439" s="370">
        <f t="shared" si="175"/>
        <v>-192.89124100951116</v>
      </c>
      <c r="S439" s="372">
        <f t="shared" si="176"/>
        <v>-12.891241009511162</v>
      </c>
      <c r="U439" s="345">
        <f t="shared" si="182"/>
        <v>45188.5</v>
      </c>
      <c r="V439" s="345">
        <f t="shared" si="183"/>
        <v>2042000532.25</v>
      </c>
      <c r="X439" s="371">
        <f t="shared" si="177"/>
        <v>36.893432415991171</v>
      </c>
      <c r="Y439" s="372">
        <f t="shared" si="178"/>
        <v>-36.020844952833784</v>
      </c>
      <c r="AA439" s="371">
        <f t="shared" si="179"/>
        <v>27.32305757071606</v>
      </c>
      <c r="AB439" s="372">
        <f t="shared" si="180"/>
        <v>-156.87039605667735</v>
      </c>
      <c r="AD439">
        <f t="shared" si="184"/>
        <v>0</v>
      </c>
      <c r="AE439">
        <f t="shared" si="187"/>
        <v>0</v>
      </c>
    </row>
    <row r="440" spans="1:31" x14ac:dyDescent="0.3">
      <c r="A440" s="373">
        <v>45448.75</v>
      </c>
      <c r="B440" s="390">
        <f t="shared" si="181"/>
        <v>45.448749999999997</v>
      </c>
      <c r="C440" s="363">
        <f t="shared" si="162"/>
        <v>337.31050065064659</v>
      </c>
      <c r="D440" s="364">
        <f t="shared" si="163"/>
        <v>1.5678316949114748</v>
      </c>
      <c r="E440" s="364">
        <f t="shared" si="164"/>
        <v>1.0570839603916735</v>
      </c>
      <c r="F440" s="365">
        <f t="shared" si="165"/>
        <v>0.33013481057762567</v>
      </c>
      <c r="G440" s="364">
        <f t="shared" si="166"/>
        <v>3.5139688437715932</v>
      </c>
      <c r="H440" s="365">
        <f t="shared" si="167"/>
        <v>-1.2822296017138144</v>
      </c>
      <c r="I440" s="363">
        <f t="shared" si="168"/>
        <v>68768.462320591425</v>
      </c>
      <c r="J440" s="366">
        <f t="shared" si="169"/>
        <v>1.5707817852453798</v>
      </c>
      <c r="K440" s="374">
        <f t="shared" si="185"/>
        <v>233.36415909456045</v>
      </c>
      <c r="L440" s="375">
        <f t="shared" si="186"/>
        <v>1.5665111655074004</v>
      </c>
      <c r="M440" s="363">
        <f t="shared" si="170"/>
        <v>1.2349874927551574</v>
      </c>
      <c r="N440" s="366">
        <f t="shared" si="171"/>
        <v>0.6271133407768652</v>
      </c>
      <c r="O440" s="367">
        <f t="shared" si="172"/>
        <v>1.0009746144743599</v>
      </c>
      <c r="P440" s="368">
        <f t="shared" si="173"/>
        <v>0.21908052460587121</v>
      </c>
      <c r="Q440" s="369">
        <f t="shared" si="174"/>
        <v>-7.8407901683544612</v>
      </c>
      <c r="R440" s="370">
        <f t="shared" si="175"/>
        <v>-193.10917817760622</v>
      </c>
      <c r="S440" s="372">
        <f t="shared" si="176"/>
        <v>-13.109178177606225</v>
      </c>
      <c r="U440" s="345">
        <f t="shared" si="182"/>
        <v>45448.75</v>
      </c>
      <c r="V440" s="345">
        <f t="shared" si="183"/>
        <v>2065588876.5625</v>
      </c>
      <c r="X440" s="371">
        <f t="shared" si="177"/>
        <v>36.876320001823629</v>
      </c>
      <c r="Y440" s="372">
        <f t="shared" si="178"/>
        <v>-36.1756362310919</v>
      </c>
      <c r="AA440" s="371">
        <f t="shared" si="179"/>
        <v>27.324089656381151</v>
      </c>
      <c r="AB440" s="372">
        <f t="shared" si="180"/>
        <v>-156.93354194651437</v>
      </c>
      <c r="AD440">
        <f t="shared" si="184"/>
        <v>0</v>
      </c>
      <c r="AE440">
        <f t="shared" si="187"/>
        <v>0</v>
      </c>
    </row>
    <row r="441" spans="1:31" x14ac:dyDescent="0.3">
      <c r="A441" s="373">
        <v>45709</v>
      </c>
      <c r="B441" s="390">
        <f t="shared" si="181"/>
        <v>45.709000000000003</v>
      </c>
      <c r="C441" s="363">
        <f t="shared" si="162"/>
        <v>339.24200126279624</v>
      </c>
      <c r="D441" s="364">
        <f t="shared" si="163"/>
        <v>1.5678485743217756</v>
      </c>
      <c r="E441" s="364">
        <f t="shared" si="164"/>
        <v>1.0577216892958468</v>
      </c>
      <c r="F441" s="365">
        <f t="shared" si="165"/>
        <v>0.33188978657866258</v>
      </c>
      <c r="G441" s="364">
        <f t="shared" si="166"/>
        <v>3.5324653412455773</v>
      </c>
      <c r="H441" s="365">
        <f t="shared" si="167"/>
        <v>-1.2837836065927895</v>
      </c>
      <c r="I441" s="363">
        <f t="shared" si="168"/>
        <v>69162.246358989854</v>
      </c>
      <c r="J441" s="366">
        <f t="shared" si="169"/>
        <v>1.5707818680395398</v>
      </c>
      <c r="K441" s="374">
        <f t="shared" si="185"/>
        <v>234.70043149741605</v>
      </c>
      <c r="L441" s="375">
        <f t="shared" si="186"/>
        <v>1.5665355633216023</v>
      </c>
      <c r="M441" s="363">
        <f t="shared" si="170"/>
        <v>1.2374272070830896</v>
      </c>
      <c r="N441" s="366">
        <f t="shared" si="171"/>
        <v>0.6298288234202668</v>
      </c>
      <c r="O441" s="367">
        <f t="shared" si="172"/>
        <v>1.0009888592923839</v>
      </c>
      <c r="P441" s="368">
        <f t="shared" si="173"/>
        <v>0.22035248736744642</v>
      </c>
      <c r="Q441" s="369">
        <f t="shared" si="174"/>
        <v>-7.8568132176772441</v>
      </c>
      <c r="R441" s="370">
        <f t="shared" si="175"/>
        <v>-193.32570114444329</v>
      </c>
      <c r="S441" s="372">
        <f t="shared" si="176"/>
        <v>-13.325701144443286</v>
      </c>
      <c r="U441" s="345">
        <f t="shared" si="182"/>
        <v>45709</v>
      </c>
      <c r="V441" s="345">
        <f t="shared" si="183"/>
        <v>2089312681</v>
      </c>
      <c r="X441" s="371">
        <f t="shared" si="177"/>
        <v>36.859177072140326</v>
      </c>
      <c r="Y441" s="372">
        <f t="shared" si="178"/>
        <v>-36.329828778048849</v>
      </c>
      <c r="AA441" s="371">
        <f t="shared" si="179"/>
        <v>27.325209536741674</v>
      </c>
      <c r="AB441" s="372">
        <f t="shared" si="180"/>
        <v>-156.99587236639439</v>
      </c>
      <c r="AD441">
        <f t="shared" si="184"/>
        <v>0</v>
      </c>
      <c r="AE441">
        <f t="shared" si="187"/>
        <v>0</v>
      </c>
    </row>
    <row r="442" spans="1:31" x14ac:dyDescent="0.3">
      <c r="A442" s="373">
        <v>45975.25</v>
      </c>
      <c r="B442" s="390">
        <f t="shared" si="181"/>
        <v>45.975250000000003</v>
      </c>
      <c r="C442" s="363">
        <f t="shared" si="162"/>
        <v>341.21803224730257</v>
      </c>
      <c r="D442" s="364">
        <f t="shared" si="163"/>
        <v>1.5678656451281108</v>
      </c>
      <c r="E442" s="364">
        <f t="shared" si="164"/>
        <v>1.0583774880127466</v>
      </c>
      <c r="F442" s="365">
        <f t="shared" si="165"/>
        <v>0.33368302881575701</v>
      </c>
      <c r="G442" s="364">
        <f t="shared" si="166"/>
        <v>3.5513970058455651</v>
      </c>
      <c r="H442" s="365">
        <f t="shared" si="167"/>
        <v>-1.2853566834538335</v>
      </c>
      <c r="I442" s="363">
        <f t="shared" si="168"/>
        <v>69565.108991933957</v>
      </c>
      <c r="J442" s="366">
        <f t="shared" si="169"/>
        <v>1.5707819517724964</v>
      </c>
      <c r="K442" s="374">
        <f t="shared" si="185"/>
        <v>236.06751147610959</v>
      </c>
      <c r="L442" s="375">
        <f t="shared" si="186"/>
        <v>1.566560237785888</v>
      </c>
      <c r="M442" s="363">
        <f t="shared" si="170"/>
        <v>1.2399325733690483</v>
      </c>
      <c r="N442" s="366">
        <f t="shared" si="171"/>
        <v>0.63259583145421383</v>
      </c>
      <c r="O442" s="367">
        <f t="shared" si="172"/>
        <v>1.0010035889392179</v>
      </c>
      <c r="P442" s="368">
        <f t="shared" si="173"/>
        <v>0.22165407736996018</v>
      </c>
      <c r="Q442" s="369">
        <f t="shared" si="174"/>
        <v>-7.8731472955082351</v>
      </c>
      <c r="R442" s="370">
        <f t="shared" si="175"/>
        <v>-193.5457692339121</v>
      </c>
      <c r="S442" s="372">
        <f t="shared" si="176"/>
        <v>-13.545769233912097</v>
      </c>
      <c r="U442" s="345">
        <f t="shared" si="182"/>
        <v>45975.25</v>
      </c>
      <c r="V442" s="345">
        <f t="shared" si="183"/>
        <v>2113723612.5625</v>
      </c>
      <c r="X442" s="371">
        <f t="shared" si="177"/>
        <v>36.84160798872221</v>
      </c>
      <c r="Y442" s="372">
        <f t="shared" si="178"/>
        <v>-36.486957715332061</v>
      </c>
      <c r="AA442" s="371">
        <f t="shared" si="179"/>
        <v>27.326444542328801</v>
      </c>
      <c r="AB442" s="372">
        <f t="shared" si="180"/>
        <v>-157.05881151858006</v>
      </c>
      <c r="AD442">
        <f t="shared" si="184"/>
        <v>0</v>
      </c>
      <c r="AE442">
        <f t="shared" si="187"/>
        <v>0</v>
      </c>
    </row>
    <row r="443" spans="1:31" x14ac:dyDescent="0.3">
      <c r="A443" s="373">
        <v>46241.5</v>
      </c>
      <c r="B443" s="390">
        <f t="shared" si="181"/>
        <v>46.241500000000002</v>
      </c>
      <c r="C443" s="363">
        <f t="shared" si="162"/>
        <v>343.19406333009908</v>
      </c>
      <c r="D443" s="364">
        <f t="shared" si="163"/>
        <v>1.5678825193550365</v>
      </c>
      <c r="E443" s="364">
        <f t="shared" si="164"/>
        <v>1.0590366859514087</v>
      </c>
      <c r="F443" s="365">
        <f t="shared" si="165"/>
        <v>0.33547404439715706</v>
      </c>
      <c r="G443" s="364">
        <f t="shared" si="166"/>
        <v>3.5703373654178705</v>
      </c>
      <c r="H443" s="365">
        <f t="shared" si="167"/>
        <v>-1.2869130740336745</v>
      </c>
      <c r="I443" s="363">
        <f t="shared" si="168"/>
        <v>69967.971624878555</v>
      </c>
      <c r="J443" s="366">
        <f t="shared" si="169"/>
        <v>1.5707820345412153</v>
      </c>
      <c r="K443" s="374">
        <f t="shared" si="185"/>
        <v>237.43459159687288</v>
      </c>
      <c r="L443" s="375">
        <f t="shared" si="186"/>
        <v>1.5665846281132447</v>
      </c>
      <c r="M443" s="363">
        <f t="shared" si="170"/>
        <v>1.2424473946637684</v>
      </c>
      <c r="N443" s="366">
        <f t="shared" si="171"/>
        <v>0.63535165918816261</v>
      </c>
      <c r="O443" s="367">
        <f t="shared" si="172"/>
        <v>1.0010184780506286</v>
      </c>
      <c r="P443" s="368">
        <f t="shared" si="173"/>
        <v>0.22295597483039351</v>
      </c>
      <c r="Q443" s="369">
        <f t="shared" si="174"/>
        <v>-7.889423210025015</v>
      </c>
      <c r="R443" s="370">
        <f t="shared" si="175"/>
        <v>-193.76439084133153</v>
      </c>
      <c r="S443" s="372">
        <f t="shared" si="176"/>
        <v>-13.764390841331533</v>
      </c>
      <c r="U443" s="345">
        <f t="shared" si="182"/>
        <v>46241.5</v>
      </c>
      <c r="V443" s="345">
        <f t="shared" si="183"/>
        <v>2138276322.25</v>
      </c>
      <c r="X443" s="371">
        <f t="shared" si="177"/>
        <v>36.82400828308608</v>
      </c>
      <c r="Y443" s="372">
        <f t="shared" si="178"/>
        <v>-36.643462293211037</v>
      </c>
      <c r="AA443" s="371">
        <f t="shared" si="179"/>
        <v>27.327768333448148</v>
      </c>
      <c r="AB443" s="372">
        <f t="shared" si="180"/>
        <v>-157.12092854812047</v>
      </c>
      <c r="AD443">
        <f t="shared" si="184"/>
        <v>0</v>
      </c>
      <c r="AE443">
        <f t="shared" si="187"/>
        <v>0</v>
      </c>
    </row>
    <row r="444" spans="1:31" x14ac:dyDescent="0.3">
      <c r="A444" s="373">
        <v>46507.75</v>
      </c>
      <c r="B444" s="390">
        <f t="shared" si="181"/>
        <v>46.507750000000001</v>
      </c>
      <c r="C444" s="363">
        <f t="shared" si="162"/>
        <v>345.17009450949757</v>
      </c>
      <c r="D444" s="364">
        <f t="shared" si="163"/>
        <v>1.5678992003786796</v>
      </c>
      <c r="E444" s="364">
        <f t="shared" si="164"/>
        <v>1.0596992767682598</v>
      </c>
      <c r="F444" s="365">
        <f t="shared" si="165"/>
        <v>0.33726282599875274</v>
      </c>
      <c r="G444" s="364">
        <f t="shared" si="166"/>
        <v>3.589286282314601</v>
      </c>
      <c r="H444" s="365">
        <f t="shared" si="167"/>
        <v>-1.2884530350074044</v>
      </c>
      <c r="I444" s="363">
        <f t="shared" si="168"/>
        <v>70370.834257823633</v>
      </c>
      <c r="J444" s="366">
        <f t="shared" si="169"/>
        <v>1.5707821163622566</v>
      </c>
      <c r="K444" s="374">
        <f t="shared" si="185"/>
        <v>238.80167185726594</v>
      </c>
      <c r="L444" s="375">
        <f t="shared" si="186"/>
        <v>1.5666087391834831</v>
      </c>
      <c r="M444" s="363">
        <f t="shared" si="170"/>
        <v>1.2449716136703848</v>
      </c>
      <c r="N444" s="366">
        <f t="shared" si="171"/>
        <v>0.63809633264212295</v>
      </c>
      <c r="O444" s="367">
        <f t="shared" si="172"/>
        <v>1.001033527907442</v>
      </c>
      <c r="P444" s="368">
        <f t="shared" si="173"/>
        <v>0.22425818131693936</v>
      </c>
      <c r="Q444" s="369">
        <f t="shared" si="174"/>
        <v>-7.9056418171485365</v>
      </c>
      <c r="R444" s="370">
        <f t="shared" si="175"/>
        <v>-193.9815825882232</v>
      </c>
      <c r="S444" s="372">
        <f t="shared" si="176"/>
        <v>-13.981582588223205</v>
      </c>
      <c r="U444" s="345">
        <f t="shared" si="182"/>
        <v>46507.75</v>
      </c>
      <c r="V444" s="345">
        <f t="shared" si="183"/>
        <v>2162970810.0625</v>
      </c>
      <c r="X444" s="371">
        <f t="shared" si="177"/>
        <v>36.806378612313807</v>
      </c>
      <c r="Y444" s="372">
        <f t="shared" si="178"/>
        <v>-36.799343723878842</v>
      </c>
      <c r="AA444" s="371">
        <f t="shared" si="179"/>
        <v>27.329179397096908</v>
      </c>
      <c r="AB444" s="372">
        <f t="shared" si="180"/>
        <v>-157.18223886434436</v>
      </c>
      <c r="AD444">
        <f t="shared" si="184"/>
        <v>0</v>
      </c>
      <c r="AE444">
        <f t="shared" si="187"/>
        <v>0</v>
      </c>
    </row>
    <row r="445" spans="1:31" x14ac:dyDescent="0.3">
      <c r="A445" s="373">
        <v>46774</v>
      </c>
      <c r="B445" s="390">
        <f t="shared" si="181"/>
        <v>46.774000000000001</v>
      </c>
      <c r="C445" s="363">
        <f t="shared" si="162"/>
        <v>347.14612578384862</v>
      </c>
      <c r="D445" s="364">
        <f t="shared" si="163"/>
        <v>1.5679156914982955</v>
      </c>
      <c r="E445" s="364">
        <f t="shared" si="164"/>
        <v>1.0603652541029724</v>
      </c>
      <c r="F445" s="365">
        <f t="shared" si="165"/>
        <v>0.33904936637187855</v>
      </c>
      <c r="G445" s="364">
        <f t="shared" si="166"/>
        <v>3.6082436217177865</v>
      </c>
      <c r="H445" s="365">
        <f t="shared" si="167"/>
        <v>-1.2899768179713043</v>
      </c>
      <c r="I445" s="363">
        <f t="shared" si="168"/>
        <v>70773.696890769163</v>
      </c>
      <c r="J445" s="366">
        <f t="shared" si="169"/>
        <v>1.5707821972518041</v>
      </c>
      <c r="K445" s="374">
        <f t="shared" si="185"/>
        <v>240.1687522549044</v>
      </c>
      <c r="L445" s="375">
        <f t="shared" si="186"/>
        <v>1.5666325757653083</v>
      </c>
      <c r="M445" s="363">
        <f t="shared" si="170"/>
        <v>1.2475051733425233</v>
      </c>
      <c r="N445" s="366">
        <f t="shared" si="171"/>
        <v>0.64082987829812366</v>
      </c>
      <c r="O445" s="367">
        <f t="shared" si="172"/>
        <v>1.0010487397977681</v>
      </c>
      <c r="P445" s="368">
        <f t="shared" si="173"/>
        <v>0.22556069839399176</v>
      </c>
      <c r="Q445" s="369">
        <f t="shared" si="174"/>
        <v>-7.9218039420969806</v>
      </c>
      <c r="R445" s="370">
        <f t="shared" si="175"/>
        <v>-194.19736082898584</v>
      </c>
      <c r="S445" s="372">
        <f t="shared" si="176"/>
        <v>-14.197360828985836</v>
      </c>
      <c r="U445" s="345">
        <f t="shared" si="182"/>
        <v>46774</v>
      </c>
      <c r="V445" s="345">
        <f t="shared" si="183"/>
        <v>2187807076</v>
      </c>
      <c r="X445" s="371">
        <f t="shared" si="177"/>
        <v>36.788719627634322</v>
      </c>
      <c r="Y445" s="372">
        <f t="shared" si="178"/>
        <v>-36.954603252344469</v>
      </c>
      <c r="AA445" s="371">
        <f t="shared" si="179"/>
        <v>27.330676256827935</v>
      </c>
      <c r="AB445" s="372">
        <f t="shared" si="180"/>
        <v>-157.24275757664134</v>
      </c>
      <c r="AD445">
        <f t="shared" si="184"/>
        <v>0</v>
      </c>
      <c r="AE445">
        <f t="shared" si="187"/>
        <v>0</v>
      </c>
    </row>
    <row r="446" spans="1:31" x14ac:dyDescent="0.3">
      <c r="A446" s="373">
        <v>47046.25</v>
      </c>
      <c r="B446" s="390">
        <f t="shared" si="181"/>
        <v>47.046250000000001</v>
      </c>
      <c r="C446" s="363">
        <f t="shared" si="162"/>
        <v>349.16668743694504</v>
      </c>
      <c r="D446" s="364">
        <f t="shared" si="163"/>
        <v>1.5679323612362359</v>
      </c>
      <c r="E446" s="364">
        <f t="shared" si="164"/>
        <v>1.0610497345855976</v>
      </c>
      <c r="F446" s="365">
        <f t="shared" si="165"/>
        <v>0.34087384177949576</v>
      </c>
      <c r="G446" s="364">
        <f t="shared" si="166"/>
        <v>3.6276367405528109</v>
      </c>
      <c r="H446" s="365">
        <f t="shared" si="167"/>
        <v>-1.2915184676513416</v>
      </c>
      <c r="I446" s="363">
        <f t="shared" si="168"/>
        <v>71185.638118260438</v>
      </c>
      <c r="J446" s="366">
        <f t="shared" si="169"/>
        <v>1.5707822790174732</v>
      </c>
      <c r="K446" s="374">
        <f t="shared" si="185"/>
        <v>241.56664023761547</v>
      </c>
      <c r="L446" s="375">
        <f t="shared" si="186"/>
        <v>1.5666566705280058</v>
      </c>
      <c r="M446" s="363">
        <f t="shared" si="170"/>
        <v>1.2501054269271987</v>
      </c>
      <c r="N446" s="366">
        <f t="shared" si="171"/>
        <v>0.6436135462705479</v>
      </c>
      <c r="O446" s="367">
        <f t="shared" si="172"/>
        <v>1.0010644633927122</v>
      </c>
      <c r="P446" s="368">
        <f t="shared" si="173"/>
        <v>0.22689289076257738</v>
      </c>
      <c r="Q446" s="369">
        <f t="shared" si="174"/>
        <v>-7.9382727069239216</v>
      </c>
      <c r="R446" s="370">
        <f t="shared" si="175"/>
        <v>-194.41655679755974</v>
      </c>
      <c r="S446" s="372">
        <f t="shared" si="176"/>
        <v>-14.416556797559736</v>
      </c>
      <c r="U446" s="345">
        <f t="shared" si="182"/>
        <v>47046.25</v>
      </c>
      <c r="V446" s="345">
        <f t="shared" si="183"/>
        <v>2213349639.0625</v>
      </c>
      <c r="X446" s="371">
        <f t="shared" si="177"/>
        <v>36.770633054099207</v>
      </c>
      <c r="Y446" s="372">
        <f t="shared" si="178"/>
        <v>-37.112719835527606</v>
      </c>
      <c r="AA446" s="371">
        <f t="shared" si="179"/>
        <v>27.332294065536122</v>
      </c>
      <c r="AB446" s="372">
        <f t="shared" si="180"/>
        <v>-157.30383696203216</v>
      </c>
      <c r="AD446">
        <f t="shared" si="184"/>
        <v>0</v>
      </c>
      <c r="AE446">
        <f t="shared" si="187"/>
        <v>0</v>
      </c>
    </row>
    <row r="447" spans="1:31" x14ac:dyDescent="0.3">
      <c r="A447" s="373">
        <v>47318.5</v>
      </c>
      <c r="B447" s="390">
        <f t="shared" si="181"/>
        <v>47.3185</v>
      </c>
      <c r="C447" s="363">
        <f t="shared" si="162"/>
        <v>351.1872491859516</v>
      </c>
      <c r="D447" s="364">
        <f t="shared" si="163"/>
        <v>1.567948839154945</v>
      </c>
      <c r="E447" s="364">
        <f t="shared" si="164"/>
        <v>1.0617377424348544</v>
      </c>
      <c r="F447" s="365">
        <f t="shared" si="165"/>
        <v>0.34269595871959152</v>
      </c>
      <c r="G447" s="364">
        <f t="shared" si="166"/>
        <v>3.6470383894289737</v>
      </c>
      <c r="H447" s="365">
        <f t="shared" si="167"/>
        <v>-1.2930437182750842</v>
      </c>
      <c r="I447" s="363">
        <f t="shared" si="168"/>
        <v>71597.579345752165</v>
      </c>
      <c r="J447" s="366">
        <f t="shared" si="169"/>
        <v>1.5707823598422541</v>
      </c>
      <c r="K447" s="374">
        <f t="shared" si="185"/>
        <v>242.9645283589561</v>
      </c>
      <c r="L447" s="375">
        <f t="shared" si="186"/>
        <v>1.5666804880339276</v>
      </c>
      <c r="M447" s="363">
        <f t="shared" si="170"/>
        <v>1.2527153270805795</v>
      </c>
      <c r="N447" s="366">
        <f t="shared" si="171"/>
        <v>0.64638563669218596</v>
      </c>
      <c r="O447" s="367">
        <f t="shared" si="172"/>
        <v>1.0010803591536561</v>
      </c>
      <c r="P447" s="368">
        <f t="shared" si="173"/>
        <v>0.22822541117383308</v>
      </c>
      <c r="Q447" s="369">
        <f t="shared" si="174"/>
        <v>-7.9546840668756236</v>
      </c>
      <c r="R447" s="370">
        <f t="shared" si="175"/>
        <v>-194.63430859161861</v>
      </c>
      <c r="S447" s="372">
        <f t="shared" si="176"/>
        <v>-14.634308591618606</v>
      </c>
      <c r="U447" s="345">
        <f t="shared" si="182"/>
        <v>47318.5</v>
      </c>
      <c r="V447" s="345">
        <f t="shared" si="183"/>
        <v>2239040442.25</v>
      </c>
      <c r="X447" s="371">
        <f t="shared" si="177"/>
        <v>36.752517189035075</v>
      </c>
      <c r="Y447" s="372">
        <f t="shared" si="178"/>
        <v>-37.270188905647032</v>
      </c>
      <c r="AA447" s="371">
        <f t="shared" si="179"/>
        <v>27.33399857064855</v>
      </c>
      <c r="AB447" s="372">
        <f t="shared" si="180"/>
        <v>-157.36411968597162</v>
      </c>
      <c r="AD447">
        <f t="shared" si="184"/>
        <v>0</v>
      </c>
      <c r="AE447">
        <f t="shared" si="187"/>
        <v>0</v>
      </c>
    </row>
    <row r="448" spans="1:31" x14ac:dyDescent="0.3">
      <c r="A448" s="373">
        <v>47590.75</v>
      </c>
      <c r="B448" s="390">
        <f t="shared" si="181"/>
        <v>47.59075</v>
      </c>
      <c r="C448" s="363">
        <f t="shared" si="162"/>
        <v>353.20781102922217</v>
      </c>
      <c r="D448" s="364">
        <f t="shared" si="163"/>
        <v>1.5679651285463796</v>
      </c>
      <c r="E448" s="364">
        <f t="shared" si="164"/>
        <v>1.0624292707979872</v>
      </c>
      <c r="F448" s="365">
        <f t="shared" si="165"/>
        <v>0.34451570968658424</v>
      </c>
      <c r="G448" s="364">
        <f t="shared" si="166"/>
        <v>3.6664484329316935</v>
      </c>
      <c r="H448" s="365">
        <f t="shared" si="167"/>
        <v>-1.2945528231369889</v>
      </c>
      <c r="I448" s="363">
        <f t="shared" si="168"/>
        <v>72009.520573244357</v>
      </c>
      <c r="J448" s="366">
        <f t="shared" si="169"/>
        <v>1.5707824397422947</v>
      </c>
      <c r="K448" s="374">
        <f t="shared" si="185"/>
        <v>244.36241661654716</v>
      </c>
      <c r="L448" s="375">
        <f t="shared" si="186"/>
        <v>1.5667040330412325</v>
      </c>
      <c r="M448" s="363">
        <f t="shared" si="170"/>
        <v>1.2553348136356568</v>
      </c>
      <c r="N448" s="366">
        <f t="shared" si="171"/>
        <v>0.64914617930239649</v>
      </c>
      <c r="O448" s="367">
        <f t="shared" si="172"/>
        <v>1.0010964284813759</v>
      </c>
      <c r="P448" s="368">
        <f t="shared" si="173"/>
        <v>0.22955826128782925</v>
      </c>
      <c r="Q448" s="369">
        <f t="shared" si="174"/>
        <v>-7.9710388118408479</v>
      </c>
      <c r="R448" s="370">
        <f t="shared" si="175"/>
        <v>-194.85063286987665</v>
      </c>
      <c r="S448" s="372">
        <f t="shared" si="176"/>
        <v>-14.850632869876648</v>
      </c>
      <c r="U448" s="345">
        <f t="shared" si="182"/>
        <v>47590.75</v>
      </c>
      <c r="V448" s="345">
        <f t="shared" si="183"/>
        <v>2264879485.5625</v>
      </c>
      <c r="X448" s="371">
        <f t="shared" si="177"/>
        <v>36.734372709742999</v>
      </c>
      <c r="Y448" s="372">
        <f t="shared" si="178"/>
        <v>-37.427011894945252</v>
      </c>
      <c r="AA448" s="371">
        <f t="shared" si="179"/>
        <v>27.335788304975406</v>
      </c>
      <c r="AB448" s="372">
        <f t="shared" si="180"/>
        <v>-157.42362097493142</v>
      </c>
      <c r="AD448">
        <f t="shared" si="184"/>
        <v>0</v>
      </c>
      <c r="AE448">
        <f t="shared" si="187"/>
        <v>0</v>
      </c>
    </row>
    <row r="449" spans="1:31" x14ac:dyDescent="0.3">
      <c r="A449" s="373">
        <v>47863</v>
      </c>
      <c r="B449" s="390">
        <f t="shared" si="181"/>
        <v>47.863</v>
      </c>
      <c r="C449" s="363">
        <f t="shared" si="162"/>
        <v>355.22837296514825</v>
      </c>
      <c r="D449" s="364">
        <f t="shared" si="163"/>
        <v>1.5679812326275964</v>
      </c>
      <c r="E449" s="364">
        <f t="shared" si="164"/>
        <v>1.0631243128050512</v>
      </c>
      <c r="F449" s="365">
        <f t="shared" si="165"/>
        <v>0.34633308725705009</v>
      </c>
      <c r="G449" s="364">
        <f t="shared" si="166"/>
        <v>3.6858667384408217</v>
      </c>
      <c r="H449" s="365">
        <f t="shared" si="167"/>
        <v>-1.2960460304914108</v>
      </c>
      <c r="I449" s="363">
        <f t="shared" si="168"/>
        <v>72421.461800737001</v>
      </c>
      <c r="J449" s="366">
        <f t="shared" si="169"/>
        <v>1.570782518733375</v>
      </c>
      <c r="K449" s="374">
        <f t="shared" si="185"/>
        <v>245.76030500806374</v>
      </c>
      <c r="L449" s="375">
        <f t="shared" si="186"/>
        <v>1.5667273101998236</v>
      </c>
      <c r="M449" s="363">
        <f t="shared" si="170"/>
        <v>1.2579638267064874</v>
      </c>
      <c r="N449" s="366">
        <f t="shared" si="171"/>
        <v>0.65189520429729586</v>
      </c>
      <c r="O449" s="367">
        <f t="shared" si="172"/>
        <v>1.0011126727845967</v>
      </c>
      <c r="P449" s="368">
        <f t="shared" si="173"/>
        <v>0.23089144276037149</v>
      </c>
      <c r="Q449" s="369">
        <f t="shared" si="174"/>
        <v>-7.9873377028573236</v>
      </c>
      <c r="R449" s="370">
        <f t="shared" si="175"/>
        <v>-195.06554602538037</v>
      </c>
      <c r="S449" s="372">
        <f t="shared" si="176"/>
        <v>-15.065546025380371</v>
      </c>
      <c r="U449" s="345">
        <f t="shared" si="182"/>
        <v>47863</v>
      </c>
      <c r="V449" s="345">
        <f t="shared" si="183"/>
        <v>2290866769</v>
      </c>
      <c r="X449" s="371">
        <f t="shared" si="177"/>
        <v>36.716200287150393</v>
      </c>
      <c r="Y449" s="372">
        <f t="shared" si="178"/>
        <v>-37.583190268016608</v>
      </c>
      <c r="AA449" s="371">
        <f t="shared" si="179"/>
        <v>27.337661836551533</v>
      </c>
      <c r="AB449" s="372">
        <f t="shared" si="180"/>
        <v>-157.48235575736373</v>
      </c>
      <c r="AD449">
        <f t="shared" si="184"/>
        <v>0</v>
      </c>
      <c r="AE449">
        <f t="shared" si="187"/>
        <v>0</v>
      </c>
    </row>
    <row r="450" spans="1:31" x14ac:dyDescent="0.3">
      <c r="A450" s="373">
        <v>48141.75</v>
      </c>
      <c r="B450" s="390">
        <f t="shared" si="181"/>
        <v>48.141750000000002</v>
      </c>
      <c r="C450" s="363">
        <f t="shared" si="162"/>
        <v>357.29717614358151</v>
      </c>
      <c r="D450" s="364">
        <f t="shared" si="163"/>
        <v>1.5679975324793745</v>
      </c>
      <c r="E450" s="364">
        <f t="shared" si="164"/>
        <v>1.0638395823058069</v>
      </c>
      <c r="F450" s="365">
        <f t="shared" si="165"/>
        <v>0.34819138818858453</v>
      </c>
      <c r="G450" s="364">
        <f t="shared" si="166"/>
        <v>3.705757082829285</v>
      </c>
      <c r="H450" s="365">
        <f t="shared" si="167"/>
        <v>-1.2975586710673424</v>
      </c>
      <c r="I450" s="363">
        <f t="shared" si="168"/>
        <v>72843.238172320853</v>
      </c>
      <c r="J450" s="366">
        <f t="shared" si="169"/>
        <v>1.5707825986847093</v>
      </c>
      <c r="K450" s="374">
        <f t="shared" si="185"/>
        <v>247.19156828177034</v>
      </c>
      <c r="L450" s="375">
        <f t="shared" si="186"/>
        <v>1.5667508703314101</v>
      </c>
      <c r="M450" s="363">
        <f t="shared" si="170"/>
        <v>1.2606654159225579</v>
      </c>
      <c r="N450" s="366">
        <f t="shared" si="171"/>
        <v>0.65469796120739565</v>
      </c>
      <c r="O450" s="367">
        <f t="shared" si="172"/>
        <v>1.0011294876936749</v>
      </c>
      <c r="P450" s="368">
        <f t="shared" si="173"/>
        <v>0.2322567991381401</v>
      </c>
      <c r="Q450" s="369">
        <f t="shared" si="174"/>
        <v>-8.0039686272387236</v>
      </c>
      <c r="R450" s="370">
        <f t="shared" si="175"/>
        <v>-195.28414504351929</v>
      </c>
      <c r="S450" s="372">
        <f t="shared" si="176"/>
        <v>-15.284145043519288</v>
      </c>
      <c r="U450" s="345">
        <f t="shared" si="182"/>
        <v>48141.75</v>
      </c>
      <c r="V450" s="345">
        <f t="shared" si="183"/>
        <v>2317628093.0625</v>
      </c>
      <c r="X450" s="371">
        <f t="shared" si="177"/>
        <v>36.697565737886329</v>
      </c>
      <c r="Y450" s="372">
        <f t="shared" si="178"/>
        <v>-37.742431094917741</v>
      </c>
      <c r="AA450" s="371">
        <f t="shared" si="179"/>
        <v>27.339665461434194</v>
      </c>
      <c r="AB450" s="372">
        <f t="shared" si="180"/>
        <v>-157.54171394860151</v>
      </c>
      <c r="AD450">
        <f t="shared" si="184"/>
        <v>0</v>
      </c>
      <c r="AE450">
        <f t="shared" si="187"/>
        <v>0</v>
      </c>
    </row>
    <row r="451" spans="1:31" x14ac:dyDescent="0.3">
      <c r="A451" s="373">
        <v>48420.5</v>
      </c>
      <c r="B451" s="390">
        <f t="shared" si="181"/>
        <v>48.420499999999997</v>
      </c>
      <c r="C451" s="363">
        <f t="shared" si="162"/>
        <v>359.36597941585046</v>
      </c>
      <c r="D451" s="364">
        <f t="shared" si="163"/>
        <v>1.5680136446607114</v>
      </c>
      <c r="E451" s="364">
        <f t="shared" si="164"/>
        <v>1.0645585206009043</v>
      </c>
      <c r="F451" s="365">
        <f t="shared" si="165"/>
        <v>0.35004718555390529</v>
      </c>
      <c r="G451" s="364">
        <f t="shared" si="166"/>
        <v>3.7256558157454571</v>
      </c>
      <c r="H451" s="365">
        <f t="shared" si="167"/>
        <v>-1.2990551570060882</v>
      </c>
      <c r="I451" s="363">
        <f t="shared" si="168"/>
        <v>73265.014543905156</v>
      </c>
      <c r="J451" s="366">
        <f t="shared" si="169"/>
        <v>1.5707826777155065</v>
      </c>
      <c r="K451" s="374">
        <f t="shared" si="185"/>
        <v>248.62283169110816</v>
      </c>
      <c r="L451" s="375">
        <f t="shared" si="186"/>
        <v>1.5667741592026907</v>
      </c>
      <c r="M451" s="363">
        <f t="shared" si="170"/>
        <v>1.2633768658295501</v>
      </c>
      <c r="N451" s="366">
        <f t="shared" si="171"/>
        <v>0.65748870945033644</v>
      </c>
      <c r="O451" s="367">
        <f t="shared" si="172"/>
        <v>1.0011464890474873</v>
      </c>
      <c r="P451" s="368">
        <f t="shared" si="173"/>
        <v>0.23362250638503446</v>
      </c>
      <c r="Q451" s="369">
        <f t="shared" si="174"/>
        <v>-8.0205425254242364</v>
      </c>
      <c r="R451" s="370">
        <f t="shared" si="175"/>
        <v>-195.50129870688181</v>
      </c>
      <c r="S451" s="372">
        <f t="shared" si="176"/>
        <v>-15.501298706881812</v>
      </c>
      <c r="U451" s="345">
        <f t="shared" si="182"/>
        <v>48420.5</v>
      </c>
      <c r="V451" s="345">
        <f t="shared" si="183"/>
        <v>2344544820.25</v>
      </c>
      <c r="X451" s="371">
        <f t="shared" si="177"/>
        <v>36.678903298151333</v>
      </c>
      <c r="Y451" s="372">
        <f t="shared" si="178"/>
        <v>-37.900999365200121</v>
      </c>
      <c r="AA451" s="371">
        <f t="shared" si="179"/>
        <v>27.341754002983677</v>
      </c>
      <c r="AB451" s="372">
        <f t="shared" si="180"/>
        <v>-157.6002993416817</v>
      </c>
      <c r="AD451">
        <f t="shared" si="184"/>
        <v>0</v>
      </c>
      <c r="AE451">
        <f t="shared" si="187"/>
        <v>0</v>
      </c>
    </row>
    <row r="452" spans="1:31" x14ac:dyDescent="0.3">
      <c r="A452" s="373">
        <v>48699.25</v>
      </c>
      <c r="B452" s="390">
        <f t="shared" si="181"/>
        <v>48.699249999999999</v>
      </c>
      <c r="C452" s="363">
        <f t="shared" si="162"/>
        <v>361.43478278034371</v>
      </c>
      <c r="D452" s="364">
        <f t="shared" si="163"/>
        <v>1.5680295723941988</v>
      </c>
      <c r="E452" s="364">
        <f t="shared" si="164"/>
        <v>1.0652811202623411</v>
      </c>
      <c r="F452" s="365">
        <f t="shared" si="165"/>
        <v>0.35190047165214755</v>
      </c>
      <c r="G452" s="364">
        <f t="shared" si="166"/>
        <v>3.7455628034942885</v>
      </c>
      <c r="H452" s="365">
        <f t="shared" si="167"/>
        <v>-1.3005357391279333</v>
      </c>
      <c r="I452" s="363">
        <f t="shared" si="168"/>
        <v>73686.79091548991</v>
      </c>
      <c r="J452" s="366">
        <f t="shared" si="169"/>
        <v>1.5707827558415737</v>
      </c>
      <c r="K452" s="374">
        <f t="shared" si="185"/>
        <v>250.05409523374828</v>
      </c>
      <c r="L452" s="375">
        <f t="shared" si="186"/>
        <v>1.566797181471572</v>
      </c>
      <c r="M452" s="363">
        <f t="shared" si="170"/>
        <v>1.2660981130751017</v>
      </c>
      <c r="N452" s="366">
        <f t="shared" si="171"/>
        <v>0.66026748284789716</v>
      </c>
      <c r="O452" s="367">
        <f t="shared" si="172"/>
        <v>1.0011636783839728</v>
      </c>
      <c r="P452" s="368">
        <f t="shared" si="173"/>
        <v>0.23498856626422943</v>
      </c>
      <c r="Q452" s="369">
        <f t="shared" si="174"/>
        <v>-8.0370601272139091</v>
      </c>
      <c r="R452" s="370">
        <f t="shared" si="175"/>
        <v>-195.71702378517477</v>
      </c>
      <c r="S452" s="372">
        <f t="shared" si="176"/>
        <v>-15.717023785174774</v>
      </c>
      <c r="U452" s="345">
        <f t="shared" si="182"/>
        <v>48699.25</v>
      </c>
      <c r="V452" s="345">
        <f t="shared" si="183"/>
        <v>2371616950.5625</v>
      </c>
      <c r="X452" s="371">
        <f t="shared" si="177"/>
        <v>36.660213667385968</v>
      </c>
      <c r="Y452" s="372">
        <f t="shared" si="178"/>
        <v>-38.058896750736203</v>
      </c>
      <c r="AA452" s="371">
        <f t="shared" si="179"/>
        <v>27.34392603195937</v>
      </c>
      <c r="AB452" s="372">
        <f t="shared" si="180"/>
        <v>-157.65812703443856</v>
      </c>
      <c r="AD452">
        <f t="shared" si="184"/>
        <v>0</v>
      </c>
      <c r="AE452">
        <f t="shared" si="187"/>
        <v>0</v>
      </c>
    </row>
    <row r="453" spans="1:31" x14ac:dyDescent="0.3">
      <c r="A453" s="373">
        <v>48978</v>
      </c>
      <c r="B453" s="390">
        <f t="shared" si="181"/>
        <v>48.978000000000002</v>
      </c>
      <c r="C453" s="363">
        <f t="shared" si="162"/>
        <v>363.50358623548652</v>
      </c>
      <c r="D453" s="364">
        <f t="shared" si="163"/>
        <v>1.5680453188290657</v>
      </c>
      <c r="E453" s="364">
        <f t="shared" si="164"/>
        <v>1.0660073738444784</v>
      </c>
      <c r="F453" s="365">
        <f t="shared" si="165"/>
        <v>0.35375123887227644</v>
      </c>
      <c r="G453" s="364">
        <f t="shared" si="166"/>
        <v>3.7654779151530744</v>
      </c>
      <c r="H453" s="365">
        <f t="shared" si="167"/>
        <v>-1.3020006632291585</v>
      </c>
      <c r="I453" s="363">
        <f t="shared" si="168"/>
        <v>74108.56728707513</v>
      </c>
      <c r="J453" s="366">
        <f t="shared" si="169"/>
        <v>1.5707828330783584</v>
      </c>
      <c r="K453" s="374">
        <f t="shared" si="185"/>
        <v>251.48535890741471</v>
      </c>
      <c r="L453" s="375">
        <f t="shared" si="186"/>
        <v>1.5668199416899247</v>
      </c>
      <c r="M453" s="363">
        <f t="shared" si="170"/>
        <v>1.2688290946224019</v>
      </c>
      <c r="N453" s="366">
        <f t="shared" si="171"/>
        <v>0.66303431567195137</v>
      </c>
      <c r="O453" s="367">
        <f t="shared" si="172"/>
        <v>1.0011810572497939</v>
      </c>
      <c r="P453" s="368">
        <f t="shared" si="173"/>
        <v>0.23635498053408671</v>
      </c>
      <c r="Q453" s="369">
        <f t="shared" si="174"/>
        <v>-8.0535221352539672</v>
      </c>
      <c r="R453" s="370">
        <f t="shared" si="175"/>
        <v>-195.93133678246781</v>
      </c>
      <c r="S453" s="372">
        <f t="shared" si="176"/>
        <v>-15.93133678246781</v>
      </c>
      <c r="U453" s="345">
        <f t="shared" si="182"/>
        <v>48978</v>
      </c>
      <c r="V453" s="345">
        <f t="shared" si="183"/>
        <v>2398844484</v>
      </c>
      <c r="X453" s="371">
        <f t="shared" si="177"/>
        <v>36.641497538078298</v>
      </c>
      <c r="Y453" s="372">
        <f t="shared" si="178"/>
        <v>-38.216124955241838</v>
      </c>
      <c r="AA453" s="371">
        <f t="shared" si="179"/>
        <v>27.346180153226985</v>
      </c>
      <c r="AB453" s="372">
        <f t="shared" si="180"/>
        <v>-157.71521182722597</v>
      </c>
      <c r="AD453">
        <f t="shared" si="184"/>
        <v>0</v>
      </c>
      <c r="AE453">
        <f t="shared" si="187"/>
        <v>0</v>
      </c>
    </row>
    <row r="454" spans="1:31" x14ac:dyDescent="0.3">
      <c r="A454" s="373">
        <v>49263.25</v>
      </c>
      <c r="B454" s="390">
        <f t="shared" si="181"/>
        <v>49.263249999999999</v>
      </c>
      <c r="C454" s="363">
        <f t="shared" si="162"/>
        <v>365.6206309396706</v>
      </c>
      <c r="D454" s="364">
        <f t="shared" si="163"/>
        <v>1.5680612479668583</v>
      </c>
      <c r="E454" s="364">
        <f t="shared" si="164"/>
        <v>1.0667543374209434</v>
      </c>
      <c r="F454" s="365">
        <f t="shared" si="165"/>
        <v>0.35564254748256935</v>
      </c>
      <c r="G454" s="364">
        <f t="shared" si="166"/>
        <v>3.7858656915833353</v>
      </c>
      <c r="H454" s="365">
        <f t="shared" si="167"/>
        <v>-1.3034837883324393</v>
      </c>
      <c r="I454" s="363">
        <f t="shared" si="168"/>
        <v>74540.178802751543</v>
      </c>
      <c r="J454" s="366">
        <f t="shared" si="169"/>
        <v>1.5707829112113001</v>
      </c>
      <c r="K454" s="374">
        <f t="shared" si="185"/>
        <v>252.94999747271532</v>
      </c>
      <c r="L454" s="375">
        <f t="shared" si="186"/>
        <v>1.5668429659930005</v>
      </c>
      <c r="M454" s="363">
        <f t="shared" si="170"/>
        <v>1.2716337702477858</v>
      </c>
      <c r="N454" s="366">
        <f t="shared" si="171"/>
        <v>0.66585334131327722</v>
      </c>
      <c r="O454" s="367">
        <f t="shared" si="172"/>
        <v>1.0011990391956278</v>
      </c>
      <c r="P454" s="368">
        <f t="shared" si="173"/>
        <v>0.23775362609099326</v>
      </c>
      <c r="Q454" s="369">
        <f t="shared" si="174"/>
        <v>-8.0703111630229412</v>
      </c>
      <c r="R454" s="370">
        <f t="shared" si="175"/>
        <v>-196.14920230319282</v>
      </c>
      <c r="S454" s="372">
        <f t="shared" si="176"/>
        <v>-16.149202303192823</v>
      </c>
      <c r="U454" s="345">
        <f t="shared" si="182"/>
        <v>49263.25</v>
      </c>
      <c r="V454" s="345">
        <f t="shared" si="183"/>
        <v>2426867800.5625</v>
      </c>
      <c r="X454" s="371">
        <f t="shared" si="177"/>
        <v>36.622318261440149</v>
      </c>
      <c r="Y454" s="372">
        <f t="shared" si="178"/>
        <v>-38.376328508307324</v>
      </c>
      <c r="AA454" s="371">
        <f t="shared" si="179"/>
        <v>27.348570402096165</v>
      </c>
      <c r="AB454" s="372">
        <f t="shared" si="180"/>
        <v>-157.7728737948855</v>
      </c>
      <c r="AD454">
        <f t="shared" si="184"/>
        <v>0</v>
      </c>
      <c r="AE454">
        <f t="shared" si="187"/>
        <v>0</v>
      </c>
    </row>
    <row r="455" spans="1:31" x14ac:dyDescent="0.3">
      <c r="A455" s="373">
        <v>49548.5</v>
      </c>
      <c r="B455" s="390">
        <f t="shared" si="181"/>
        <v>49.548499999999997</v>
      </c>
      <c r="C455" s="363">
        <f t="shared" si="162"/>
        <v>367.73767573555807</v>
      </c>
      <c r="D455" s="364">
        <f t="shared" si="163"/>
        <v>1.5680769936983818</v>
      </c>
      <c r="E455" s="364">
        <f t="shared" si="164"/>
        <v>1.0675051114811076</v>
      </c>
      <c r="F455" s="365">
        <f t="shared" si="165"/>
        <v>0.35753120253417847</v>
      </c>
      <c r="G455" s="364">
        <f t="shared" si="166"/>
        <v>3.8062617064088409</v>
      </c>
      <c r="H455" s="365">
        <f t="shared" si="167"/>
        <v>-1.3049510218568099</v>
      </c>
      <c r="I455" s="363">
        <f t="shared" si="168"/>
        <v>74971.790318428422</v>
      </c>
      <c r="J455" s="366">
        <f t="shared" si="169"/>
        <v>1.5707829884446214</v>
      </c>
      <c r="K455" s="374">
        <f t="shared" si="185"/>
        <v>254.4146361705655</v>
      </c>
      <c r="L455" s="375">
        <f t="shared" si="186"/>
        <v>1.5668657251990341</v>
      </c>
      <c r="M455" s="363">
        <f t="shared" si="170"/>
        <v>1.2744485069013978</v>
      </c>
      <c r="N455" s="366">
        <f t="shared" si="171"/>
        <v>0.66865993702204496</v>
      </c>
      <c r="O455" s="367">
        <f t="shared" si="172"/>
        <v>1.0012172229178848</v>
      </c>
      <c r="P455" s="368">
        <f t="shared" si="173"/>
        <v>0.23915264646890497</v>
      </c>
      <c r="Q455" s="369">
        <f t="shared" si="174"/>
        <v>-8.0870433802311581</v>
      </c>
      <c r="R455" s="370">
        <f t="shared" si="175"/>
        <v>-196.36562326320663</v>
      </c>
      <c r="S455" s="372">
        <f t="shared" si="176"/>
        <v>-16.365623263206629</v>
      </c>
      <c r="U455" s="345">
        <f t="shared" si="182"/>
        <v>49548.5</v>
      </c>
      <c r="V455" s="345">
        <f t="shared" si="183"/>
        <v>2455053852.25</v>
      </c>
      <c r="X455" s="371">
        <f t="shared" si="177"/>
        <v>36.603112681051087</v>
      </c>
      <c r="Y455" s="372">
        <f t="shared" si="178"/>
        <v>-38.535835016094076</v>
      </c>
      <c r="AA455" s="371">
        <f t="shared" si="179"/>
        <v>27.351043765277005</v>
      </c>
      <c r="AB455" s="372">
        <f t="shared" si="180"/>
        <v>-157.82978824711256</v>
      </c>
      <c r="AD455">
        <f t="shared" si="184"/>
        <v>0</v>
      </c>
      <c r="AE455">
        <f t="shared" si="187"/>
        <v>0</v>
      </c>
    </row>
    <row r="456" spans="1:31" x14ac:dyDescent="0.3">
      <c r="A456" s="373">
        <v>49833.75</v>
      </c>
      <c r="B456" s="390">
        <f t="shared" si="181"/>
        <v>49.833750000000002</v>
      </c>
      <c r="C456" s="363">
        <f t="shared" si="162"/>
        <v>369.8547206215743</v>
      </c>
      <c r="D456" s="364">
        <f t="shared" si="163"/>
        <v>1.5680925591730757</v>
      </c>
      <c r="E456" s="364">
        <f t="shared" si="164"/>
        <v>1.0682596879909343</v>
      </c>
      <c r="F456" s="365">
        <f t="shared" si="165"/>
        <v>0.35941719616238682</v>
      </c>
      <c r="G456" s="364">
        <f t="shared" si="166"/>
        <v>3.8266658278983914</v>
      </c>
      <c r="H456" s="365">
        <f t="shared" si="167"/>
        <v>-1.3064026116399279</v>
      </c>
      <c r="I456" s="363">
        <f t="shared" si="168"/>
        <v>75403.401834105753</v>
      </c>
      <c r="J456" s="366">
        <f t="shared" si="169"/>
        <v>1.5707830647937706</v>
      </c>
      <c r="K456" s="374">
        <f t="shared" si="185"/>
        <v>255.87927499868911</v>
      </c>
      <c r="L456" s="375">
        <f t="shared" si="186"/>
        <v>1.5668882238602044</v>
      </c>
      <c r="M456" s="363">
        <f t="shared" si="170"/>
        <v>1.2772732380685481</v>
      </c>
      <c r="N456" s="366">
        <f t="shared" si="171"/>
        <v>0.67145414090500966</v>
      </c>
      <c r="O456" s="367">
        <f t="shared" si="172"/>
        <v>1.0012356101023119</v>
      </c>
      <c r="P456" s="368">
        <f t="shared" si="173"/>
        <v>0.24055204353621648</v>
      </c>
      <c r="Q456" s="369">
        <f t="shared" si="174"/>
        <v>-8.1037194582143606</v>
      </c>
      <c r="R456" s="370">
        <f t="shared" si="175"/>
        <v>-196.58061652409759</v>
      </c>
      <c r="S456" s="372">
        <f t="shared" si="176"/>
        <v>-16.580616524097593</v>
      </c>
      <c r="U456" s="345">
        <f t="shared" si="182"/>
        <v>49833.75</v>
      </c>
      <c r="V456" s="345">
        <f t="shared" si="183"/>
        <v>2483402639.0625</v>
      </c>
      <c r="X456" s="371">
        <f t="shared" si="177"/>
        <v>36.58388151648478</v>
      </c>
      <c r="Y456" s="372">
        <f t="shared" si="178"/>
        <v>-38.694646402022741</v>
      </c>
      <c r="AA456" s="371">
        <f t="shared" si="179"/>
        <v>27.353598851860109</v>
      </c>
      <c r="AB456" s="372">
        <f t="shared" si="180"/>
        <v>-157.88597012207484</v>
      </c>
      <c r="AD456">
        <f t="shared" si="184"/>
        <v>0</v>
      </c>
      <c r="AE456">
        <f t="shared" si="187"/>
        <v>0</v>
      </c>
    </row>
    <row r="457" spans="1:31" x14ac:dyDescent="0.3">
      <c r="A457" s="373">
        <v>50119</v>
      </c>
      <c r="B457" s="390">
        <f t="shared" si="181"/>
        <v>50.119</v>
      </c>
      <c r="C457" s="363">
        <f t="shared" si="162"/>
        <v>371.97176559618043</v>
      </c>
      <c r="D457" s="364">
        <f t="shared" si="163"/>
        <v>1.5681079474686803</v>
      </c>
      <c r="E457" s="364">
        <f t="shared" si="164"/>
        <v>1.0690180588984386</v>
      </c>
      <c r="F457" s="365">
        <f t="shared" si="165"/>
        <v>0.36130052060035911</v>
      </c>
      <c r="G457" s="364">
        <f t="shared" si="166"/>
        <v>3.8470779270636797</v>
      </c>
      <c r="H457" s="365">
        <f t="shared" si="167"/>
        <v>-1.307838800526322</v>
      </c>
      <c r="I457" s="363">
        <f t="shared" si="168"/>
        <v>75835.01334978352</v>
      </c>
      <c r="J457" s="366">
        <f t="shared" si="169"/>
        <v>1.5707831402738444</v>
      </c>
      <c r="K457" s="374">
        <f t="shared" si="185"/>
        <v>257.34391395486182</v>
      </c>
      <c r="L457" s="375">
        <f t="shared" si="186"/>
        <v>1.5669104664250584</v>
      </c>
      <c r="M457" s="363">
        <f t="shared" si="170"/>
        <v>1.2801078975865019</v>
      </c>
      <c r="N457" s="366">
        <f t="shared" si="171"/>
        <v>0.67423599150717672</v>
      </c>
      <c r="O457" s="367">
        <f t="shared" si="172"/>
        <v>1.0012542024442055</v>
      </c>
      <c r="P457" s="368">
        <f t="shared" si="173"/>
        <v>0.24195181915590186</v>
      </c>
      <c r="Q457" s="369">
        <f t="shared" si="174"/>
        <v>-8.1203400429115575</v>
      </c>
      <c r="R457" s="370">
        <f t="shared" si="175"/>
        <v>-196.79419868236937</v>
      </c>
      <c r="S457" s="372">
        <f t="shared" si="176"/>
        <v>-16.79419868236937</v>
      </c>
      <c r="U457" s="345">
        <f t="shared" si="182"/>
        <v>50119</v>
      </c>
      <c r="V457" s="345">
        <f t="shared" si="183"/>
        <v>2511914161</v>
      </c>
      <c r="X457" s="371">
        <f t="shared" si="177"/>
        <v>36.564625479773795</v>
      </c>
      <c r="Y457" s="372">
        <f t="shared" si="178"/>
        <v>-38.852764620541507</v>
      </c>
      <c r="AA457" s="371">
        <f t="shared" si="179"/>
        <v>27.35623430387389</v>
      </c>
      <c r="AB457" s="372">
        <f t="shared" si="180"/>
        <v>-157.94143406182786</v>
      </c>
      <c r="AD457">
        <f t="shared" si="184"/>
        <v>0</v>
      </c>
      <c r="AE457">
        <f t="shared" si="187"/>
        <v>0</v>
      </c>
    </row>
    <row r="458" spans="1:31" x14ac:dyDescent="0.3">
      <c r="A458" s="373">
        <v>50410.75</v>
      </c>
      <c r="B458" s="390">
        <f t="shared" si="181"/>
        <v>50.41075</v>
      </c>
      <c r="C458" s="363">
        <f t="shared" si="162"/>
        <v>374.13705182592548</v>
      </c>
      <c r="D458" s="364">
        <f t="shared" si="163"/>
        <v>1.5681235062715557</v>
      </c>
      <c r="E458" s="364">
        <f t="shared" si="164"/>
        <v>1.0697976274921053</v>
      </c>
      <c r="F458" s="365">
        <f t="shared" si="165"/>
        <v>0.36322399129624033</v>
      </c>
      <c r="G458" s="364">
        <f t="shared" si="166"/>
        <v>3.8679632781088946</v>
      </c>
      <c r="H458" s="365">
        <f t="shared" si="167"/>
        <v>-1.3092920325944157</v>
      </c>
      <c r="I458" s="363">
        <f t="shared" si="168"/>
        <v>76276.460009552524</v>
      </c>
      <c r="J458" s="366">
        <f t="shared" si="169"/>
        <v>1.5707832165902555</v>
      </c>
      <c r="K458" s="374">
        <f t="shared" si="185"/>
        <v>258.84192781148272</v>
      </c>
      <c r="L458" s="375">
        <f t="shared" si="186"/>
        <v>1.5669329554467315</v>
      </c>
      <c r="M458" s="363">
        <f t="shared" si="170"/>
        <v>1.2830173522667565</v>
      </c>
      <c r="N458" s="366">
        <f t="shared" si="171"/>
        <v>0.67706849411012515</v>
      </c>
      <c r="O458" s="367">
        <f t="shared" si="172"/>
        <v>1.0012734324504633</v>
      </c>
      <c r="P458" s="368">
        <f t="shared" si="173"/>
        <v>0.24338388502895097</v>
      </c>
      <c r="Q458" s="369">
        <f t="shared" si="174"/>
        <v>-8.1372826045649589</v>
      </c>
      <c r="R458" s="370">
        <f t="shared" si="175"/>
        <v>-197.01120506932037</v>
      </c>
      <c r="S458" s="372">
        <f t="shared" si="176"/>
        <v>-17.011205069320368</v>
      </c>
      <c r="U458" s="345">
        <f t="shared" si="182"/>
        <v>50410.75</v>
      </c>
      <c r="V458" s="345">
        <f t="shared" si="183"/>
        <v>2541243715.5625</v>
      </c>
      <c r="X458" s="371">
        <f t="shared" si="177"/>
        <v>36.544905660722669</v>
      </c>
      <c r="Y458" s="372">
        <f t="shared" si="178"/>
        <v>-39.013770911915273</v>
      </c>
      <c r="AA458" s="371">
        <f t="shared" si="179"/>
        <v>27.359011561271622</v>
      </c>
      <c r="AB458" s="372">
        <f t="shared" si="180"/>
        <v>-157.99743415740508</v>
      </c>
      <c r="AD458">
        <f t="shared" si="184"/>
        <v>0</v>
      </c>
      <c r="AE458">
        <f t="shared" si="187"/>
        <v>0</v>
      </c>
    </row>
    <row r="459" spans="1:31" x14ac:dyDescent="0.3">
      <c r="A459" s="373">
        <v>50702.5</v>
      </c>
      <c r="B459" s="390">
        <f t="shared" si="181"/>
        <v>50.702500000000001</v>
      </c>
      <c r="C459" s="363">
        <f t="shared" si="162"/>
        <v>376.30233814519801</v>
      </c>
      <c r="D459" s="364">
        <f t="shared" si="163"/>
        <v>1.568138886020203</v>
      </c>
      <c r="E459" s="364">
        <f t="shared" si="164"/>
        <v>1.070581148285616</v>
      </c>
      <c r="F459" s="365">
        <f t="shared" si="165"/>
        <v>0.36514465364794724</v>
      </c>
      <c r="G459" s="364">
        <f t="shared" si="166"/>
        <v>3.8888567100908098</v>
      </c>
      <c r="H459" s="365">
        <f t="shared" si="167"/>
        <v>-1.3107296522823575</v>
      </c>
      <c r="I459" s="363">
        <f t="shared" si="168"/>
        <v>76717.906669321979</v>
      </c>
      <c r="J459" s="366">
        <f t="shared" si="169"/>
        <v>1.5707832920283937</v>
      </c>
      <c r="K459" s="374">
        <f t="shared" si="185"/>
        <v>260.339941797508</v>
      </c>
      <c r="L459" s="375">
        <f t="shared" si="186"/>
        <v>1.5669551856616513</v>
      </c>
      <c r="M459" s="363">
        <f t="shared" si="170"/>
        <v>1.2859370540587429</v>
      </c>
      <c r="N459" s="366">
        <f t="shared" si="171"/>
        <v>0.67988815693628546</v>
      </c>
      <c r="O459" s="367">
        <f t="shared" si="172"/>
        <v>1.0012928806884192</v>
      </c>
      <c r="P459" s="368">
        <f t="shared" si="173"/>
        <v>0.24481635082768805</v>
      </c>
      <c r="Q459" s="369">
        <f t="shared" si="174"/>
        <v>-8.1541684048373</v>
      </c>
      <c r="R459" s="370">
        <f t="shared" si="175"/>
        <v>-197.2267696072434</v>
      </c>
      <c r="S459" s="372">
        <f t="shared" si="176"/>
        <v>-17.226769607243398</v>
      </c>
      <c r="U459" s="345">
        <f t="shared" si="182"/>
        <v>50702.5</v>
      </c>
      <c r="V459" s="345">
        <f t="shared" si="183"/>
        <v>2570743506.25</v>
      </c>
      <c r="X459" s="371">
        <f t="shared" si="177"/>
        <v>36.525161305724914</v>
      </c>
      <c r="Y459" s="372">
        <f t="shared" si="178"/>
        <v>-39.174056316481717</v>
      </c>
      <c r="AA459" s="371">
        <f t="shared" si="179"/>
        <v>27.361870115997032</v>
      </c>
      <c r="AB459" s="372">
        <f t="shared" si="180"/>
        <v>-158.05271329076166</v>
      </c>
      <c r="AD459">
        <f t="shared" si="184"/>
        <v>0</v>
      </c>
      <c r="AE459">
        <f t="shared" si="187"/>
        <v>0</v>
      </c>
    </row>
    <row r="460" spans="1:31" x14ac:dyDescent="0.3">
      <c r="A460" s="373">
        <v>50994.25</v>
      </c>
      <c r="B460" s="390">
        <f t="shared" si="181"/>
        <v>50.994250000000001</v>
      </c>
      <c r="C460" s="363">
        <f t="shared" si="162"/>
        <v>378.46762455246136</v>
      </c>
      <c r="D460" s="364">
        <f t="shared" si="163"/>
        <v>1.5681540897878268</v>
      </c>
      <c r="E460" s="364">
        <f t="shared" si="164"/>
        <v>1.0713686126079192</v>
      </c>
      <c r="F460" s="365">
        <f t="shared" si="165"/>
        <v>0.36706249966208959</v>
      </c>
      <c r="G460" s="364">
        <f t="shared" si="166"/>
        <v>3.9097580934578051</v>
      </c>
      <c r="H460" s="365">
        <f t="shared" si="167"/>
        <v>-1.3121519039887781</v>
      </c>
      <c r="I460" s="363">
        <f t="shared" si="168"/>
        <v>77159.353329091871</v>
      </c>
      <c r="J460" s="366">
        <f t="shared" si="169"/>
        <v>1.5707833666033335</v>
      </c>
      <c r="K460" s="374">
        <f t="shared" si="185"/>
        <v>261.83795591071646</v>
      </c>
      <c r="L460" s="375">
        <f t="shared" si="186"/>
        <v>1.566977161511812</v>
      </c>
      <c r="M460" s="363">
        <f t="shared" si="170"/>
        <v>1.2888669333233644</v>
      </c>
      <c r="N460" s="366">
        <f t="shared" si="171"/>
        <v>0.68269502256108872</v>
      </c>
      <c r="O460" s="367">
        <f t="shared" si="172"/>
        <v>1.0013125490028933</v>
      </c>
      <c r="P460" s="368">
        <f t="shared" si="173"/>
        <v>0.24624921852753021</v>
      </c>
      <c r="Q460" s="369">
        <f t="shared" si="174"/>
        <v>-8.1709980588037396</v>
      </c>
      <c r="R460" s="370">
        <f t="shared" si="175"/>
        <v>-197.44090923214944</v>
      </c>
      <c r="S460" s="372">
        <f t="shared" si="176"/>
        <v>-17.440909232149437</v>
      </c>
      <c r="U460" s="345">
        <f t="shared" si="182"/>
        <v>50994.25</v>
      </c>
      <c r="V460" s="345">
        <f t="shared" si="183"/>
        <v>2600413533.0625</v>
      </c>
      <c r="X460" s="371">
        <f t="shared" si="177"/>
        <v>36.505393152291965</v>
      </c>
      <c r="Y460" s="372">
        <f t="shared" si="178"/>
        <v>-39.33362301998951</v>
      </c>
      <c r="AA460" s="371">
        <f t="shared" si="179"/>
        <v>27.364808615463541</v>
      </c>
      <c r="AB460" s="372">
        <f t="shared" si="180"/>
        <v>-158.10728621215998</v>
      </c>
      <c r="AD460">
        <f t="shared" si="184"/>
        <v>0</v>
      </c>
      <c r="AE460">
        <f t="shared" si="187"/>
        <v>0</v>
      </c>
    </row>
    <row r="461" spans="1:31" x14ac:dyDescent="0.3">
      <c r="A461" s="373">
        <v>51286</v>
      </c>
      <c r="B461" s="390">
        <f t="shared" si="181"/>
        <v>51.286000000000001</v>
      </c>
      <c r="C461" s="363">
        <f t="shared" ref="C461:C524" si="188">SQRT(1+(A461/pole1)^2)</f>
        <v>380.63291104621391</v>
      </c>
      <c r="D461" s="364">
        <f t="shared" ref="D461:D524" si="189">ATAN(A461/pole1)</f>
        <v>1.5681691205777015</v>
      </c>
      <c r="E461" s="364">
        <f t="shared" ref="E461:E524" si="190">SQRT(1+(A461/Zero1)^2)</f>
        <v>1.07216001176986</v>
      </c>
      <c r="F461" s="365">
        <f t="shared" ref="F461:F524" si="191">ATAN(A461/Zero1)</f>
        <v>0.3689775214515722</v>
      </c>
      <c r="G461" s="364">
        <f t="shared" ref="G461:G524" si="192">IF(VIN_nom&gt;Vout, 1, SQRT(1+(A461/z_RHP)^2))</f>
        <v>3.9306673013650477</v>
      </c>
      <c r="H461" s="365">
        <f t="shared" ref="H461:H524" si="193">IF(VIN_nom&gt;Vout, 0, -ATAN(A461/z_RHP))</f>
        <v>-1.3135590271636584</v>
      </c>
      <c r="I461" s="363">
        <f t="shared" ref="I461:I524" si="194">SQRT(1+(A461/Pole2)^2)</f>
        <v>77600.799988862185</v>
      </c>
      <c r="J461" s="366">
        <f t="shared" ref="J461:J524" si="195">ATAN(A461/Pole2)</f>
        <v>1.5707834403298064</v>
      </c>
      <c r="K461" s="374">
        <f t="shared" si="185"/>
        <v>263.33597014893786</v>
      </c>
      <c r="L461" s="375">
        <f t="shared" si="186"/>
        <v>1.566998887338134</v>
      </c>
      <c r="M461" s="363">
        <f t="shared" ref="M461:M524" si="196">SQRT(1+(A461/pole4)^2)</f>
        <v>1.2918069208116529</v>
      </c>
      <c r="N461" s="366">
        <f t="shared" ref="N461:N524" si="197">ATAN(A461/pole4)</f>
        <v>0.68548913398097189</v>
      </c>
      <c r="O461" s="367">
        <f t="shared" ref="O461:O524" si="198">SQRT((1-(V461/pterm2))^2+(A461/pterm1)^2)</f>
        <v>1.0013324392491358</v>
      </c>
      <c r="P461" s="368">
        <f t="shared" ref="P461:P524" si="199">IF((ATAN((A461/pterm1)/(1-A461^2/pterm2))&gt;0),ATAN((A461/pterm1)/(1-A461^2/pterm2)),PI()+ATAN((A461/pterm1)/(1-A461^2/pterm2)))</f>
        <v>0.24768249009780163</v>
      </c>
      <c r="Q461" s="369">
        <f t="shared" ref="Q461:Q524" si="200">20*LOG10(((E461*K461*G461)/(C461*I461*O461*M461))*Adc)</f>
        <v>-8.1877721579406586</v>
      </c>
      <c r="R461" s="370">
        <f t="shared" ref="R461:R524" si="201">((F461+L461+H461)-(D461+J461+P461+N461))*radconv</f>
        <v>-197.65364061596017</v>
      </c>
      <c r="S461" s="372">
        <f t="shared" ref="S461:S524" si="202">IF(R461&gt;0,R461,R461+180)</f>
        <v>-17.653640615960171</v>
      </c>
      <c r="U461" s="345">
        <f t="shared" si="182"/>
        <v>51286</v>
      </c>
      <c r="V461" s="345">
        <f t="shared" si="183"/>
        <v>2630253796</v>
      </c>
      <c r="X461" s="371">
        <f t="shared" ref="X461:X524" si="203">20*LOG10((K461/(I461*M461))*AEA)</f>
        <v>36.48560192980068</v>
      </c>
      <c r="Y461" s="372">
        <f t="shared" ref="Y461:Y524" si="204">(L461-(J461+N461))*radconv</f>
        <v>-39.492473238080692</v>
      </c>
      <c r="AA461" s="371">
        <f t="shared" ref="AA461:AA524" si="205">20*LOG10((E461*G461/(C461*O461))*Acs*Am)</f>
        <v>27.367825738817913</v>
      </c>
      <c r="AB461" s="372">
        <f t="shared" ref="AB461:AB524" si="206">(F461+H461-(D461+P461))*radconv</f>
        <v>-158.16116737787951</v>
      </c>
      <c r="AD461">
        <f t="shared" si="184"/>
        <v>0</v>
      </c>
      <c r="AE461">
        <f t="shared" si="187"/>
        <v>0</v>
      </c>
    </row>
    <row r="462" spans="1:31" x14ac:dyDescent="0.3">
      <c r="A462" s="373">
        <v>51584.75</v>
      </c>
      <c r="B462" s="390">
        <f t="shared" ref="B462:B525" si="207">A462/1000</f>
        <v>51.58475</v>
      </c>
      <c r="C462" s="363">
        <f t="shared" si="188"/>
        <v>382.8501496604726</v>
      </c>
      <c r="D462" s="364">
        <f t="shared" si="189"/>
        <v>1.5681843358162577</v>
      </c>
      <c r="E462" s="364">
        <f t="shared" si="190"/>
        <v>1.0729744675774824</v>
      </c>
      <c r="F462" s="365">
        <f t="shared" si="191"/>
        <v>0.37093555582842974</v>
      </c>
      <c r="G462" s="364">
        <f t="shared" si="192"/>
        <v>3.9520861655947601</v>
      </c>
      <c r="H462" s="365">
        <f t="shared" si="193"/>
        <v>-1.3149844793399577</v>
      </c>
      <c r="I462" s="363">
        <f t="shared" si="194"/>
        <v>78052.838342269228</v>
      </c>
      <c r="J462" s="366">
        <f t="shared" si="195"/>
        <v>1.5707835149609997</v>
      </c>
      <c r="K462" s="374">
        <f t="shared" si="185"/>
        <v>264.86992658704537</v>
      </c>
      <c r="L462" s="375">
        <f t="shared" si="186"/>
        <v>1.5670208797724428</v>
      </c>
      <c r="M462" s="363">
        <f t="shared" si="196"/>
        <v>1.2948278508467395</v>
      </c>
      <c r="N462" s="366">
        <f t="shared" si="197"/>
        <v>0.68833711336445158</v>
      </c>
      <c r="O462" s="367">
        <f t="shared" si="198"/>
        <v>1.0013530386567309</v>
      </c>
      <c r="P462" s="368">
        <f t="shared" si="199"/>
        <v>0.24915057093292065</v>
      </c>
      <c r="Q462" s="369">
        <f t="shared" si="200"/>
        <v>-8.2048917442952369</v>
      </c>
      <c r="R462" s="370">
        <f t="shared" si="201"/>
        <v>-197.87003390986055</v>
      </c>
      <c r="S462" s="372">
        <f t="shared" si="202"/>
        <v>-17.870033909860553</v>
      </c>
      <c r="U462" s="345">
        <f t="shared" ref="U462:U525" si="208">IF(Q462&lt;0,A462,1000000000)</f>
        <v>51584.75</v>
      </c>
      <c r="V462" s="345">
        <f t="shared" ref="V462:V525" si="209">A462^2</f>
        <v>2660986432.5625</v>
      </c>
      <c r="X462" s="371">
        <f t="shared" si="203"/>
        <v>36.46531270106366</v>
      </c>
      <c r="Y462" s="372">
        <f t="shared" si="204"/>
        <v>-39.654394639464655</v>
      </c>
      <c r="AA462" s="371">
        <f t="shared" si="205"/>
        <v>27.370995381200352</v>
      </c>
      <c r="AB462" s="372">
        <f t="shared" si="206"/>
        <v>-158.21563927039588</v>
      </c>
      <c r="AD462">
        <f t="shared" ref="AD462:AD525" si="210">SUM((Q463&lt;0)*(Q462&gt;0))*A462</f>
        <v>0</v>
      </c>
      <c r="AE462">
        <f t="shared" si="187"/>
        <v>0</v>
      </c>
    </row>
    <row r="463" spans="1:31" x14ac:dyDescent="0.3">
      <c r="A463" s="373">
        <v>51883.5</v>
      </c>
      <c r="B463" s="390">
        <f t="shared" si="207"/>
        <v>51.883499999999998</v>
      </c>
      <c r="C463" s="363">
        <f t="shared" si="188"/>
        <v>385.06738836234172</v>
      </c>
      <c r="D463" s="364">
        <f t="shared" si="189"/>
        <v>1.5681993758344959</v>
      </c>
      <c r="E463" s="364">
        <f t="shared" si="190"/>
        <v>1.0737930308109229</v>
      </c>
      <c r="F463" s="365">
        <f t="shared" si="191"/>
        <v>0.37289061243265731</v>
      </c>
      <c r="G463" s="364">
        <f t="shared" si="192"/>
        <v>3.973512973540648</v>
      </c>
      <c r="H463" s="365">
        <f t="shared" si="193"/>
        <v>-1.3163945611128496</v>
      </c>
      <c r="I463" s="363">
        <f t="shared" si="194"/>
        <v>78504.876695676707</v>
      </c>
      <c r="J463" s="366">
        <f t="shared" si="195"/>
        <v>1.5707835887327262</v>
      </c>
      <c r="K463" s="374">
        <f t="shared" si="185"/>
        <v>266.40388315178643</v>
      </c>
      <c r="L463" s="375">
        <f t="shared" si="186"/>
        <v>1.567042618941392</v>
      </c>
      <c r="M463" s="363">
        <f t="shared" si="196"/>
        <v>1.297859234272591</v>
      </c>
      <c r="N463" s="366">
        <f t="shared" si="197"/>
        <v>0.69117181171576614</v>
      </c>
      <c r="O463" s="367">
        <f t="shared" si="198"/>
        <v>1.0013738747443905</v>
      </c>
      <c r="P463" s="368">
        <f t="shared" si="199"/>
        <v>0.25061907941091532</v>
      </c>
      <c r="Q463" s="369">
        <f t="shared" si="200"/>
        <v>-8.2219542615245924</v>
      </c>
      <c r="R463" s="370">
        <f t="shared" si="201"/>
        <v>-198.0849851357676</v>
      </c>
      <c r="S463" s="372">
        <f t="shared" si="202"/>
        <v>-18.084985135767596</v>
      </c>
      <c r="U463" s="345">
        <f t="shared" si="208"/>
        <v>51883.5</v>
      </c>
      <c r="V463" s="345">
        <f t="shared" si="209"/>
        <v>2691897572.25</v>
      </c>
      <c r="X463" s="371">
        <f t="shared" si="203"/>
        <v>36.445000804940946</v>
      </c>
      <c r="Y463" s="372">
        <f t="shared" si="204"/>
        <v>-39.815569555549502</v>
      </c>
      <c r="AA463" s="371">
        <f t="shared" si="205"/>
        <v>27.374244760093713</v>
      </c>
      <c r="AB463" s="372">
        <f t="shared" si="206"/>
        <v>-158.26941558021807</v>
      </c>
      <c r="AD463">
        <f t="shared" si="210"/>
        <v>0</v>
      </c>
      <c r="AE463">
        <f t="shared" si="187"/>
        <v>0</v>
      </c>
    </row>
    <row r="464" spans="1:31" x14ac:dyDescent="0.3">
      <c r="A464" s="373">
        <v>52182.25</v>
      </c>
      <c r="B464" s="390">
        <f t="shared" si="207"/>
        <v>52.182250000000003</v>
      </c>
      <c r="C464" s="363">
        <f t="shared" si="188"/>
        <v>387.28462715031657</v>
      </c>
      <c r="D464" s="364">
        <f t="shared" si="189"/>
        <v>1.5682142436418647</v>
      </c>
      <c r="E464" s="364">
        <f t="shared" si="190"/>
        <v>1.0746156920839769</v>
      </c>
      <c r="F464" s="365">
        <f t="shared" si="191"/>
        <v>0.37484268314070557</v>
      </c>
      <c r="G464" s="364">
        <f t="shared" si="192"/>
        <v>3.9949475973849062</v>
      </c>
      <c r="H464" s="365">
        <f t="shared" si="193"/>
        <v>-1.3177895142359486</v>
      </c>
      <c r="I464" s="363">
        <f t="shared" si="194"/>
        <v>78956.915049084608</v>
      </c>
      <c r="J464" s="366">
        <f t="shared" si="195"/>
        <v>1.5707836616597479</v>
      </c>
      <c r="K464" s="374">
        <f t="shared" si="185"/>
        <v>267.93783984098616</v>
      </c>
      <c r="L464" s="375">
        <f t="shared" si="186"/>
        <v>1.5670641091948296</v>
      </c>
      <c r="M464" s="363">
        <f t="shared" si="196"/>
        <v>1.3009009980131592</v>
      </c>
      <c r="N464" s="366">
        <f t="shared" si="197"/>
        <v>0.69399327648045417</v>
      </c>
      <c r="O464" s="367">
        <f t="shared" si="198"/>
        <v>1.0013949495380994</v>
      </c>
      <c r="P464" s="368">
        <f t="shared" si="199"/>
        <v>0.25208801762615657</v>
      </c>
      <c r="Q464" s="369">
        <f t="shared" si="200"/>
        <v>-8.238960273935847</v>
      </c>
      <c r="R464" s="370">
        <f t="shared" si="201"/>
        <v>-198.2985113730625</v>
      </c>
      <c r="S464" s="372">
        <f t="shared" si="202"/>
        <v>-18.298511373062496</v>
      </c>
      <c r="U464" s="345">
        <f t="shared" si="208"/>
        <v>52182.25</v>
      </c>
      <c r="V464" s="345">
        <f t="shared" si="209"/>
        <v>2722987215.0625</v>
      </c>
      <c r="X464" s="371">
        <f t="shared" si="203"/>
        <v>36.424666998287442</v>
      </c>
      <c r="Y464" s="372">
        <f t="shared" si="204"/>
        <v>-39.976000456382231</v>
      </c>
      <c r="AA464" s="371">
        <f t="shared" si="205"/>
        <v>27.377572554335959</v>
      </c>
      <c r="AB464" s="372">
        <f t="shared" si="206"/>
        <v>-158.32251091668027</v>
      </c>
      <c r="AD464">
        <f t="shared" si="210"/>
        <v>0</v>
      </c>
      <c r="AE464">
        <f t="shared" si="187"/>
        <v>0</v>
      </c>
    </row>
    <row r="465" spans="1:31" x14ac:dyDescent="0.3">
      <c r="A465" s="373">
        <v>52481</v>
      </c>
      <c r="B465" s="390">
        <f t="shared" si="207"/>
        <v>52.481000000000002</v>
      </c>
      <c r="C465" s="363">
        <f t="shared" si="188"/>
        <v>389.50186602292666</v>
      </c>
      <c r="D465" s="364">
        <f t="shared" si="189"/>
        <v>1.5682289421792879</v>
      </c>
      <c r="E465" s="364">
        <f t="shared" si="190"/>
        <v>1.0754424419922399</v>
      </c>
      <c r="F465" s="365">
        <f t="shared" si="191"/>
        <v>0.37679175994484299</v>
      </c>
      <c r="G465" s="364">
        <f t="shared" si="192"/>
        <v>4.0163899119921451</v>
      </c>
      <c r="H465" s="365">
        <f t="shared" si="193"/>
        <v>-1.3191695755386097</v>
      </c>
      <c r="I465" s="363">
        <f t="shared" si="194"/>
        <v>79408.953402492931</v>
      </c>
      <c r="J465" s="366">
        <f t="shared" si="195"/>
        <v>1.5707837337564901</v>
      </c>
      <c r="K465" s="374">
        <f t="shared" si="185"/>
        <v>269.47179665251906</v>
      </c>
      <c r="L465" s="375">
        <f t="shared" si="186"/>
        <v>1.5670853547835581</v>
      </c>
      <c r="M465" s="363">
        <f t="shared" si="196"/>
        <v>1.3039530694251915</v>
      </c>
      <c r="N465" s="366">
        <f t="shared" si="197"/>
        <v>0.69680155550489364</v>
      </c>
      <c r="O465" s="367">
        <f t="shared" si="198"/>
        <v>1.0014162650752871</v>
      </c>
      <c r="P465" s="368">
        <f t="shared" si="199"/>
        <v>0.25355738766613273</v>
      </c>
      <c r="Q465" s="369">
        <f t="shared" si="200"/>
        <v>-8.2559103239148719</v>
      </c>
      <c r="R465" s="370">
        <f t="shared" si="201"/>
        <v>-198.51062943665283</v>
      </c>
      <c r="S465" s="372">
        <f t="shared" si="202"/>
        <v>-18.510629436652835</v>
      </c>
      <c r="U465" s="345">
        <f t="shared" si="208"/>
        <v>52481</v>
      </c>
      <c r="V465" s="345">
        <f t="shared" si="209"/>
        <v>2754255361</v>
      </c>
      <c r="X465" s="371">
        <f t="shared" si="203"/>
        <v>36.40431202917145</v>
      </c>
      <c r="Y465" s="372">
        <f t="shared" si="204"/>
        <v>-40.135689840631812</v>
      </c>
      <c r="AA465" s="371">
        <f t="shared" si="205"/>
        <v>27.380977473472928</v>
      </c>
      <c r="AB465" s="372">
        <f t="shared" si="206"/>
        <v>-158.37493959602105</v>
      </c>
      <c r="AD465">
        <f t="shared" si="210"/>
        <v>0</v>
      </c>
      <c r="AE465">
        <f t="shared" si="187"/>
        <v>0</v>
      </c>
    </row>
    <row r="466" spans="1:31" x14ac:dyDescent="0.3">
      <c r="A466" s="373">
        <v>52786.5</v>
      </c>
      <c r="B466" s="390">
        <f t="shared" si="207"/>
        <v>52.786499999999997</v>
      </c>
      <c r="C466" s="363">
        <f t="shared" si="188"/>
        <v>391.76920159207572</v>
      </c>
      <c r="D466" s="364">
        <f t="shared" si="189"/>
        <v>1.5682438007621324</v>
      </c>
      <c r="E466" s="364">
        <f t="shared" si="190"/>
        <v>1.0762920900357771</v>
      </c>
      <c r="F466" s="365">
        <f t="shared" si="191"/>
        <v>0.3787817701099529</v>
      </c>
      <c r="G466" s="364">
        <f t="shared" si="192"/>
        <v>4.0383245230366542</v>
      </c>
      <c r="H466" s="365">
        <f t="shared" si="193"/>
        <v>-1.3205656595482165</v>
      </c>
      <c r="I466" s="363">
        <f t="shared" si="194"/>
        <v>79871.205174765273</v>
      </c>
      <c r="J466" s="366">
        <f t="shared" si="195"/>
        <v>1.570783806638254</v>
      </c>
      <c r="K466" s="374">
        <f t="shared" si="185"/>
        <v>271.04041202681782</v>
      </c>
      <c r="L466" s="375">
        <f t="shared" si="186"/>
        <v>1.5671068317072281</v>
      </c>
      <c r="M466" s="363">
        <f t="shared" si="196"/>
        <v>1.3070846841795536</v>
      </c>
      <c r="N466" s="366">
        <f t="shared" si="197"/>
        <v>0.69965969945545181</v>
      </c>
      <c r="O466" s="367">
        <f t="shared" si="198"/>
        <v>1.001438313317625</v>
      </c>
      <c r="P466" s="368">
        <f t="shared" si="199"/>
        <v>0.25506040559961274</v>
      </c>
      <c r="Q466" s="369">
        <f t="shared" si="200"/>
        <v>-8.2731860155129695</v>
      </c>
      <c r="R466" s="370">
        <f t="shared" si="201"/>
        <v>-198.72610111739584</v>
      </c>
      <c r="S466" s="372">
        <f t="shared" si="202"/>
        <v>-18.726101117395842</v>
      </c>
      <c r="U466" s="345">
        <f t="shared" si="208"/>
        <v>52786.5</v>
      </c>
      <c r="V466" s="345">
        <f t="shared" si="209"/>
        <v>2786414582.25</v>
      </c>
      <c r="X466" s="371">
        <f t="shared" si="203"/>
        <v>36.383476042179204</v>
      </c>
      <c r="Y466" s="372">
        <f t="shared" si="204"/>
        <v>-40.298223065159632</v>
      </c>
      <c r="AA466" s="371">
        <f t="shared" si="205"/>
        <v>27.384537768867077</v>
      </c>
      <c r="AB466" s="372">
        <f t="shared" si="206"/>
        <v>-158.4278780522362</v>
      </c>
      <c r="AD466">
        <f t="shared" si="210"/>
        <v>0</v>
      </c>
      <c r="AE466">
        <f t="shared" si="187"/>
        <v>0</v>
      </c>
    </row>
    <row r="467" spans="1:31" x14ac:dyDescent="0.3">
      <c r="A467" s="373">
        <v>53092</v>
      </c>
      <c r="B467" s="390">
        <f t="shared" si="207"/>
        <v>53.091999999999999</v>
      </c>
      <c r="C467" s="363">
        <f t="shared" si="188"/>
        <v>394.03653724672301</v>
      </c>
      <c r="D467" s="364">
        <f t="shared" si="189"/>
        <v>1.5682584883486816</v>
      </c>
      <c r="E467" s="364">
        <f t="shared" si="190"/>
        <v>1.0771459936132104</v>
      </c>
      <c r="F467" s="365">
        <f t="shared" si="191"/>
        <v>0.38076863298627645</v>
      </c>
      <c r="G467" s="364">
        <f t="shared" si="192"/>
        <v>4.0602669199296955</v>
      </c>
      <c r="H467" s="365">
        <f t="shared" si="193"/>
        <v>-1.3219466568579745</v>
      </c>
      <c r="I467" s="363">
        <f t="shared" si="194"/>
        <v>80333.456947038052</v>
      </c>
      <c r="J467" s="366">
        <f t="shared" si="195"/>
        <v>1.5707838786812709</v>
      </c>
      <c r="K467" s="374">
        <f t="shared" si="185"/>
        <v>272.60902752469752</v>
      </c>
      <c r="L467" s="375">
        <f t="shared" si="186"/>
        <v>1.5671280614708218</v>
      </c>
      <c r="M467" s="363">
        <f t="shared" si="196"/>
        <v>1.3102269253992262</v>
      </c>
      <c r="N467" s="366">
        <f t="shared" si="197"/>
        <v>0.70250415750807205</v>
      </c>
      <c r="O467" s="367">
        <f t="shared" si="198"/>
        <v>1.0014606176509369</v>
      </c>
      <c r="P467" s="368">
        <f t="shared" si="199"/>
        <v>0.25656387948455461</v>
      </c>
      <c r="Q467" s="369">
        <f t="shared" si="200"/>
        <v>-8.2904042681812484</v>
      </c>
      <c r="R467" s="370">
        <f t="shared" si="201"/>
        <v>-198.94013501598366</v>
      </c>
      <c r="S467" s="372">
        <f t="shared" si="202"/>
        <v>-18.940135015983657</v>
      </c>
      <c r="U467" s="345">
        <f t="shared" si="208"/>
        <v>53092</v>
      </c>
      <c r="V467" s="345">
        <f t="shared" si="209"/>
        <v>2818760464</v>
      </c>
      <c r="X467" s="371">
        <f t="shared" si="203"/>
        <v>36.362619479875129</v>
      </c>
      <c r="Y467" s="372">
        <f t="shared" si="204"/>
        <v>-40.459986258668451</v>
      </c>
      <c r="AA467" s="371">
        <f t="shared" si="205"/>
        <v>27.38817607850287</v>
      </c>
      <c r="AB467" s="372">
        <f t="shared" si="206"/>
        <v>-158.48014875731522</v>
      </c>
      <c r="AD467">
        <f t="shared" si="210"/>
        <v>0</v>
      </c>
      <c r="AE467">
        <f t="shared" si="187"/>
        <v>0</v>
      </c>
    </row>
    <row r="468" spans="1:31" x14ac:dyDescent="0.3">
      <c r="A468" s="373">
        <v>53397.5</v>
      </c>
      <c r="B468" s="390">
        <f t="shared" si="207"/>
        <v>53.397500000000001</v>
      </c>
      <c r="C468" s="363">
        <f t="shared" si="188"/>
        <v>396.30387298540137</v>
      </c>
      <c r="D468" s="364">
        <f t="shared" si="189"/>
        <v>1.568273007873844</v>
      </c>
      <c r="E468" s="364">
        <f t="shared" si="190"/>
        <v>1.0780041426119189</v>
      </c>
      <c r="F468" s="365">
        <f t="shared" si="191"/>
        <v>0.38275234038477124</v>
      </c>
      <c r="G468" s="364">
        <f t="shared" si="192"/>
        <v>4.0822169771217123</v>
      </c>
      <c r="H468" s="365">
        <f t="shared" si="193"/>
        <v>-1.3233128055207195</v>
      </c>
      <c r="I468" s="363">
        <f t="shared" si="194"/>
        <v>80795.708719311238</v>
      </c>
      <c r="J468" s="366">
        <f t="shared" si="195"/>
        <v>1.5707839498999367</v>
      </c>
      <c r="K468" s="374">
        <f t="shared" si="185"/>
        <v>274.17764314403701</v>
      </c>
      <c r="L468" s="375">
        <f t="shared" si="186"/>
        <v>1.5671490483164512</v>
      </c>
      <c r="M468" s="363">
        <f t="shared" si="196"/>
        <v>1.3133797168132364</v>
      </c>
      <c r="N468" s="366">
        <f t="shared" si="197"/>
        <v>0.70533498202883349</v>
      </c>
      <c r="O468" s="367">
        <f t="shared" si="198"/>
        <v>1.0014831802909854</v>
      </c>
      <c r="P468" s="368">
        <f t="shared" si="199"/>
        <v>0.25806781153053121</v>
      </c>
      <c r="Q468" s="369">
        <f t="shared" si="200"/>
        <v>-8.3075655966564543</v>
      </c>
      <c r="R468" s="370">
        <f t="shared" si="201"/>
        <v>-199.15274829391888</v>
      </c>
      <c r="S468" s="372">
        <f t="shared" si="202"/>
        <v>-19.152748293918876</v>
      </c>
      <c r="U468" s="345">
        <f t="shared" si="208"/>
        <v>53397.5</v>
      </c>
      <c r="V468" s="345">
        <f t="shared" si="209"/>
        <v>2851293006.25</v>
      </c>
      <c r="X468" s="371">
        <f t="shared" si="203"/>
        <v>36.341743113971518</v>
      </c>
      <c r="Y468" s="372">
        <f t="shared" si="204"/>
        <v>-40.620982179283295</v>
      </c>
      <c r="AA468" s="371">
        <f t="shared" si="205"/>
        <v>27.391891115931276</v>
      </c>
      <c r="AB468" s="372">
        <f t="shared" si="206"/>
        <v>-158.53176611463559</v>
      </c>
      <c r="AD468">
        <f t="shared" si="210"/>
        <v>0</v>
      </c>
      <c r="AE468">
        <f t="shared" si="187"/>
        <v>0</v>
      </c>
    </row>
    <row r="469" spans="1:31" x14ac:dyDescent="0.3">
      <c r="A469" s="373">
        <v>53703</v>
      </c>
      <c r="B469" s="390">
        <f t="shared" si="207"/>
        <v>53.703000000000003</v>
      </c>
      <c r="C469" s="363">
        <f t="shared" si="188"/>
        <v>398.57120880667662</v>
      </c>
      <c r="D469" s="364">
        <f t="shared" si="189"/>
        <v>1.5682873622057449</v>
      </c>
      <c r="E469" s="364">
        <f t="shared" si="190"/>
        <v>1.0788665269012594</v>
      </c>
      <c r="F469" s="365">
        <f t="shared" si="191"/>
        <v>0.38473288424172136</v>
      </c>
      <c r="G469" s="364">
        <f t="shared" si="192"/>
        <v>4.1041745717056521</v>
      </c>
      <c r="H469" s="365">
        <f t="shared" si="193"/>
        <v>-1.3246643387192751</v>
      </c>
      <c r="I469" s="363">
        <f t="shared" si="194"/>
        <v>81257.960491584832</v>
      </c>
      <c r="J469" s="366">
        <f t="shared" si="195"/>
        <v>1.5707840203083201</v>
      </c>
      <c r="K469" s="374">
        <f t="shared" si="185"/>
        <v>275.74625888276341</v>
      </c>
      <c r="L469" s="375">
        <f t="shared" si="186"/>
        <v>1.5671697963897016</v>
      </c>
      <c r="M469" s="363">
        <f t="shared" si="196"/>
        <v>1.3165429826263499</v>
      </c>
      <c r="N469" s="366">
        <f t="shared" si="197"/>
        <v>0.70815222575707548</v>
      </c>
      <c r="O469" s="367">
        <f t="shared" si="198"/>
        <v>1.0015060034660197</v>
      </c>
      <c r="P469" s="368">
        <f t="shared" si="199"/>
        <v>0.25957220393938341</v>
      </c>
      <c r="Q469" s="369">
        <f t="shared" si="200"/>
        <v>-8.3246704955368838</v>
      </c>
      <c r="R469" s="370">
        <f t="shared" si="201"/>
        <v>-199.36395784912082</v>
      </c>
      <c r="S469" s="372">
        <f t="shared" si="202"/>
        <v>-19.363957849120823</v>
      </c>
      <c r="U469" s="345">
        <f t="shared" si="208"/>
        <v>53703</v>
      </c>
      <c r="V469" s="345">
        <f t="shared" si="209"/>
        <v>2884012209</v>
      </c>
      <c r="X469" s="371">
        <f t="shared" si="203"/>
        <v>36.320847706772881</v>
      </c>
      <c r="Y469" s="372">
        <f t="shared" si="204"/>
        <v>-40.781213612027294</v>
      </c>
      <c r="AA469" s="371">
        <f t="shared" si="205"/>
        <v>27.395681624249484</v>
      </c>
      <c r="AB469" s="372">
        <f t="shared" si="206"/>
        <v>-158.58274423709346</v>
      </c>
      <c r="AD469">
        <f t="shared" si="210"/>
        <v>0</v>
      </c>
      <c r="AE469">
        <f t="shared" si="187"/>
        <v>0</v>
      </c>
    </row>
    <row r="470" spans="1:31" x14ac:dyDescent="0.3">
      <c r="A470" s="373">
        <v>54015.75</v>
      </c>
      <c r="B470" s="390">
        <f t="shared" si="207"/>
        <v>54.015749999999997</v>
      </c>
      <c r="C470" s="363">
        <f t="shared" si="188"/>
        <v>400.89235219062272</v>
      </c>
      <c r="D470" s="364">
        <f t="shared" si="189"/>
        <v>1.5683018889948912</v>
      </c>
      <c r="E470" s="364">
        <f t="shared" si="190"/>
        <v>1.0797537535918267</v>
      </c>
      <c r="F470" s="365">
        <f t="shared" si="191"/>
        <v>0.38675714421459834</v>
      </c>
      <c r="G470" s="364">
        <f t="shared" si="192"/>
        <v>4.1266609370735123</v>
      </c>
      <c r="H470" s="365">
        <f t="shared" si="193"/>
        <v>-1.3260330445668909</v>
      </c>
      <c r="I470" s="363">
        <f t="shared" si="194"/>
        <v>81731.182232267951</v>
      </c>
      <c r="J470" s="366">
        <f t="shared" si="195"/>
        <v>1.5707840915626057</v>
      </c>
      <c r="K470" s="374">
        <f t="shared" si="185"/>
        <v>277.35210048479917</v>
      </c>
      <c r="L470" s="375">
        <f t="shared" si="186"/>
        <v>1.5671907937381788</v>
      </c>
      <c r="M470" s="363">
        <f t="shared" si="196"/>
        <v>1.3197920893331445</v>
      </c>
      <c r="N470" s="366">
        <f t="shared" si="197"/>
        <v>0.71102231453323472</v>
      </c>
      <c r="O470" s="367">
        <f t="shared" si="198"/>
        <v>1.001529640493507</v>
      </c>
      <c r="P470" s="368">
        <f t="shared" si="199"/>
        <v>0.26111277713934455</v>
      </c>
      <c r="Q470" s="369">
        <f t="shared" si="200"/>
        <v>-8.3421233627602582</v>
      </c>
      <c r="R470" s="370">
        <f t="shared" si="201"/>
        <v>-199.57874302766598</v>
      </c>
      <c r="S470" s="372">
        <f t="shared" si="202"/>
        <v>-19.578743027665979</v>
      </c>
      <c r="U470" s="345">
        <f t="shared" si="208"/>
        <v>54015.75</v>
      </c>
      <c r="V470" s="345">
        <f t="shared" si="209"/>
        <v>2917701248.0625</v>
      </c>
      <c r="X470" s="371">
        <f t="shared" si="203"/>
        <v>36.299437479989678</v>
      </c>
      <c r="Y470" s="372">
        <f t="shared" si="204"/>
        <v>-40.944458609036751</v>
      </c>
      <c r="AA470" s="371">
        <f t="shared" si="205"/>
        <v>27.399638983809318</v>
      </c>
      <c r="AB470" s="372">
        <f t="shared" si="206"/>
        <v>-158.63428441862919</v>
      </c>
      <c r="AD470">
        <f t="shared" si="210"/>
        <v>0</v>
      </c>
      <c r="AE470">
        <f t="shared" si="187"/>
        <v>0</v>
      </c>
    </row>
    <row r="471" spans="1:31" x14ac:dyDescent="0.3">
      <c r="A471" s="373">
        <v>54328.5</v>
      </c>
      <c r="B471" s="390">
        <f t="shared" si="207"/>
        <v>54.328499999999998</v>
      </c>
      <c r="C471" s="363">
        <f t="shared" si="188"/>
        <v>403.21349565819412</v>
      </c>
      <c r="D471" s="364">
        <f t="shared" si="189"/>
        <v>1.5683162485338757</v>
      </c>
      <c r="E471" s="364">
        <f t="shared" si="190"/>
        <v>1.0806453974364638</v>
      </c>
      <c r="F471" s="365">
        <f t="shared" si="191"/>
        <v>0.38877807201085557</v>
      </c>
      <c r="G471" s="364">
        <f t="shared" si="192"/>
        <v>4.1491549493435818</v>
      </c>
      <c r="H471" s="365">
        <f t="shared" si="193"/>
        <v>-1.3273869124669067</v>
      </c>
      <c r="I471" s="363">
        <f t="shared" si="194"/>
        <v>82204.403972951477</v>
      </c>
      <c r="J471" s="366">
        <f t="shared" si="195"/>
        <v>1.5707841619965197</v>
      </c>
      <c r="K471" s="374">
        <f t="shared" ref="K471:K534" si="211">SQRT(1+(A471/Zero2)^2)</f>
        <v>278.95794220770841</v>
      </c>
      <c r="L471" s="375">
        <f t="shared" ref="L471:L534" si="212">ATAN(A471/Zero2)</f>
        <v>1.567211549341132</v>
      </c>
      <c r="M471" s="363">
        <f t="shared" si="196"/>
        <v>1.3230520142592972</v>
      </c>
      <c r="N471" s="366">
        <f t="shared" si="197"/>
        <v>0.71387828326774039</v>
      </c>
      <c r="O471" s="367">
        <f t="shared" si="198"/>
        <v>1.001553555334536</v>
      </c>
      <c r="P471" s="368">
        <f t="shared" si="199"/>
        <v>0.26265383745662274</v>
      </c>
      <c r="Q471" s="369">
        <f t="shared" si="200"/>
        <v>-8.3595180783574126</v>
      </c>
      <c r="R471" s="370">
        <f t="shared" si="201"/>
        <v>-199.79209208633137</v>
      </c>
      <c r="S471" s="372">
        <f t="shared" si="202"/>
        <v>-19.792092086331365</v>
      </c>
      <c r="U471" s="345">
        <f t="shared" si="208"/>
        <v>54328.5</v>
      </c>
      <c r="V471" s="345">
        <f t="shared" si="209"/>
        <v>2951585912.25</v>
      </c>
      <c r="X471" s="371">
        <f t="shared" si="203"/>
        <v>36.278008884245871</v>
      </c>
      <c r="Y471" s="372">
        <f t="shared" si="204"/>
        <v>-41.106908391246407</v>
      </c>
      <c r="AA471" s="371">
        <f t="shared" si="205"/>
        <v>27.403672863955965</v>
      </c>
      <c r="AB471" s="372">
        <f t="shared" si="206"/>
        <v>-158.68518369508502</v>
      </c>
      <c r="AD471">
        <f t="shared" si="210"/>
        <v>0</v>
      </c>
      <c r="AE471">
        <f t="shared" si="187"/>
        <v>0</v>
      </c>
    </row>
    <row r="472" spans="1:31" x14ac:dyDescent="0.3">
      <c r="A472" s="373">
        <v>54641.25</v>
      </c>
      <c r="B472" s="390">
        <f t="shared" si="207"/>
        <v>54.641249999999999</v>
      </c>
      <c r="C472" s="363">
        <f t="shared" si="188"/>
        <v>405.53463920795491</v>
      </c>
      <c r="D472" s="364">
        <f t="shared" si="189"/>
        <v>1.5683304436945436</v>
      </c>
      <c r="E472" s="364">
        <f t="shared" si="190"/>
        <v>1.0815414475104068</v>
      </c>
      <c r="F472" s="365">
        <f t="shared" si="191"/>
        <v>0.39079565938475008</v>
      </c>
      <c r="G472" s="364">
        <f t="shared" si="192"/>
        <v>4.1716564848171496</v>
      </c>
      <c r="H472" s="365">
        <f t="shared" si="193"/>
        <v>-1.3287261775192105</v>
      </c>
      <c r="I472" s="363">
        <f t="shared" si="194"/>
        <v>82677.625713635411</v>
      </c>
      <c r="J472" s="366">
        <f t="shared" si="195"/>
        <v>1.5707842316241489</v>
      </c>
      <c r="K472" s="374">
        <f t="shared" si="211"/>
        <v>280.5637840494158</v>
      </c>
      <c r="L472" s="375">
        <f t="shared" si="212"/>
        <v>1.5672320673495248</v>
      </c>
      <c r="M472" s="363">
        <f t="shared" si="196"/>
        <v>1.3263226776355728</v>
      </c>
      <c r="N472" s="366">
        <f t="shared" si="197"/>
        <v>0.71672018965779527</v>
      </c>
      <c r="O472" s="367">
        <f t="shared" si="198"/>
        <v>1.0015777504204095</v>
      </c>
      <c r="P472" s="368">
        <f t="shared" si="199"/>
        <v>0.26419538722804137</v>
      </c>
      <c r="Q472" s="369">
        <f t="shared" si="200"/>
        <v>-8.3768551129866111</v>
      </c>
      <c r="R472" s="370">
        <f t="shared" si="201"/>
        <v>-200.00402233501009</v>
      </c>
      <c r="S472" s="372">
        <f t="shared" si="202"/>
        <v>-20.004022335010092</v>
      </c>
      <c r="U472" s="345">
        <f t="shared" si="208"/>
        <v>54641.25</v>
      </c>
      <c r="V472" s="345">
        <f t="shared" si="209"/>
        <v>2985666201.5625</v>
      </c>
      <c r="X472" s="371">
        <f t="shared" si="203"/>
        <v>36.256562707137377</v>
      </c>
      <c r="Y472" s="372">
        <f t="shared" si="204"/>
        <v>-41.268566027436904</v>
      </c>
      <c r="AA472" s="371">
        <f t="shared" si="205"/>
        <v>27.407782006435259</v>
      </c>
      <c r="AB472" s="372">
        <f t="shared" si="206"/>
        <v>-158.7354563075732</v>
      </c>
      <c r="AD472">
        <f t="shared" si="210"/>
        <v>0</v>
      </c>
      <c r="AE472">
        <f t="shared" si="187"/>
        <v>0</v>
      </c>
    </row>
    <row r="473" spans="1:31" x14ac:dyDescent="0.3">
      <c r="A473" s="373">
        <v>54954</v>
      </c>
      <c r="B473" s="390">
        <f t="shared" si="207"/>
        <v>54.954000000000001</v>
      </c>
      <c r="C473" s="363">
        <f t="shared" si="188"/>
        <v>407.85578283850191</v>
      </c>
      <c r="D473" s="364">
        <f t="shared" si="189"/>
        <v>1.5683444772833639</v>
      </c>
      <c r="E473" s="364">
        <f t="shared" si="190"/>
        <v>1.082441892871169</v>
      </c>
      <c r="F473" s="365">
        <f t="shared" si="191"/>
        <v>0.39280989822655604</v>
      </c>
      <c r="G473" s="364">
        <f t="shared" si="192"/>
        <v>4.1941654224091298</v>
      </c>
      <c r="H473" s="365">
        <f t="shared" si="193"/>
        <v>-1.3300510699889012</v>
      </c>
      <c r="I473" s="363">
        <f t="shared" si="194"/>
        <v>83150.847454319737</v>
      </c>
      <c r="J473" s="366">
        <f t="shared" si="195"/>
        <v>1.5707843004592592</v>
      </c>
      <c r="K473" s="374">
        <f t="shared" si="211"/>
        <v>282.16962600789282</v>
      </c>
      <c r="L473" s="375">
        <f t="shared" si="212"/>
        <v>1.5672523518198289</v>
      </c>
      <c r="M473" s="363">
        <f t="shared" si="196"/>
        <v>1.3296040002161476</v>
      </c>
      <c r="N473" s="366">
        <f t="shared" si="197"/>
        <v>0.71954809174242262</v>
      </c>
      <c r="O473" s="367">
        <f t="shared" si="198"/>
        <v>1.0016022281961137</v>
      </c>
      <c r="P473" s="368">
        <f t="shared" si="199"/>
        <v>0.26573742878169815</v>
      </c>
      <c r="Q473" s="369">
        <f t="shared" si="200"/>
        <v>-8.3941349188404306</v>
      </c>
      <c r="R473" s="370">
        <f t="shared" si="201"/>
        <v>-200.21455081952362</v>
      </c>
      <c r="S473" s="372">
        <f t="shared" si="202"/>
        <v>-20.214550819523623</v>
      </c>
      <c r="U473" s="345">
        <f t="shared" si="208"/>
        <v>54954</v>
      </c>
      <c r="V473" s="345">
        <f t="shared" si="209"/>
        <v>3019942116</v>
      </c>
      <c r="X473" s="371">
        <f t="shared" si="203"/>
        <v>36.235099726175619</v>
      </c>
      <c r="Y473" s="372">
        <f t="shared" si="204"/>
        <v>-41.429434611369345</v>
      </c>
      <c r="AA473" s="371">
        <f t="shared" si="205"/>
        <v>27.411965181543195</v>
      </c>
      <c r="AB473" s="372">
        <f t="shared" si="206"/>
        <v>-158.78511620815425</v>
      </c>
      <c r="AD473">
        <f t="shared" si="210"/>
        <v>0</v>
      </c>
      <c r="AE473">
        <f t="shared" si="187"/>
        <v>0</v>
      </c>
    </row>
    <row r="474" spans="1:31" x14ac:dyDescent="0.3">
      <c r="A474" s="373">
        <v>55274</v>
      </c>
      <c r="B474" s="390">
        <f t="shared" si="207"/>
        <v>55.274000000000001</v>
      </c>
      <c r="C474" s="363">
        <f t="shared" si="188"/>
        <v>410.23073403747532</v>
      </c>
      <c r="D474" s="364">
        <f t="shared" si="189"/>
        <v>1.5683586718183447</v>
      </c>
      <c r="E474" s="364">
        <f t="shared" si="190"/>
        <v>1.0833677497354108</v>
      </c>
      <c r="F474" s="365">
        <f t="shared" si="191"/>
        <v>0.39486735587100286</v>
      </c>
      <c r="G474" s="364">
        <f t="shared" si="192"/>
        <v>4.2172036877906418</v>
      </c>
      <c r="H474" s="365">
        <f t="shared" si="193"/>
        <v>-1.3313920344137102</v>
      </c>
      <c r="I474" s="363">
        <f t="shared" si="194"/>
        <v>83635.039163413603</v>
      </c>
      <c r="J474" s="366">
        <f t="shared" si="195"/>
        <v>1.5707843700838096</v>
      </c>
      <c r="K474" s="374">
        <f t="shared" si="211"/>
        <v>283.81269383799844</v>
      </c>
      <c r="L474" s="375">
        <f t="shared" si="212"/>
        <v>1.567272868926942</v>
      </c>
      <c r="M474" s="363">
        <f t="shared" si="196"/>
        <v>1.3329723392326132</v>
      </c>
      <c r="N474" s="366">
        <f t="shared" si="197"/>
        <v>0.72242711456120701</v>
      </c>
      <c r="O474" s="367">
        <f t="shared" si="198"/>
        <v>1.0016275685623579</v>
      </c>
      <c r="P474" s="368">
        <f t="shared" si="199"/>
        <v>0.26731572853578245</v>
      </c>
      <c r="Q474" s="369">
        <f t="shared" si="200"/>
        <v>-8.4117565147707793</v>
      </c>
      <c r="R474" s="370">
        <f t="shared" si="201"/>
        <v>-200.42852628608088</v>
      </c>
      <c r="S474" s="372">
        <f t="shared" si="202"/>
        <v>-20.428526286080881</v>
      </c>
      <c r="U474" s="345">
        <f t="shared" si="208"/>
        <v>55274</v>
      </c>
      <c r="V474" s="345">
        <f t="shared" si="209"/>
        <v>3055215076</v>
      </c>
      <c r="X474" s="371">
        <f t="shared" si="203"/>
        <v>36.213122609879925</v>
      </c>
      <c r="Y474" s="372">
        <f t="shared" si="204"/>
        <v>-41.59321891374217</v>
      </c>
      <c r="AA474" s="371">
        <f t="shared" si="205"/>
        <v>27.416320701908539</v>
      </c>
      <c r="AB474" s="372">
        <f t="shared" si="206"/>
        <v>-158.83530737233872</v>
      </c>
      <c r="AD474">
        <f t="shared" si="210"/>
        <v>0</v>
      </c>
      <c r="AE474">
        <f t="shared" ref="AE474:AE537" si="213">IF(AD474&gt;0,S474,0)</f>
        <v>0</v>
      </c>
    </row>
    <row r="475" spans="1:31" x14ac:dyDescent="0.3">
      <c r="A475" s="373">
        <v>55594</v>
      </c>
      <c r="B475" s="390">
        <f t="shared" si="207"/>
        <v>55.594000000000001</v>
      </c>
      <c r="C475" s="363">
        <f t="shared" si="188"/>
        <v>412.60568531815238</v>
      </c>
      <c r="D475" s="364">
        <f t="shared" si="189"/>
        <v>1.5683727029463264</v>
      </c>
      <c r="E475" s="364">
        <f t="shared" si="190"/>
        <v>1.0842981847951616</v>
      </c>
      <c r="F475" s="365">
        <f t="shared" si="191"/>
        <v>0.39692129119341851</v>
      </c>
      <c r="G475" s="364">
        <f t="shared" si="192"/>
        <v>4.240249454075304</v>
      </c>
      <c r="H475" s="365">
        <f t="shared" si="193"/>
        <v>-1.3327184249121207</v>
      </c>
      <c r="I475" s="363">
        <f t="shared" si="194"/>
        <v>84119.230872507906</v>
      </c>
      <c r="J475" s="366">
        <f t="shared" si="195"/>
        <v>1.5707844389068399</v>
      </c>
      <c r="K475" s="374">
        <f t="shared" si="211"/>
        <v>285.45576178620018</v>
      </c>
      <c r="L475" s="375">
        <f t="shared" si="212"/>
        <v>1.5672931498433427</v>
      </c>
      <c r="M475" s="363">
        <f t="shared" si="196"/>
        <v>1.3363516712025485</v>
      </c>
      <c r="N475" s="366">
        <f t="shared" si="197"/>
        <v>0.72529160022451711</v>
      </c>
      <c r="O475" s="367">
        <f t="shared" si="198"/>
        <v>1.001653210099142</v>
      </c>
      <c r="P475" s="368">
        <f t="shared" si="199"/>
        <v>0.26889454803967711</v>
      </c>
      <c r="Q475" s="369">
        <f t="shared" si="200"/>
        <v>-8.4293191000033438</v>
      </c>
      <c r="R475" s="370">
        <f t="shared" si="201"/>
        <v>-200.64106952844114</v>
      </c>
      <c r="S475" s="372">
        <f t="shared" si="202"/>
        <v>-20.641069528441136</v>
      </c>
      <c r="U475" s="345">
        <f t="shared" si="208"/>
        <v>55594</v>
      </c>
      <c r="V475" s="345">
        <f t="shared" si="209"/>
        <v>3090692836</v>
      </c>
      <c r="X475" s="371">
        <f t="shared" si="203"/>
        <v>36.191129516406271</v>
      </c>
      <c r="Y475" s="372">
        <f t="shared" si="204"/>
        <v>-41.756183785266551</v>
      </c>
      <c r="AA475" s="371">
        <f t="shared" si="205"/>
        <v>27.420751210149632</v>
      </c>
      <c r="AB475" s="372">
        <f t="shared" si="206"/>
        <v>-158.88488574317455</v>
      </c>
      <c r="AD475">
        <f t="shared" si="210"/>
        <v>0</v>
      </c>
      <c r="AE475">
        <f t="shared" si="213"/>
        <v>0</v>
      </c>
    </row>
    <row r="476" spans="1:31" x14ac:dyDescent="0.3">
      <c r="A476" s="373">
        <v>55914</v>
      </c>
      <c r="B476" s="390">
        <f t="shared" si="207"/>
        <v>55.914000000000001</v>
      </c>
      <c r="C476" s="363">
        <f t="shared" si="188"/>
        <v>414.98063667913038</v>
      </c>
      <c r="D476" s="364">
        <f t="shared" si="189"/>
        <v>1.5683865734728581</v>
      </c>
      <c r="E476" s="364">
        <f t="shared" si="190"/>
        <v>1.085233186274942</v>
      </c>
      <c r="F476" s="365">
        <f t="shared" si="191"/>
        <v>0.39897169594616233</v>
      </c>
      <c r="G476" s="364">
        <f t="shared" si="192"/>
        <v>4.2633025996221665</v>
      </c>
      <c r="H476" s="365">
        <f t="shared" si="193"/>
        <v>-1.3340304731975425</v>
      </c>
      <c r="I476" s="363">
        <f t="shared" si="194"/>
        <v>84603.422581602572</v>
      </c>
      <c r="J476" s="366">
        <f t="shared" si="195"/>
        <v>1.5707845069421116</v>
      </c>
      <c r="K476" s="374">
        <f t="shared" si="211"/>
        <v>287.09882985047039</v>
      </c>
      <c r="L476" s="375">
        <f t="shared" si="212"/>
        <v>1.5673131986241757</v>
      </c>
      <c r="M476" s="363">
        <f t="shared" si="196"/>
        <v>1.3397419129408921</v>
      </c>
      <c r="N476" s="366">
        <f t="shared" si="197"/>
        <v>0.72814161190647109</v>
      </c>
      <c r="O476" s="367">
        <f t="shared" si="198"/>
        <v>1.0016791554698794</v>
      </c>
      <c r="P476" s="368">
        <f t="shared" si="199"/>
        <v>0.27047388975841202</v>
      </c>
      <c r="Q476" s="369">
        <f t="shared" si="200"/>
        <v>-8.4468231041962589</v>
      </c>
      <c r="R476" s="370">
        <f t="shared" si="201"/>
        <v>-200.85219798539768</v>
      </c>
      <c r="S476" s="372">
        <f t="shared" si="202"/>
        <v>-20.85219798539768</v>
      </c>
      <c r="U476" s="345">
        <f t="shared" si="208"/>
        <v>55914</v>
      </c>
      <c r="V476" s="345">
        <f t="shared" si="209"/>
        <v>3126375396</v>
      </c>
      <c r="X476" s="371">
        <f t="shared" si="203"/>
        <v>36.16912124625803</v>
      </c>
      <c r="Y476" s="372">
        <f t="shared" si="204"/>
        <v>-41.918332613998587</v>
      </c>
      <c r="AA476" s="371">
        <f t="shared" si="205"/>
        <v>27.425255476104958</v>
      </c>
      <c r="AB476" s="372">
        <f t="shared" si="206"/>
        <v>-158.93386537139912</v>
      </c>
      <c r="AD476">
        <f t="shared" si="210"/>
        <v>0</v>
      </c>
      <c r="AE476">
        <f t="shared" si="213"/>
        <v>0</v>
      </c>
    </row>
    <row r="477" spans="1:31" x14ac:dyDescent="0.3">
      <c r="A477" s="373">
        <v>56234</v>
      </c>
      <c r="B477" s="390">
        <f t="shared" si="207"/>
        <v>56.234000000000002</v>
      </c>
      <c r="C477" s="363">
        <f t="shared" si="188"/>
        <v>417.3555881190386</v>
      </c>
      <c r="D477" s="364">
        <f t="shared" si="189"/>
        <v>1.5684002861396305</v>
      </c>
      <c r="E477" s="364">
        <f t="shared" si="190"/>
        <v>1.0861727423821266</v>
      </c>
      <c r="F477" s="365">
        <f t="shared" si="191"/>
        <v>0.40101856202866698</v>
      </c>
      <c r="G477" s="364">
        <f t="shared" si="192"/>
        <v>4.286363005368611</v>
      </c>
      <c r="H477" s="365">
        <f t="shared" si="193"/>
        <v>-1.3353284061968831</v>
      </c>
      <c r="I477" s="363">
        <f t="shared" si="194"/>
        <v>85087.614290697631</v>
      </c>
      <c r="J477" s="366">
        <f t="shared" si="195"/>
        <v>1.5707845742030728</v>
      </c>
      <c r="K477" s="374">
        <f t="shared" si="211"/>
        <v>288.74189802882768</v>
      </c>
      <c r="L477" s="375">
        <f t="shared" si="212"/>
        <v>1.5673330192322852</v>
      </c>
      <c r="M477" s="363">
        <f t="shared" si="196"/>
        <v>1.3431429818352529</v>
      </c>
      <c r="N477" s="366">
        <f t="shared" si="197"/>
        <v>0.73097721308492014</v>
      </c>
      <c r="O477" s="367">
        <f t="shared" si="198"/>
        <v>1.0017054073529419</v>
      </c>
      <c r="P477" s="368">
        <f t="shared" si="199"/>
        <v>0.27205375614718896</v>
      </c>
      <c r="Q477" s="369">
        <f t="shared" si="200"/>
        <v>-8.4642689402347457</v>
      </c>
      <c r="R477" s="370">
        <f t="shared" si="201"/>
        <v>-201.06192883152235</v>
      </c>
      <c r="S477" s="372">
        <f t="shared" si="202"/>
        <v>-21.061928831522351</v>
      </c>
      <c r="U477" s="345">
        <f t="shared" si="208"/>
        <v>56234</v>
      </c>
      <c r="V477" s="345">
        <f t="shared" si="209"/>
        <v>3162262756</v>
      </c>
      <c r="X477" s="371">
        <f t="shared" si="203"/>
        <v>36.147098589187124</v>
      </c>
      <c r="Y477" s="372">
        <f t="shared" si="204"/>
        <v>-42.079668810667542</v>
      </c>
      <c r="AA477" s="371">
        <f t="shared" si="205"/>
        <v>27.429832297137384</v>
      </c>
      <c r="AB477" s="372">
        <f t="shared" si="206"/>
        <v>-158.98226002085482</v>
      </c>
      <c r="AD477">
        <f t="shared" si="210"/>
        <v>0</v>
      </c>
      <c r="AE477">
        <f t="shared" si="213"/>
        <v>0</v>
      </c>
    </row>
    <row r="478" spans="1:31" x14ac:dyDescent="0.3">
      <c r="A478" s="373">
        <v>56561.5</v>
      </c>
      <c r="B478" s="390">
        <f t="shared" si="207"/>
        <v>56.561500000000002</v>
      </c>
      <c r="C478" s="363">
        <f t="shared" si="188"/>
        <v>419.78620256364832</v>
      </c>
      <c r="D478" s="364">
        <f t="shared" si="189"/>
        <v>1.5684141595400407</v>
      </c>
      <c r="E478" s="364">
        <f t="shared" si="190"/>
        <v>1.0871390230143221</v>
      </c>
      <c r="F478" s="365">
        <f t="shared" si="191"/>
        <v>0.40310972918714788</v>
      </c>
      <c r="G478" s="364">
        <f t="shared" si="192"/>
        <v>4.3099712852012528</v>
      </c>
      <c r="H478" s="365">
        <f t="shared" si="193"/>
        <v>-1.3366423760029451</v>
      </c>
      <c r="I478" s="363">
        <f t="shared" si="194"/>
        <v>85583.154242974997</v>
      </c>
      <c r="J478" s="366">
        <f t="shared" si="195"/>
        <v>1.5707846422524319</v>
      </c>
      <c r="K478" s="374">
        <f t="shared" si="211"/>
        <v>290.42347573372382</v>
      </c>
      <c r="L478" s="375">
        <f t="shared" si="212"/>
        <v>1.5673530721699847</v>
      </c>
      <c r="M478" s="363">
        <f t="shared" si="196"/>
        <v>1.3466348884466379</v>
      </c>
      <c r="N478" s="366">
        <f t="shared" si="197"/>
        <v>0.73386441912649814</v>
      </c>
      <c r="O478" s="367">
        <f t="shared" si="198"/>
        <v>1.001732594697472</v>
      </c>
      <c r="P478" s="368">
        <f t="shared" si="199"/>
        <v>0.27367119646569738</v>
      </c>
      <c r="Q478" s="369">
        <f t="shared" si="200"/>
        <v>-8.4820638480291102</v>
      </c>
      <c r="R478" s="370">
        <f t="shared" si="201"/>
        <v>-201.27514576579065</v>
      </c>
      <c r="S478" s="372">
        <f t="shared" si="202"/>
        <v>-21.275145765790654</v>
      </c>
      <c r="U478" s="345">
        <f t="shared" si="208"/>
        <v>56561.5</v>
      </c>
      <c r="V478" s="345">
        <f t="shared" si="209"/>
        <v>3199203282.25</v>
      </c>
      <c r="X478" s="371">
        <f t="shared" si="203"/>
        <v>36.124545692347134</v>
      </c>
      <c r="Y478" s="372">
        <f t="shared" si="204"/>
        <v>-42.243948481866397</v>
      </c>
      <c r="AA478" s="371">
        <f t="shared" si="205"/>
        <v>27.434590286183006</v>
      </c>
      <c r="AB478" s="372">
        <f t="shared" si="206"/>
        <v>-159.03119728392423</v>
      </c>
      <c r="AD478">
        <f t="shared" si="210"/>
        <v>0</v>
      </c>
      <c r="AE478">
        <f t="shared" si="213"/>
        <v>0</v>
      </c>
    </row>
    <row r="479" spans="1:31" x14ac:dyDescent="0.3">
      <c r="A479" s="373">
        <v>56889</v>
      </c>
      <c r="B479" s="390">
        <f t="shared" si="207"/>
        <v>56.889000000000003</v>
      </c>
      <c r="C479" s="363">
        <f t="shared" si="188"/>
        <v>422.21681708812457</v>
      </c>
      <c r="D479" s="364">
        <f t="shared" si="189"/>
        <v>1.5684278732078842</v>
      </c>
      <c r="E479" s="364">
        <f t="shared" si="190"/>
        <v>1.0881100492281892</v>
      </c>
      <c r="F479" s="365">
        <f t="shared" si="191"/>
        <v>0.40519717315756987</v>
      </c>
      <c r="G479" s="364">
        <f t="shared" si="192"/>
        <v>4.3335869251877002</v>
      </c>
      <c r="H479" s="365">
        <f t="shared" si="193"/>
        <v>-1.3379420272223568</v>
      </c>
      <c r="I479" s="363">
        <f t="shared" si="194"/>
        <v>86078.69419525277</v>
      </c>
      <c r="J479" s="366">
        <f t="shared" si="195"/>
        <v>1.5707847095182945</v>
      </c>
      <c r="K479" s="374">
        <f t="shared" si="211"/>
        <v>292.10505355406053</v>
      </c>
      <c r="L479" s="375">
        <f t="shared" si="212"/>
        <v>1.5673728942279119</v>
      </c>
      <c r="M479" s="363">
        <f t="shared" si="196"/>
        <v>1.3501379624307206</v>
      </c>
      <c r="N479" s="366">
        <f t="shared" si="197"/>
        <v>0.73673666669236448</v>
      </c>
      <c r="O479" s="367">
        <f t="shared" si="198"/>
        <v>1.0017601088149384</v>
      </c>
      <c r="P479" s="368">
        <f t="shared" si="199"/>
        <v>0.275289191508097</v>
      </c>
      <c r="Q479" s="369">
        <f t="shared" si="200"/>
        <v>-8.4997986536992194</v>
      </c>
      <c r="R479" s="370">
        <f t="shared" si="201"/>
        <v>-201.48693438579082</v>
      </c>
      <c r="S479" s="372">
        <f t="shared" si="202"/>
        <v>-21.486934385790818</v>
      </c>
      <c r="U479" s="345">
        <f t="shared" si="208"/>
        <v>56889</v>
      </c>
      <c r="V479" s="345">
        <f t="shared" si="209"/>
        <v>3236358321</v>
      </c>
      <c r="X479" s="371">
        <f t="shared" si="203"/>
        <v>36.101979365943663</v>
      </c>
      <c r="Y479" s="372">
        <f t="shared" si="204"/>
        <v>-42.407384279083558</v>
      </c>
      <c r="AA479" s="371">
        <f t="shared" si="205"/>
        <v>27.439421806916368</v>
      </c>
      <c r="AB479" s="372">
        <f t="shared" si="206"/>
        <v>-159.07955010670725</v>
      </c>
      <c r="AD479">
        <f t="shared" si="210"/>
        <v>0</v>
      </c>
      <c r="AE479">
        <f t="shared" si="213"/>
        <v>0</v>
      </c>
    </row>
    <row r="480" spans="1:31" x14ac:dyDescent="0.3">
      <c r="A480" s="373">
        <v>57216.5</v>
      </c>
      <c r="B480" s="390">
        <f t="shared" si="207"/>
        <v>57.216500000000003</v>
      </c>
      <c r="C480" s="363">
        <f t="shared" si="188"/>
        <v>424.64743169109596</v>
      </c>
      <c r="D480" s="364">
        <f t="shared" si="189"/>
        <v>1.5684414298860072</v>
      </c>
      <c r="E480" s="364">
        <f t="shared" si="190"/>
        <v>1.0890858083302821</v>
      </c>
      <c r="F480" s="365">
        <f t="shared" si="191"/>
        <v>0.40728088573132404</v>
      </c>
      <c r="G480" s="364">
        <f t="shared" si="192"/>
        <v>4.3572098056540707</v>
      </c>
      <c r="H480" s="365">
        <f t="shared" si="193"/>
        <v>-1.3392275883158724</v>
      </c>
      <c r="I480" s="363">
        <f t="shared" si="194"/>
        <v>86574.234147530908</v>
      </c>
      <c r="J480" s="366">
        <f t="shared" si="195"/>
        <v>1.5707847760141145</v>
      </c>
      <c r="K480" s="374">
        <f t="shared" si="211"/>
        <v>293.78663148785557</v>
      </c>
      <c r="L480" s="375">
        <f t="shared" si="212"/>
        <v>1.5673924893705851</v>
      </c>
      <c r="M480" s="363">
        <f t="shared" si="196"/>
        <v>1.3536521170884204</v>
      </c>
      <c r="N480" s="366">
        <f t="shared" si="197"/>
        <v>0.73959402470675273</v>
      </c>
      <c r="O480" s="367">
        <f t="shared" si="198"/>
        <v>1.0017879526250815</v>
      </c>
      <c r="P480" s="368">
        <f t="shared" si="199"/>
        <v>0.27690774387388117</v>
      </c>
      <c r="Q480" s="369">
        <f t="shared" si="200"/>
        <v>-8.5174737503013329</v>
      </c>
      <c r="R480" s="370">
        <f t="shared" si="201"/>
        <v>-201.69731228046044</v>
      </c>
      <c r="S480" s="372">
        <f t="shared" si="202"/>
        <v>-21.697312280460437</v>
      </c>
      <c r="U480" s="345">
        <f t="shared" si="208"/>
        <v>57216.5</v>
      </c>
      <c r="V480" s="345">
        <f t="shared" si="209"/>
        <v>3273727872.25</v>
      </c>
      <c r="X480" s="371">
        <f t="shared" si="203"/>
        <v>36.07940042211353</v>
      </c>
      <c r="Y480" s="372">
        <f t="shared" si="204"/>
        <v>-42.569979925007402</v>
      </c>
      <c r="AA480" s="371">
        <f t="shared" si="205"/>
        <v>27.444325654144382</v>
      </c>
      <c r="AB480" s="372">
        <f t="shared" si="206"/>
        <v>-159.12733235545306</v>
      </c>
      <c r="AD480">
        <f t="shared" si="210"/>
        <v>0</v>
      </c>
      <c r="AE480">
        <f t="shared" si="213"/>
        <v>0</v>
      </c>
    </row>
    <row r="481" spans="1:31" x14ac:dyDescent="0.3">
      <c r="A481" s="373">
        <v>57544</v>
      </c>
      <c r="B481" s="390">
        <f t="shared" si="207"/>
        <v>57.543999999999997</v>
      </c>
      <c r="C481" s="363">
        <f t="shared" si="188"/>
        <v>427.07804637122211</v>
      </c>
      <c r="D481" s="364">
        <f t="shared" si="189"/>
        <v>1.5684548322548155</v>
      </c>
      <c r="E481" s="364">
        <f t="shared" si="190"/>
        <v>1.0900662876108445</v>
      </c>
      <c r="F481" s="365">
        <f t="shared" si="191"/>
        <v>0.40936085885872964</v>
      </c>
      <c r="G481" s="364">
        <f t="shared" si="192"/>
        <v>4.3808398094714587</v>
      </c>
      <c r="H481" s="365">
        <f t="shared" si="193"/>
        <v>-1.3404992830035942</v>
      </c>
      <c r="I481" s="363">
        <f t="shared" si="194"/>
        <v>87069.774099809438</v>
      </c>
      <c r="J481" s="366">
        <f t="shared" si="195"/>
        <v>1.5707848417530395</v>
      </c>
      <c r="K481" s="374">
        <f t="shared" si="211"/>
        <v>295.46820953317172</v>
      </c>
      <c r="L481" s="375">
        <f t="shared" si="212"/>
        <v>1.5674118614722705</v>
      </c>
      <c r="M481" s="363">
        <f t="shared" si="196"/>
        <v>1.3571772663457942</v>
      </c>
      <c r="N481" s="366">
        <f t="shared" si="197"/>
        <v>0.74243656235369804</v>
      </c>
      <c r="O481" s="367">
        <f t="shared" si="198"/>
        <v>1.0018161290640053</v>
      </c>
      <c r="P481" s="368">
        <f t="shared" si="199"/>
        <v>0.27852685615146183</v>
      </c>
      <c r="Q481" s="369">
        <f t="shared" si="200"/>
        <v>-8.5350895157682398</v>
      </c>
      <c r="R481" s="370">
        <f t="shared" si="201"/>
        <v>-201.90629677383845</v>
      </c>
      <c r="S481" s="372">
        <f t="shared" si="202"/>
        <v>-21.906296773838449</v>
      </c>
      <c r="U481" s="345">
        <f t="shared" si="208"/>
        <v>57544</v>
      </c>
      <c r="V481" s="345">
        <f t="shared" si="209"/>
        <v>3311311936</v>
      </c>
      <c r="X481" s="371">
        <f t="shared" si="203"/>
        <v>36.056809661556642</v>
      </c>
      <c r="Y481" s="372">
        <f t="shared" si="204"/>
        <v>-42.731739162365308</v>
      </c>
      <c r="AA481" s="371">
        <f t="shared" si="205"/>
        <v>27.44930064923437</v>
      </c>
      <c r="AB481" s="372">
        <f t="shared" si="206"/>
        <v>-159.17455761147312</v>
      </c>
      <c r="AD481">
        <f t="shared" si="210"/>
        <v>0</v>
      </c>
      <c r="AE481">
        <f t="shared" si="213"/>
        <v>0</v>
      </c>
    </row>
    <row r="482" spans="1:31" x14ac:dyDescent="0.3">
      <c r="A482" s="373">
        <v>57879</v>
      </c>
      <c r="B482" s="390">
        <f t="shared" si="207"/>
        <v>57.878999999999998</v>
      </c>
      <c r="C482" s="363">
        <f t="shared" si="188"/>
        <v>429.56432406141437</v>
      </c>
      <c r="D482" s="364">
        <f t="shared" si="189"/>
        <v>1.5684683846283662</v>
      </c>
      <c r="E482" s="364">
        <f t="shared" si="190"/>
        <v>1.0910740909086258</v>
      </c>
      <c r="F482" s="365">
        <f t="shared" si="191"/>
        <v>0.41148458785141617</v>
      </c>
      <c r="G482" s="364">
        <f t="shared" si="192"/>
        <v>4.405018208818924</v>
      </c>
      <c r="H482" s="365">
        <f t="shared" si="193"/>
        <v>-1.3417859824880036</v>
      </c>
      <c r="I482" s="363">
        <f t="shared" si="194"/>
        <v>87576.662295270304</v>
      </c>
      <c r="J482" s="366">
        <f t="shared" si="195"/>
        <v>1.5707849082277372</v>
      </c>
      <c r="K482" s="374">
        <f t="shared" si="211"/>
        <v>297.18829711278073</v>
      </c>
      <c r="L482" s="375">
        <f t="shared" si="212"/>
        <v>1.5674314503957141</v>
      </c>
      <c r="M482" s="363">
        <f t="shared" si="196"/>
        <v>1.3607944302931567</v>
      </c>
      <c r="N482" s="366">
        <f t="shared" si="197"/>
        <v>0.74532893531135136</v>
      </c>
      <c r="O482" s="367">
        <f t="shared" si="198"/>
        <v>1.0018452979851387</v>
      </c>
      <c r="P482" s="368">
        <f t="shared" si="199"/>
        <v>0.28018362931514196</v>
      </c>
      <c r="Q482" s="369">
        <f t="shared" si="200"/>
        <v>-8.5530476898507182</v>
      </c>
      <c r="R482" s="370">
        <f t="shared" si="201"/>
        <v>-202.11864332895755</v>
      </c>
      <c r="S482" s="372">
        <f t="shared" si="202"/>
        <v>-22.118643328957546</v>
      </c>
      <c r="U482" s="345">
        <f t="shared" si="208"/>
        <v>57879</v>
      </c>
      <c r="V482" s="345">
        <f t="shared" si="209"/>
        <v>3349978641</v>
      </c>
      <c r="X482" s="371">
        <f t="shared" si="203"/>
        <v>36.033690152440208</v>
      </c>
      <c r="Y482" s="372">
        <f t="shared" si="204"/>
        <v>-42.896341371885811</v>
      </c>
      <c r="AA482" s="371">
        <f t="shared" si="205"/>
        <v>27.45446198426832</v>
      </c>
      <c r="AB482" s="372">
        <f t="shared" si="206"/>
        <v>-159.22230195707172</v>
      </c>
      <c r="AD482">
        <f t="shared" si="210"/>
        <v>0</v>
      </c>
      <c r="AE482">
        <f t="shared" si="213"/>
        <v>0</v>
      </c>
    </row>
    <row r="483" spans="1:31" x14ac:dyDescent="0.3">
      <c r="A483" s="373">
        <v>58214</v>
      </c>
      <c r="B483" s="390">
        <f t="shared" si="207"/>
        <v>58.213999999999999</v>
      </c>
      <c r="C483" s="363">
        <f t="shared" si="188"/>
        <v>432.05060182959528</v>
      </c>
      <c r="D483" s="364">
        <f t="shared" si="189"/>
        <v>1.5684817810249809</v>
      </c>
      <c r="E483" s="364">
        <f t="shared" si="190"/>
        <v>1.092086806100526</v>
      </c>
      <c r="F483" s="365">
        <f t="shared" si="191"/>
        <v>0.413604387632518</v>
      </c>
      <c r="G483" s="364">
        <f t="shared" si="192"/>
        <v>4.4292038214658529</v>
      </c>
      <c r="H483" s="365">
        <f t="shared" si="193"/>
        <v>-1.3430586320470568</v>
      </c>
      <c r="I483" s="363">
        <f t="shared" si="194"/>
        <v>88083.550490731534</v>
      </c>
      <c r="J483" s="366">
        <f t="shared" si="195"/>
        <v>1.5707849739373603</v>
      </c>
      <c r="K483" s="374">
        <f t="shared" si="211"/>
        <v>298.9083848051161</v>
      </c>
      <c r="L483" s="375">
        <f t="shared" si="212"/>
        <v>1.5674508138677037</v>
      </c>
      <c r="M483" s="363">
        <f t="shared" si="196"/>
        <v>1.364422917988052</v>
      </c>
      <c r="N483" s="366">
        <f t="shared" si="197"/>
        <v>0.748205948526383</v>
      </c>
      <c r="O483" s="367">
        <f t="shared" si="198"/>
        <v>1.0018748212113668</v>
      </c>
      <c r="P483" s="368">
        <f t="shared" si="199"/>
        <v>0.28184099377192262</v>
      </c>
      <c r="Q483" s="369">
        <f t="shared" si="200"/>
        <v>-8.5709445388804042</v>
      </c>
      <c r="R483" s="370">
        <f t="shared" si="201"/>
        <v>-202.32956777682389</v>
      </c>
      <c r="S483" s="372">
        <f t="shared" si="202"/>
        <v>-22.329567776823893</v>
      </c>
      <c r="U483" s="345">
        <f t="shared" si="208"/>
        <v>58214</v>
      </c>
      <c r="V483" s="345">
        <f t="shared" si="209"/>
        <v>3388869796</v>
      </c>
      <c r="X483" s="371">
        <f t="shared" si="203"/>
        <v>36.010559937715911</v>
      </c>
      <c r="Y483" s="372">
        <f t="shared" si="204"/>
        <v>-43.060076406559922</v>
      </c>
      <c r="AA483" s="371">
        <f t="shared" si="205"/>
        <v>27.459695349962935</v>
      </c>
      <c r="AB483" s="372">
        <f t="shared" si="206"/>
        <v>-159.26949137026392</v>
      </c>
      <c r="AD483">
        <f t="shared" si="210"/>
        <v>0</v>
      </c>
      <c r="AE483">
        <f t="shared" si="213"/>
        <v>0</v>
      </c>
    </row>
    <row r="484" spans="1:31" x14ac:dyDescent="0.3">
      <c r="A484" s="373">
        <v>58549</v>
      </c>
      <c r="B484" s="390">
        <f t="shared" si="207"/>
        <v>58.548999999999999</v>
      </c>
      <c r="C484" s="363">
        <f t="shared" si="188"/>
        <v>434.53687967442613</v>
      </c>
      <c r="D484" s="364">
        <f t="shared" si="189"/>
        <v>1.5684950241220017</v>
      </c>
      <c r="E484" s="364">
        <f t="shared" si="190"/>
        <v>1.0931044195345565</v>
      </c>
      <c r="F484" s="365">
        <f t="shared" si="191"/>
        <v>0.41572025009845709</v>
      </c>
      <c r="G484" s="364">
        <f t="shared" si="192"/>
        <v>4.4533965298897709</v>
      </c>
      <c r="H484" s="365">
        <f t="shared" si="193"/>
        <v>-1.3443174564995277</v>
      </c>
      <c r="I484" s="363">
        <f t="shared" si="194"/>
        <v>88590.438686193156</v>
      </c>
      <c r="J484" s="366">
        <f t="shared" si="195"/>
        <v>1.5707850388950413</v>
      </c>
      <c r="K484" s="374">
        <f t="shared" si="211"/>
        <v>300.62847260824287</v>
      </c>
      <c r="L484" s="375">
        <f t="shared" si="212"/>
        <v>1.5674699557580802</v>
      </c>
      <c r="M484" s="363">
        <f t="shared" si="196"/>
        <v>1.3680626393291733</v>
      </c>
      <c r="N484" s="366">
        <f t="shared" si="197"/>
        <v>0.75106767677559472</v>
      </c>
      <c r="O484" s="367">
        <f t="shared" si="198"/>
        <v>1.0019047019382303</v>
      </c>
      <c r="P484" s="368">
        <f t="shared" si="199"/>
        <v>0.28349895225566252</v>
      </c>
      <c r="Q484" s="369">
        <f t="shared" si="200"/>
        <v>-8.5887804229693145</v>
      </c>
      <c r="R484" s="370">
        <f t="shared" si="201"/>
        <v>-202.53908783636615</v>
      </c>
      <c r="S484" s="372">
        <f t="shared" si="202"/>
        <v>-22.53908783636615</v>
      </c>
      <c r="U484" s="345">
        <f t="shared" si="208"/>
        <v>58549</v>
      </c>
      <c r="V484" s="345">
        <f t="shared" si="209"/>
        <v>3427985401</v>
      </c>
      <c r="X484" s="371">
        <f t="shared" si="203"/>
        <v>35.987419837836313</v>
      </c>
      <c r="Y484" s="372">
        <f t="shared" si="204"/>
        <v>-43.222948329809725</v>
      </c>
      <c r="AA484" s="371">
        <f t="shared" si="205"/>
        <v>27.464999565753622</v>
      </c>
      <c r="AB484" s="372">
        <f t="shared" si="206"/>
        <v>-159.3161395065564</v>
      </c>
      <c r="AD484">
        <f t="shared" si="210"/>
        <v>0</v>
      </c>
      <c r="AE484">
        <f t="shared" si="213"/>
        <v>0</v>
      </c>
    </row>
    <row r="485" spans="1:31" x14ac:dyDescent="0.3">
      <c r="A485" s="373">
        <v>58884</v>
      </c>
      <c r="B485" s="390">
        <f t="shared" si="207"/>
        <v>58.884</v>
      </c>
      <c r="C485" s="363">
        <f t="shared" si="188"/>
        <v>437.02315759459884</v>
      </c>
      <c r="D485" s="364">
        <f t="shared" si="189"/>
        <v>1.5685081165358439</v>
      </c>
      <c r="E485" s="364">
        <f t="shared" si="190"/>
        <v>1.0941269175436088</v>
      </c>
      <c r="F485" s="365">
        <f t="shared" si="191"/>
        <v>0.41783216731674422</v>
      </c>
      <c r="G485" s="364">
        <f t="shared" si="192"/>
        <v>4.4775962190740106</v>
      </c>
      <c r="H485" s="365">
        <f t="shared" si="193"/>
        <v>-1.3455626759813626</v>
      </c>
      <c r="I485" s="363">
        <f t="shared" si="194"/>
        <v>89097.326881655157</v>
      </c>
      <c r="J485" s="366">
        <f t="shared" si="195"/>
        <v>1.5707851031136144</v>
      </c>
      <c r="K485" s="374">
        <f t="shared" si="211"/>
        <v>302.34856052027015</v>
      </c>
      <c r="L485" s="375">
        <f t="shared" si="212"/>
        <v>1.5674888798486222</v>
      </c>
      <c r="M485" s="363">
        <f t="shared" si="196"/>
        <v>1.3717135048940416</v>
      </c>
      <c r="N485" s="366">
        <f t="shared" si="197"/>
        <v>0.75391419504478585</v>
      </c>
      <c r="O485" s="367">
        <f t="shared" si="198"/>
        <v>1.0019349433791296</v>
      </c>
      <c r="P485" s="368">
        <f t="shared" si="199"/>
        <v>0.28515750748775115</v>
      </c>
      <c r="Q485" s="369">
        <f t="shared" si="200"/>
        <v>-8.6065556887536978</v>
      </c>
      <c r="R485" s="370">
        <f t="shared" si="201"/>
        <v>-202.74722096120206</v>
      </c>
      <c r="S485" s="372">
        <f t="shared" si="202"/>
        <v>-22.747220961202061</v>
      </c>
      <c r="U485" s="345">
        <f t="shared" si="208"/>
        <v>58884</v>
      </c>
      <c r="V485" s="345">
        <f t="shared" si="209"/>
        <v>3467325456</v>
      </c>
      <c r="X485" s="371">
        <f t="shared" si="203"/>
        <v>35.964270661152405</v>
      </c>
      <c r="Y485" s="372">
        <f t="shared" si="204"/>
        <v>-43.384961222060412</v>
      </c>
      <c r="AA485" s="371">
        <f t="shared" si="205"/>
        <v>27.470373476653151</v>
      </c>
      <c r="AB485" s="372">
        <f t="shared" si="206"/>
        <v>-159.36225973914165</v>
      </c>
      <c r="AD485">
        <f t="shared" si="210"/>
        <v>0</v>
      </c>
      <c r="AE485">
        <f t="shared" si="213"/>
        <v>0</v>
      </c>
    </row>
    <row r="486" spans="1:31" x14ac:dyDescent="0.3">
      <c r="A486" s="373">
        <v>59227</v>
      </c>
      <c r="B486" s="390">
        <f t="shared" si="207"/>
        <v>59.226999999999997</v>
      </c>
      <c r="C486" s="363">
        <f t="shared" si="188"/>
        <v>439.56880939257724</v>
      </c>
      <c r="D486" s="364">
        <f t="shared" si="189"/>
        <v>1.5685213681508672</v>
      </c>
      <c r="E486" s="364">
        <f t="shared" si="190"/>
        <v>1.0951788800647724</v>
      </c>
      <c r="F486" s="365">
        <f t="shared" si="191"/>
        <v>0.41999042257875474</v>
      </c>
      <c r="G486" s="364">
        <f t="shared" si="192"/>
        <v>4.5023809265367944</v>
      </c>
      <c r="H486" s="365">
        <f t="shared" si="193"/>
        <v>-1.3468237609611715</v>
      </c>
      <c r="I486" s="363">
        <f t="shared" si="194"/>
        <v>89616.319869844956</v>
      </c>
      <c r="J486" s="366">
        <f t="shared" si="195"/>
        <v>1.5707851681130687</v>
      </c>
      <c r="K486" s="374">
        <f t="shared" si="211"/>
        <v>304.1097252694575</v>
      </c>
      <c r="L486" s="375">
        <f t="shared" si="212"/>
        <v>1.5675080340536465</v>
      </c>
      <c r="M486" s="363">
        <f t="shared" si="196"/>
        <v>1.3754630092283968</v>
      </c>
      <c r="N486" s="366">
        <f t="shared" si="197"/>
        <v>0.75681300922978445</v>
      </c>
      <c r="O486" s="367">
        <f t="shared" si="198"/>
        <v>1.001966284116359</v>
      </c>
      <c r="P486" s="368">
        <f t="shared" si="199"/>
        <v>0.28685629113243322</v>
      </c>
      <c r="Q486" s="369">
        <f t="shared" si="200"/>
        <v>-8.62469298009397</v>
      </c>
      <c r="R486" s="370">
        <f t="shared" si="201"/>
        <v>-202.95890537300758</v>
      </c>
      <c r="S486" s="372">
        <f t="shared" si="202"/>
        <v>-22.958905373007582</v>
      </c>
      <c r="U486" s="345">
        <f t="shared" si="208"/>
        <v>59227</v>
      </c>
      <c r="V486" s="345">
        <f t="shared" si="209"/>
        <v>3507837529</v>
      </c>
      <c r="X486" s="371">
        <f t="shared" si="203"/>
        <v>35.940560095382011</v>
      </c>
      <c r="Y486" s="372">
        <f t="shared" si="204"/>
        <v>-43.549957309728626</v>
      </c>
      <c r="AA486" s="371">
        <f t="shared" si="205"/>
        <v>27.47594675108326</v>
      </c>
      <c r="AB486" s="372">
        <f t="shared" si="206"/>
        <v>-159.40894806327901</v>
      </c>
      <c r="AD486">
        <f t="shared" si="210"/>
        <v>0</v>
      </c>
      <c r="AE486">
        <f t="shared" si="213"/>
        <v>0</v>
      </c>
    </row>
    <row r="487" spans="1:31" x14ac:dyDescent="0.3">
      <c r="A487" s="373">
        <v>59570</v>
      </c>
      <c r="B487" s="390">
        <f t="shared" si="207"/>
        <v>59.57</v>
      </c>
      <c r="C487" s="363">
        <f t="shared" si="188"/>
        <v>442.1144612668574</v>
      </c>
      <c r="D487" s="364">
        <f t="shared" si="189"/>
        <v>1.5685344671628836</v>
      </c>
      <c r="E487" s="364">
        <f t="shared" si="190"/>
        <v>1.0962359341965784</v>
      </c>
      <c r="F487" s="365">
        <f t="shared" si="191"/>
        <v>0.4221445256293716</v>
      </c>
      <c r="G487" s="364">
        <f t="shared" si="192"/>
        <v>4.5271727158881276</v>
      </c>
      <c r="H487" s="365">
        <f t="shared" si="193"/>
        <v>-1.3480710359513892</v>
      </c>
      <c r="I487" s="363">
        <f t="shared" si="194"/>
        <v>90135.312858035162</v>
      </c>
      <c r="J487" s="366">
        <f t="shared" si="195"/>
        <v>1.5707852323639981</v>
      </c>
      <c r="K487" s="374">
        <f t="shared" si="211"/>
        <v>305.87089012893284</v>
      </c>
      <c r="L487" s="375">
        <f t="shared" si="212"/>
        <v>1.5675269676838279</v>
      </c>
      <c r="M487" s="363">
        <f t="shared" si="196"/>
        <v>1.3792240088487948</v>
      </c>
      <c r="N487" s="366">
        <f t="shared" si="197"/>
        <v>0.75969603800519991</v>
      </c>
      <c r="O487" s="367">
        <f t="shared" si="198"/>
        <v>1.001998009876641</v>
      </c>
      <c r="P487" s="368">
        <f t="shared" si="199"/>
        <v>0.28855570610073572</v>
      </c>
      <c r="Q487" s="369">
        <f t="shared" si="200"/>
        <v>-8.6427674184996857</v>
      </c>
      <c r="R487" s="370">
        <f t="shared" si="201"/>
        <v>-203.16917202132532</v>
      </c>
      <c r="S487" s="372">
        <f t="shared" si="202"/>
        <v>-23.169172021325323</v>
      </c>
      <c r="U487" s="345">
        <f t="shared" si="208"/>
        <v>59570</v>
      </c>
      <c r="V487" s="345">
        <f t="shared" si="209"/>
        <v>3548584900</v>
      </c>
      <c r="X487" s="371">
        <f t="shared" si="203"/>
        <v>35.916841690785262</v>
      </c>
      <c r="Y487" s="372">
        <f t="shared" si="204"/>
        <v>-43.714061555169025</v>
      </c>
      <c r="AA487" s="371">
        <f t="shared" si="205"/>
        <v>27.481590717274301</v>
      </c>
      <c r="AB487" s="372">
        <f t="shared" si="206"/>
        <v>-159.45511046615627</v>
      </c>
      <c r="AD487">
        <f t="shared" si="210"/>
        <v>0</v>
      </c>
      <c r="AE487">
        <f t="shared" si="213"/>
        <v>0</v>
      </c>
    </row>
    <row r="488" spans="1:31" x14ac:dyDescent="0.3">
      <c r="A488" s="373">
        <v>59913</v>
      </c>
      <c r="B488" s="390">
        <f t="shared" si="207"/>
        <v>59.912999999999997</v>
      </c>
      <c r="C488" s="363">
        <f t="shared" si="188"/>
        <v>444.66011321612871</v>
      </c>
      <c r="D488" s="364">
        <f t="shared" si="189"/>
        <v>1.568547416192817</v>
      </c>
      <c r="E488" s="364">
        <f t="shared" si="190"/>
        <v>1.0972980652244064</v>
      </c>
      <c r="F488" s="365">
        <f t="shared" si="191"/>
        <v>0.42429446850655683</v>
      </c>
      <c r="G488" s="364">
        <f t="shared" si="192"/>
        <v>4.5519714714159356</v>
      </c>
      <c r="H488" s="365">
        <f t="shared" si="193"/>
        <v>-1.3493047227461799</v>
      </c>
      <c r="I488" s="363">
        <f t="shared" si="194"/>
        <v>90654.305846225703</v>
      </c>
      <c r="J488" s="366">
        <f t="shared" si="195"/>
        <v>1.5707852958792585</v>
      </c>
      <c r="K488" s="374">
        <f t="shared" si="211"/>
        <v>307.63205509680205</v>
      </c>
      <c r="L488" s="375">
        <f t="shared" si="212"/>
        <v>1.5675456845274645</v>
      </c>
      <c r="M488" s="363">
        <f t="shared" si="196"/>
        <v>1.3829964099724215</v>
      </c>
      <c r="N488" s="366">
        <f t="shared" si="197"/>
        <v>0.76256336242256384</v>
      </c>
      <c r="O488" s="367">
        <f t="shared" si="198"/>
        <v>1.0020301241672382</v>
      </c>
      <c r="P488" s="368">
        <f t="shared" si="199"/>
        <v>0.29025575527250874</v>
      </c>
      <c r="Q488" s="369">
        <f t="shared" si="200"/>
        <v>-8.6607793365737109</v>
      </c>
      <c r="R488" s="370">
        <f t="shared" si="201"/>
        <v>-203.37803881298078</v>
      </c>
      <c r="S488" s="372">
        <f t="shared" si="202"/>
        <v>-23.378038812980776</v>
      </c>
      <c r="U488" s="345">
        <f t="shared" si="208"/>
        <v>59913</v>
      </c>
      <c r="V488" s="345">
        <f t="shared" si="209"/>
        <v>3589567569</v>
      </c>
      <c r="X488" s="371">
        <f t="shared" si="203"/>
        <v>35.893116276301676</v>
      </c>
      <c r="Y488" s="372">
        <f t="shared" si="204"/>
        <v>-43.877278385975472</v>
      </c>
      <c r="AA488" s="371">
        <f t="shared" si="205"/>
        <v>27.48730421368386</v>
      </c>
      <c r="AB488" s="372">
        <f t="shared" si="206"/>
        <v>-159.5007604270053</v>
      </c>
      <c r="AD488">
        <f t="shared" si="210"/>
        <v>0</v>
      </c>
      <c r="AE488">
        <f t="shared" si="213"/>
        <v>0</v>
      </c>
    </row>
    <row r="489" spans="1:31" x14ac:dyDescent="0.3">
      <c r="A489" s="373">
        <v>60256</v>
      </c>
      <c r="B489" s="390">
        <f t="shared" si="207"/>
        <v>60.256</v>
      </c>
      <c r="C489" s="363">
        <f t="shared" si="188"/>
        <v>447.20576523911063</v>
      </c>
      <c r="D489" s="364">
        <f t="shared" si="189"/>
        <v>1.5685602178019151</v>
      </c>
      <c r="E489" s="364">
        <f t="shared" si="190"/>
        <v>1.0983652584200174</v>
      </c>
      <c r="F489" s="365">
        <f t="shared" si="191"/>
        <v>0.42644024343283027</v>
      </c>
      <c r="G489" s="364">
        <f t="shared" si="192"/>
        <v>4.5767770798838727</v>
      </c>
      <c r="H489" s="365">
        <f t="shared" si="193"/>
        <v>-1.3505250384987937</v>
      </c>
      <c r="I489" s="363">
        <f t="shared" si="194"/>
        <v>91173.298834416637</v>
      </c>
      <c r="J489" s="366">
        <f t="shared" si="195"/>
        <v>1.5707853586714131</v>
      </c>
      <c r="K489" s="374">
        <f t="shared" si="211"/>
        <v>309.39322017121407</v>
      </c>
      <c r="L489" s="375">
        <f t="shared" si="212"/>
        <v>1.5675641882865976</v>
      </c>
      <c r="M489" s="363">
        <f t="shared" si="196"/>
        <v>1.3867801195541543</v>
      </c>
      <c r="N489" s="366">
        <f t="shared" si="197"/>
        <v>0.76541506368575085</v>
      </c>
      <c r="O489" s="367">
        <f t="shared" si="198"/>
        <v>1.0020626305149769</v>
      </c>
      <c r="P489" s="368">
        <f t="shared" si="199"/>
        <v>0.29195644151351574</v>
      </c>
      <c r="Q489" s="369">
        <f t="shared" si="200"/>
        <v>-8.6787290550042346</v>
      </c>
      <c r="R489" s="370">
        <f t="shared" si="201"/>
        <v>-203.58552338774825</v>
      </c>
      <c r="S489" s="372">
        <f t="shared" si="202"/>
        <v>-23.585523387748253</v>
      </c>
      <c r="U489" s="345">
        <f t="shared" si="208"/>
        <v>60256</v>
      </c>
      <c r="V489" s="345">
        <f t="shared" si="209"/>
        <v>3630785536</v>
      </c>
      <c r="X489" s="371">
        <f t="shared" si="203"/>
        <v>35.869384668057961</v>
      </c>
      <c r="Y489" s="372">
        <f t="shared" si="204"/>
        <v>-44.039612243395709</v>
      </c>
      <c r="AA489" s="371">
        <f t="shared" si="205"/>
        <v>27.49308610349706</v>
      </c>
      <c r="AB489" s="372">
        <f t="shared" si="206"/>
        <v>-159.54591114435249</v>
      </c>
      <c r="AD489">
        <f t="shared" si="210"/>
        <v>0</v>
      </c>
      <c r="AE489">
        <f t="shared" si="213"/>
        <v>0</v>
      </c>
    </row>
    <row r="490" spans="1:31" x14ac:dyDescent="0.3">
      <c r="A490" s="373">
        <v>60607</v>
      </c>
      <c r="B490" s="390">
        <f t="shared" si="207"/>
        <v>60.606999999999999</v>
      </c>
      <c r="C490" s="363">
        <f t="shared" si="188"/>
        <v>449.81079114521248</v>
      </c>
      <c r="D490" s="364">
        <f t="shared" si="189"/>
        <v>1.5685731679836248</v>
      </c>
      <c r="E490" s="364">
        <f t="shared" si="190"/>
        <v>1.0994625676862069</v>
      </c>
      <c r="F490" s="365">
        <f t="shared" si="191"/>
        <v>0.42863174276402827</v>
      </c>
      <c r="G490" s="364">
        <f t="shared" si="192"/>
        <v>4.6021682237639432</v>
      </c>
      <c r="H490" s="365">
        <f t="shared" si="193"/>
        <v>-1.3517601957678722</v>
      </c>
      <c r="I490" s="363">
        <f t="shared" si="194"/>
        <v>91704.396615335398</v>
      </c>
      <c r="J490" s="366">
        <f t="shared" si="195"/>
        <v>1.5707854221923157</v>
      </c>
      <c r="K490" s="374">
        <f t="shared" si="211"/>
        <v>311.19546209046752</v>
      </c>
      <c r="L490" s="375">
        <f t="shared" si="212"/>
        <v>1.5675829067973945</v>
      </c>
      <c r="M490" s="363">
        <f t="shared" si="196"/>
        <v>1.3906636897842382</v>
      </c>
      <c r="N490" s="366">
        <f t="shared" si="197"/>
        <v>0.76831718780645175</v>
      </c>
      <c r="O490" s="367">
        <f t="shared" si="198"/>
        <v>1.0020963046083975</v>
      </c>
      <c r="P490" s="368">
        <f t="shared" si="199"/>
        <v>0.29369745641155021</v>
      </c>
      <c r="Q490" s="369">
        <f t="shared" si="200"/>
        <v>-8.6970333558777657</v>
      </c>
      <c r="R490" s="370">
        <f t="shared" si="201"/>
        <v>-203.79643443209306</v>
      </c>
      <c r="S490" s="372">
        <f t="shared" si="202"/>
        <v>-23.796434432093065</v>
      </c>
      <c r="U490" s="345">
        <f t="shared" si="208"/>
        <v>60607</v>
      </c>
      <c r="V490" s="345">
        <f t="shared" si="209"/>
        <v>3673208449</v>
      </c>
      <c r="X490" s="371">
        <f t="shared" si="203"/>
        <v>35.845093978936312</v>
      </c>
      <c r="Y490" s="372">
        <f t="shared" si="204"/>
        <v>-44.204822855135951</v>
      </c>
      <c r="AA490" s="371">
        <f t="shared" si="205"/>
        <v>27.499072491745167</v>
      </c>
      <c r="AB490" s="372">
        <f t="shared" si="206"/>
        <v>-159.59161157695709</v>
      </c>
      <c r="AD490">
        <f t="shared" si="210"/>
        <v>0</v>
      </c>
      <c r="AE490">
        <f t="shared" si="213"/>
        <v>0</v>
      </c>
    </row>
    <row r="491" spans="1:31" x14ac:dyDescent="0.3">
      <c r="A491" s="373">
        <v>60958</v>
      </c>
      <c r="B491" s="390">
        <f t="shared" si="207"/>
        <v>60.957999999999998</v>
      </c>
      <c r="C491" s="363">
        <f t="shared" si="188"/>
        <v>452.4158171258822</v>
      </c>
      <c r="D491" s="364">
        <f t="shared" si="189"/>
        <v>1.5685859690301449</v>
      </c>
      <c r="E491" s="364">
        <f t="shared" si="190"/>
        <v>1.1005651467632929</v>
      </c>
      <c r="F491" s="365">
        <f t="shared" si="191"/>
        <v>0.4308188615626044</v>
      </c>
      <c r="G491" s="364">
        <f t="shared" si="192"/>
        <v>4.6275663117187493</v>
      </c>
      <c r="H491" s="365">
        <f t="shared" si="193"/>
        <v>-1.3529817967276416</v>
      </c>
      <c r="I491" s="363">
        <f t="shared" si="194"/>
        <v>92235.494396254551</v>
      </c>
      <c r="J491" s="366">
        <f t="shared" si="195"/>
        <v>1.5707854849817036</v>
      </c>
      <c r="K491" s="374">
        <f t="shared" si="211"/>
        <v>312.99770411750274</v>
      </c>
      <c r="L491" s="375">
        <f t="shared" si="212"/>
        <v>1.5676014097456783</v>
      </c>
      <c r="M491" s="363">
        <f t="shared" si="196"/>
        <v>1.39455890734305</v>
      </c>
      <c r="N491" s="366">
        <f t="shared" si="197"/>
        <v>0.77120312396234036</v>
      </c>
      <c r="O491" s="367">
        <f t="shared" si="198"/>
        <v>1.0021303967959505</v>
      </c>
      <c r="P491" s="368">
        <f t="shared" si="199"/>
        <v>0.29543914446929653</v>
      </c>
      <c r="Q491" s="369">
        <f t="shared" si="200"/>
        <v>-8.7152731658736684</v>
      </c>
      <c r="R491" s="370">
        <f t="shared" si="201"/>
        <v>-204.00593457439871</v>
      </c>
      <c r="S491" s="372">
        <f t="shared" si="202"/>
        <v>-24.005934574398708</v>
      </c>
      <c r="U491" s="345">
        <f t="shared" si="208"/>
        <v>60958</v>
      </c>
      <c r="V491" s="345">
        <f t="shared" si="209"/>
        <v>3715877764</v>
      </c>
      <c r="X491" s="371">
        <f t="shared" si="203"/>
        <v>35.820798492425723</v>
      </c>
      <c r="Y491" s="372">
        <f t="shared" si="204"/>
        <v>-44.369118273722016</v>
      </c>
      <c r="AA491" s="371">
        <f t="shared" si="205"/>
        <v>27.505128168259859</v>
      </c>
      <c r="AB491" s="372">
        <f t="shared" si="206"/>
        <v>-159.63681630067671</v>
      </c>
      <c r="AD491">
        <f t="shared" si="210"/>
        <v>0</v>
      </c>
      <c r="AE491">
        <f t="shared" si="213"/>
        <v>0</v>
      </c>
    </row>
    <row r="492" spans="1:31" x14ac:dyDescent="0.3">
      <c r="A492" s="373">
        <v>61309</v>
      </c>
      <c r="B492" s="390">
        <f t="shared" si="207"/>
        <v>61.308999999999997</v>
      </c>
      <c r="C492" s="363">
        <f t="shared" si="188"/>
        <v>455.02084317983895</v>
      </c>
      <c r="D492" s="364">
        <f t="shared" si="189"/>
        <v>1.5685986235028992</v>
      </c>
      <c r="E492" s="364">
        <f t="shared" si="190"/>
        <v>1.1016729798288405</v>
      </c>
      <c r="F492" s="365">
        <f t="shared" si="191"/>
        <v>0.43300159208832323</v>
      </c>
      <c r="G492" s="364">
        <f t="shared" si="192"/>
        <v>4.6529712300362958</v>
      </c>
      <c r="H492" s="365">
        <f t="shared" si="193"/>
        <v>-1.3541900597516014</v>
      </c>
      <c r="I492" s="363">
        <f t="shared" si="194"/>
        <v>92766.59217717404</v>
      </c>
      <c r="J492" s="366">
        <f t="shared" si="195"/>
        <v>1.5707855470521406</v>
      </c>
      <c r="K492" s="374">
        <f t="shared" si="211"/>
        <v>314.79994625046868</v>
      </c>
      <c r="L492" s="375">
        <f t="shared" si="212"/>
        <v>1.567619700833748</v>
      </c>
      <c r="M492" s="363">
        <f t="shared" si="196"/>
        <v>1.3984656749049027</v>
      </c>
      <c r="N492" s="366">
        <f t="shared" si="197"/>
        <v>0.77407295954934208</v>
      </c>
      <c r="O492" s="367">
        <f t="shared" si="198"/>
        <v>1.0021649109205568</v>
      </c>
      <c r="P492" s="368">
        <f t="shared" si="199"/>
        <v>0.29718150871129662</v>
      </c>
      <c r="Q492" s="369">
        <f t="shared" si="200"/>
        <v>-8.7334487940499717</v>
      </c>
      <c r="R492" s="370">
        <f t="shared" si="201"/>
        <v>-204.21404188609162</v>
      </c>
      <c r="S492" s="372">
        <f t="shared" si="202"/>
        <v>-24.214041886091621</v>
      </c>
      <c r="U492" s="345">
        <f t="shared" si="208"/>
        <v>61309</v>
      </c>
      <c r="V492" s="345">
        <f t="shared" si="209"/>
        <v>3758793481</v>
      </c>
      <c r="X492" s="371">
        <f t="shared" si="203"/>
        <v>35.796499042251376</v>
      </c>
      <c r="Y492" s="372">
        <f t="shared" si="204"/>
        <v>-44.532503295165355</v>
      </c>
      <c r="AA492" s="371">
        <f t="shared" si="205"/>
        <v>27.5112519902579</v>
      </c>
      <c r="AB492" s="372">
        <f t="shared" si="206"/>
        <v>-159.68153859092624</v>
      </c>
      <c r="AD492">
        <f t="shared" si="210"/>
        <v>0</v>
      </c>
      <c r="AE492">
        <f t="shared" si="213"/>
        <v>0</v>
      </c>
    </row>
    <row r="493" spans="1:31" x14ac:dyDescent="0.3">
      <c r="A493" s="373">
        <v>61660</v>
      </c>
      <c r="B493" s="390">
        <f t="shared" si="207"/>
        <v>61.66</v>
      </c>
      <c r="C493" s="363">
        <f t="shared" si="188"/>
        <v>457.62586930583115</v>
      </c>
      <c r="D493" s="364">
        <f t="shared" si="189"/>
        <v>1.5686111339049886</v>
      </c>
      <c r="E493" s="364">
        <f t="shared" si="190"/>
        <v>1.1027860510487477</v>
      </c>
      <c r="F493" s="365">
        <f t="shared" si="191"/>
        <v>0.4351799267992334</v>
      </c>
      <c r="G493" s="364">
        <f t="shared" si="192"/>
        <v>4.6783828674442818</v>
      </c>
      <c r="H493" s="365">
        <f t="shared" si="193"/>
        <v>-1.3553851986263794</v>
      </c>
      <c r="I493" s="363">
        <f t="shared" si="194"/>
        <v>93297.689958093892</v>
      </c>
      <c r="J493" s="366">
        <f t="shared" si="195"/>
        <v>1.5707856084159049</v>
      </c>
      <c r="K493" s="374">
        <f t="shared" si="211"/>
        <v>316.60218848755625</v>
      </c>
      <c r="L493" s="375">
        <f t="shared" si="212"/>
        <v>1.5676377836796027</v>
      </c>
      <c r="M493" s="363">
        <f t="shared" si="196"/>
        <v>1.4023838959416428</v>
      </c>
      <c r="N493" s="366">
        <f t="shared" si="197"/>
        <v>0.77692678205180365</v>
      </c>
      <c r="O493" s="367">
        <f t="shared" si="198"/>
        <v>1.0021998508465155</v>
      </c>
      <c r="P493" s="368">
        <f t="shared" si="199"/>
        <v>0.29892455214621111</v>
      </c>
      <c r="Q493" s="369">
        <f t="shared" si="200"/>
        <v>-8.7515605390998967</v>
      </c>
      <c r="R493" s="370">
        <f t="shared" si="201"/>
        <v>-204.42077417005706</v>
      </c>
      <c r="S493" s="372">
        <f t="shared" si="202"/>
        <v>-24.420774170057058</v>
      </c>
      <c r="U493" s="345">
        <f t="shared" si="208"/>
        <v>61660</v>
      </c>
      <c r="V493" s="345">
        <f t="shared" si="209"/>
        <v>3801955600</v>
      </c>
      <c r="X493" s="371">
        <f t="shared" si="203"/>
        <v>35.772196448645495</v>
      </c>
      <c r="Y493" s="372">
        <f t="shared" si="204"/>
        <v>-44.694982725357157</v>
      </c>
      <c r="AA493" s="371">
        <f t="shared" si="205"/>
        <v>27.51744283881386</v>
      </c>
      <c r="AB493" s="372">
        <f t="shared" si="206"/>
        <v>-159.72579144469992</v>
      </c>
      <c r="AD493">
        <f t="shared" si="210"/>
        <v>0</v>
      </c>
      <c r="AE493">
        <f t="shared" si="213"/>
        <v>0</v>
      </c>
    </row>
    <row r="494" spans="1:31" x14ac:dyDescent="0.3">
      <c r="A494" s="373">
        <v>62019</v>
      </c>
      <c r="B494" s="390">
        <f t="shared" si="207"/>
        <v>62.018999999999998</v>
      </c>
      <c r="C494" s="363">
        <f t="shared" si="188"/>
        <v>460.29026931990308</v>
      </c>
      <c r="D494" s="364">
        <f t="shared" si="189"/>
        <v>1.5686237829604686</v>
      </c>
      <c r="E494" s="364">
        <f t="shared" si="190"/>
        <v>1.1039298934950099</v>
      </c>
      <c r="F494" s="365">
        <f t="shared" si="191"/>
        <v>0.43740335526938495</v>
      </c>
      <c r="G494" s="364">
        <f t="shared" si="192"/>
        <v>4.7043805245292374</v>
      </c>
      <c r="H494" s="365">
        <f t="shared" si="193"/>
        <v>-1.3565942190337288</v>
      </c>
      <c r="I494" s="363">
        <f t="shared" si="194"/>
        <v>93840.892531741629</v>
      </c>
      <c r="J494" s="366">
        <f t="shared" si="195"/>
        <v>1.5707856704597634</v>
      </c>
      <c r="K494" s="374">
        <f t="shared" si="211"/>
        <v>318.44550757665399</v>
      </c>
      <c r="L494" s="375">
        <f t="shared" si="212"/>
        <v>1.5676560669396062</v>
      </c>
      <c r="M494" s="363">
        <f t="shared" si="196"/>
        <v>1.4064031694038481</v>
      </c>
      <c r="N494" s="366">
        <f t="shared" si="197"/>
        <v>0.7798291755007567</v>
      </c>
      <c r="O494" s="367">
        <f t="shared" si="198"/>
        <v>1.0022360316434975</v>
      </c>
      <c r="P494" s="368">
        <f t="shared" si="199"/>
        <v>0.30070802877560399</v>
      </c>
      <c r="Q494" s="369">
        <f t="shared" si="200"/>
        <v>-8.7700193048014032</v>
      </c>
      <c r="R494" s="370">
        <f t="shared" si="201"/>
        <v>-204.63081418714148</v>
      </c>
      <c r="S494" s="372">
        <f t="shared" si="202"/>
        <v>-24.630814187141482</v>
      </c>
      <c r="U494" s="345">
        <f t="shared" si="208"/>
        <v>62019</v>
      </c>
      <c r="V494" s="345">
        <f t="shared" si="209"/>
        <v>3846356361</v>
      </c>
      <c r="X494" s="371">
        <f t="shared" si="203"/>
        <v>35.747337538995872</v>
      </c>
      <c r="Y494" s="372">
        <f t="shared" si="204"/>
        <v>-44.860233621874713</v>
      </c>
      <c r="AA494" s="371">
        <f t="shared" si="205"/>
        <v>27.523842982761973</v>
      </c>
      <c r="AB494" s="372">
        <f t="shared" si="206"/>
        <v>-159.77058056526673</v>
      </c>
      <c r="AD494">
        <f t="shared" si="210"/>
        <v>0</v>
      </c>
      <c r="AE494">
        <f t="shared" si="213"/>
        <v>0</v>
      </c>
    </row>
    <row r="495" spans="1:31" x14ac:dyDescent="0.3">
      <c r="A495" s="373">
        <v>62378</v>
      </c>
      <c r="B495" s="390">
        <f t="shared" si="207"/>
        <v>62.378</v>
      </c>
      <c r="C495" s="363">
        <f t="shared" si="188"/>
        <v>462.95466940677301</v>
      </c>
      <c r="D495" s="364">
        <f t="shared" si="189"/>
        <v>1.5686362864200778</v>
      </c>
      <c r="E495" s="364">
        <f t="shared" si="190"/>
        <v>1.1050791820533714</v>
      </c>
      <c r="F495" s="365">
        <f t="shared" si="191"/>
        <v>0.43962216993337672</v>
      </c>
      <c r="G495" s="364">
        <f t="shared" si="192"/>
        <v>4.7303849825588227</v>
      </c>
      <c r="H495" s="365">
        <f t="shared" si="193"/>
        <v>-1.3577899484195735</v>
      </c>
      <c r="I495" s="363">
        <f t="shared" si="194"/>
        <v>94384.095105389701</v>
      </c>
      <c r="J495" s="366">
        <f t="shared" si="195"/>
        <v>1.570785731789468</v>
      </c>
      <c r="K495" s="374">
        <f t="shared" si="211"/>
        <v>320.28882677097573</v>
      </c>
      <c r="L495" s="375">
        <f t="shared" si="212"/>
        <v>1.567674139752786</v>
      </c>
      <c r="M495" s="363">
        <f t="shared" si="196"/>
        <v>1.4104342226681497</v>
      </c>
      <c r="N495" s="366">
        <f t="shared" si="197"/>
        <v>0.78271500293037621</v>
      </c>
      <c r="O495" s="367">
        <f t="shared" si="198"/>
        <v>1.0022726661181944</v>
      </c>
      <c r="P495" s="368">
        <f t="shared" si="199"/>
        <v>0.30249222222624578</v>
      </c>
      <c r="Q495" s="369">
        <f t="shared" si="200"/>
        <v>-8.7884118435747141</v>
      </c>
      <c r="R495" s="370">
        <f t="shared" si="201"/>
        <v>-204.83945261901601</v>
      </c>
      <c r="S495" s="372">
        <f t="shared" si="202"/>
        <v>-24.839452619016015</v>
      </c>
      <c r="U495" s="345">
        <f t="shared" si="208"/>
        <v>62378</v>
      </c>
      <c r="V495" s="345">
        <f t="shared" si="209"/>
        <v>3891014884</v>
      </c>
      <c r="X495" s="371">
        <f t="shared" si="203"/>
        <v>35.722477034048147</v>
      </c>
      <c r="Y495" s="372">
        <f t="shared" si="204"/>
        <v>-45.024547372196871</v>
      </c>
      <c r="AA495" s="371">
        <f t="shared" si="205"/>
        <v>27.530310948936382</v>
      </c>
      <c r="AB495" s="372">
        <f t="shared" si="206"/>
        <v>-159.81490524681919</v>
      </c>
      <c r="AD495">
        <f t="shared" si="210"/>
        <v>0</v>
      </c>
      <c r="AE495">
        <f t="shared" si="213"/>
        <v>0</v>
      </c>
    </row>
    <row r="496" spans="1:31" x14ac:dyDescent="0.3">
      <c r="A496" s="373">
        <v>62737</v>
      </c>
      <c r="B496" s="390">
        <f t="shared" si="207"/>
        <v>62.737000000000002</v>
      </c>
      <c r="C496" s="363">
        <f t="shared" si="188"/>
        <v>465.61906956519135</v>
      </c>
      <c r="D496" s="364">
        <f t="shared" si="189"/>
        <v>1.5686486467832315</v>
      </c>
      <c r="E496" s="364">
        <f t="shared" si="190"/>
        <v>1.1062338997496075</v>
      </c>
      <c r="F496" s="365">
        <f t="shared" si="191"/>
        <v>0.441836363358381</v>
      </c>
      <c r="G496" s="364">
        <f t="shared" si="192"/>
        <v>4.7563961299854229</v>
      </c>
      <c r="H496" s="365">
        <f t="shared" si="193"/>
        <v>-1.358972601388857</v>
      </c>
      <c r="I496" s="363">
        <f t="shared" si="194"/>
        <v>94927.297679038136</v>
      </c>
      <c r="J496" s="366">
        <f t="shared" si="195"/>
        <v>1.5707857924172786</v>
      </c>
      <c r="K496" s="374">
        <f t="shared" si="211"/>
        <v>322.13214606871497</v>
      </c>
      <c r="L496" s="375">
        <f t="shared" si="212"/>
        <v>1.5676920057318153</v>
      </c>
      <c r="M496" s="363">
        <f t="shared" si="196"/>
        <v>1.4144769550223919</v>
      </c>
      <c r="N496" s="366">
        <f t="shared" si="197"/>
        <v>0.78558435811133653</v>
      </c>
      <c r="O496" s="367">
        <f t="shared" si="198"/>
        <v>1.0023097584744693</v>
      </c>
      <c r="P496" s="368">
        <f t="shared" si="199"/>
        <v>0.30427713566496395</v>
      </c>
      <c r="Q496" s="369">
        <f t="shared" si="200"/>
        <v>-8.8067384452058537</v>
      </c>
      <c r="R496" s="370">
        <f t="shared" si="201"/>
        <v>-205.04670767853523</v>
      </c>
      <c r="S496" s="372">
        <f t="shared" si="202"/>
        <v>-25.046707678535228</v>
      </c>
      <c r="U496" s="345">
        <f t="shared" si="208"/>
        <v>62737</v>
      </c>
      <c r="V496" s="345">
        <f t="shared" si="209"/>
        <v>3935931169</v>
      </c>
      <c r="X496" s="371">
        <f t="shared" si="203"/>
        <v>35.697615768536004</v>
      </c>
      <c r="Y496" s="372">
        <f t="shared" si="204"/>
        <v>-45.187929142698984</v>
      </c>
      <c r="AA496" s="371">
        <f t="shared" si="205"/>
        <v>27.536845612817388</v>
      </c>
      <c r="AB496" s="372">
        <f t="shared" si="206"/>
        <v>-159.85877853583622</v>
      </c>
      <c r="AD496">
        <f t="shared" si="210"/>
        <v>0</v>
      </c>
      <c r="AE496">
        <f t="shared" si="213"/>
        <v>0</v>
      </c>
    </row>
    <row r="497" spans="1:31" x14ac:dyDescent="0.3">
      <c r="A497" s="373">
        <v>63096</v>
      </c>
      <c r="B497" s="390">
        <f t="shared" si="207"/>
        <v>63.095999999999997</v>
      </c>
      <c r="C497" s="363">
        <f t="shared" si="188"/>
        <v>468.28346979393689</v>
      </c>
      <c r="D497" s="364">
        <f t="shared" si="189"/>
        <v>1.5686608664924602</v>
      </c>
      <c r="E497" s="364">
        <f t="shared" si="190"/>
        <v>1.107394029600274</v>
      </c>
      <c r="F497" s="365">
        <f t="shared" si="191"/>
        <v>0.44404592832374828</v>
      </c>
      <c r="G497" s="364">
        <f t="shared" si="192"/>
        <v>4.7824138576598347</v>
      </c>
      <c r="H497" s="365">
        <f t="shared" si="193"/>
        <v>-1.3601423880245946</v>
      </c>
      <c r="I497" s="363">
        <f t="shared" si="194"/>
        <v>95470.500252686936</v>
      </c>
      <c r="J497" s="366">
        <f t="shared" si="195"/>
        <v>1.5707858523551756</v>
      </c>
      <c r="K497" s="374">
        <f t="shared" si="211"/>
        <v>323.97546546810662</v>
      </c>
      <c r="L497" s="375">
        <f t="shared" si="212"/>
        <v>1.5677096684071483</v>
      </c>
      <c r="M497" s="363">
        <f t="shared" si="196"/>
        <v>1.4185312666123788</v>
      </c>
      <c r="N497" s="366">
        <f t="shared" si="197"/>
        <v>0.78843733483187417</v>
      </c>
      <c r="O497" s="367">
        <f t="shared" si="198"/>
        <v>1.0023473129394889</v>
      </c>
      <c r="P497" s="368">
        <f t="shared" si="199"/>
        <v>0.30606277224071815</v>
      </c>
      <c r="Q497" s="369">
        <f t="shared" si="200"/>
        <v>-8.8249993906368331</v>
      </c>
      <c r="R497" s="370">
        <f t="shared" si="201"/>
        <v>-205.25259730872705</v>
      </c>
      <c r="S497" s="372">
        <f t="shared" si="202"/>
        <v>-25.252597308727047</v>
      </c>
      <c r="U497" s="345">
        <f t="shared" si="208"/>
        <v>63096</v>
      </c>
      <c r="V497" s="345">
        <f t="shared" si="209"/>
        <v>3981105216</v>
      </c>
      <c r="X497" s="371">
        <f t="shared" si="203"/>
        <v>35.672754563058426</v>
      </c>
      <c r="Y497" s="372">
        <f t="shared" si="204"/>
        <v>-45.35038410545755</v>
      </c>
      <c r="AA497" s="371">
        <f t="shared" si="205"/>
        <v>27.543445872863987</v>
      </c>
      <c r="AB497" s="372">
        <f t="shared" si="206"/>
        <v>-159.90221320326947</v>
      </c>
      <c r="AD497">
        <f t="shared" si="210"/>
        <v>0</v>
      </c>
      <c r="AE497">
        <f t="shared" si="213"/>
        <v>0</v>
      </c>
    </row>
    <row r="498" spans="1:31" x14ac:dyDescent="0.3">
      <c r="A498" s="373">
        <v>63463.25</v>
      </c>
      <c r="B498" s="390">
        <f t="shared" si="207"/>
        <v>63.463250000000002</v>
      </c>
      <c r="C498" s="363">
        <f t="shared" si="188"/>
        <v>471.00909934737541</v>
      </c>
      <c r="D498" s="364">
        <f t="shared" si="189"/>
        <v>1.5686732239659982</v>
      </c>
      <c r="E498" s="364">
        <f t="shared" si="190"/>
        <v>1.1085864022444241</v>
      </c>
      <c r="F498" s="365">
        <f t="shared" si="191"/>
        <v>0.44630147366410111</v>
      </c>
      <c r="G498" s="364">
        <f t="shared" si="192"/>
        <v>4.8090361832154569</v>
      </c>
      <c r="H498" s="365">
        <f t="shared" si="193"/>
        <v>-1.3613259581267605</v>
      </c>
      <c r="I498" s="363">
        <f t="shared" si="194"/>
        <v>96026.185893836358</v>
      </c>
      <c r="J498" s="366">
        <f t="shared" si="195"/>
        <v>1.5707859129688062</v>
      </c>
      <c r="K498" s="374">
        <f t="shared" si="211"/>
        <v>325.86114537490778</v>
      </c>
      <c r="L498" s="375">
        <f t="shared" si="212"/>
        <v>1.5677275302115032</v>
      </c>
      <c r="M498" s="363">
        <f t="shared" si="196"/>
        <v>1.4226906265351089</v>
      </c>
      <c r="N498" s="366">
        <f t="shared" si="197"/>
        <v>0.79133902481296725</v>
      </c>
      <c r="O498" s="367">
        <f t="shared" si="198"/>
        <v>1.0023862130168613</v>
      </c>
      <c r="P498" s="368">
        <f t="shared" si="199"/>
        <v>0.30789019515977722</v>
      </c>
      <c r="Q498" s="369">
        <f t="shared" si="200"/>
        <v>-8.8436123292355511</v>
      </c>
      <c r="R498" s="370">
        <f t="shared" si="201"/>
        <v>-205.46182396007538</v>
      </c>
      <c r="S498" s="372">
        <f t="shared" si="202"/>
        <v>-25.461823960075378</v>
      </c>
      <c r="U498" s="345">
        <f t="shared" si="208"/>
        <v>63463.25</v>
      </c>
      <c r="V498" s="345">
        <f t="shared" si="209"/>
        <v>4027584100.5625</v>
      </c>
      <c r="X498" s="371">
        <f t="shared" si="203"/>
        <v>35.647322937686305</v>
      </c>
      <c r="Y498" s="372">
        <f t="shared" si="204"/>
        <v>-45.515618761919583</v>
      </c>
      <c r="AA498" s="371">
        <f t="shared" si="205"/>
        <v>27.550264559637391</v>
      </c>
      <c r="AB498" s="372">
        <f t="shared" si="206"/>
        <v>-159.94620519815587</v>
      </c>
      <c r="AD498">
        <f t="shared" si="210"/>
        <v>0</v>
      </c>
      <c r="AE498">
        <f t="shared" si="213"/>
        <v>0</v>
      </c>
    </row>
    <row r="499" spans="1:31" x14ac:dyDescent="0.3">
      <c r="A499" s="373">
        <v>63830.5</v>
      </c>
      <c r="B499" s="390">
        <f t="shared" si="207"/>
        <v>63.830500000000001</v>
      </c>
      <c r="C499" s="363">
        <f t="shared" si="188"/>
        <v>473.73472897191277</v>
      </c>
      <c r="D499" s="364">
        <f t="shared" si="189"/>
        <v>1.5686854392422538</v>
      </c>
      <c r="E499" s="364">
        <f t="shared" si="190"/>
        <v>1.10978440266905</v>
      </c>
      <c r="F499" s="365">
        <f t="shared" si="191"/>
        <v>0.44855216075997167</v>
      </c>
      <c r="G499" s="364">
        <f t="shared" si="192"/>
        <v>4.8356651712707306</v>
      </c>
      <c r="H499" s="365">
        <f t="shared" si="193"/>
        <v>-1.3624964945118667</v>
      </c>
      <c r="I499" s="363">
        <f t="shared" si="194"/>
        <v>96581.871534986101</v>
      </c>
      <c r="J499" s="366">
        <f t="shared" si="195"/>
        <v>1.5707859728849534</v>
      </c>
      <c r="K499" s="374">
        <f t="shared" si="211"/>
        <v>327.74682538447672</v>
      </c>
      <c r="L499" s="375">
        <f t="shared" si="212"/>
        <v>1.5677451864813183</v>
      </c>
      <c r="M499" s="363">
        <f t="shared" si="196"/>
        <v>1.4268618953392558</v>
      </c>
      <c r="N499" s="366">
        <f t="shared" si="197"/>
        <v>0.79422377344238315</v>
      </c>
      <c r="O499" s="367">
        <f t="shared" si="198"/>
        <v>1.0024256057095908</v>
      </c>
      <c r="P499" s="368">
        <f t="shared" si="199"/>
        <v>0.30971838144251829</v>
      </c>
      <c r="Q499" s="369">
        <f t="shared" si="200"/>
        <v>-8.8621571281355962</v>
      </c>
      <c r="R499" s="370">
        <f t="shared" si="201"/>
        <v>-205.66965884990955</v>
      </c>
      <c r="S499" s="372">
        <f t="shared" si="202"/>
        <v>-25.669658849909553</v>
      </c>
      <c r="U499" s="345">
        <f t="shared" si="208"/>
        <v>63830.5</v>
      </c>
      <c r="V499" s="345">
        <f t="shared" si="209"/>
        <v>4074332730.25</v>
      </c>
      <c r="X499" s="371">
        <f t="shared" si="203"/>
        <v>35.621893067771786</v>
      </c>
      <c r="Y499" s="372">
        <f t="shared" si="204"/>
        <v>-45.679894486728969</v>
      </c>
      <c r="AA499" s="371">
        <f t="shared" si="205"/>
        <v>27.557149630651864</v>
      </c>
      <c r="AB499" s="372">
        <f t="shared" si="206"/>
        <v>-159.9897643631806</v>
      </c>
      <c r="AD499">
        <f t="shared" si="210"/>
        <v>0</v>
      </c>
      <c r="AE499">
        <f t="shared" si="213"/>
        <v>0</v>
      </c>
    </row>
    <row r="500" spans="1:31" x14ac:dyDescent="0.3">
      <c r="A500" s="373">
        <v>64197.75</v>
      </c>
      <c r="B500" s="390">
        <f t="shared" si="207"/>
        <v>64.197749999999999</v>
      </c>
      <c r="C500" s="363">
        <f t="shared" si="188"/>
        <v>476.46035866632872</v>
      </c>
      <c r="D500" s="364">
        <f t="shared" si="189"/>
        <v>1.5686975147615763</v>
      </c>
      <c r="E500" s="364">
        <f t="shared" si="190"/>
        <v>1.1109880126685099</v>
      </c>
      <c r="F500" s="365">
        <f t="shared" si="191"/>
        <v>0.45079798256240383</v>
      </c>
      <c r="G500" s="364">
        <f t="shared" si="192"/>
        <v>4.8623007123616606</v>
      </c>
      <c r="H500" s="365">
        <f t="shared" si="193"/>
        <v>-1.3636542081406076</v>
      </c>
      <c r="I500" s="363">
        <f t="shared" si="194"/>
        <v>97137.557176136223</v>
      </c>
      <c r="J500" s="366">
        <f t="shared" si="195"/>
        <v>1.5707860321155873</v>
      </c>
      <c r="K500" s="374">
        <f t="shared" si="211"/>
        <v>329.63250549504977</v>
      </c>
      <c r="L500" s="375">
        <f t="shared" si="212"/>
        <v>1.5677626407438956</v>
      </c>
      <c r="M500" s="363">
        <f t="shared" si="196"/>
        <v>1.4310449688873292</v>
      </c>
      <c r="N500" s="366">
        <f t="shared" si="197"/>
        <v>0.79709168106089989</v>
      </c>
      <c r="O500" s="367">
        <f t="shared" si="198"/>
        <v>1.0024654956185677</v>
      </c>
      <c r="P500" s="368">
        <f t="shared" si="199"/>
        <v>0.31154733440116311</v>
      </c>
      <c r="Q500" s="369">
        <f t="shared" si="200"/>
        <v>-8.880634062910076</v>
      </c>
      <c r="R500" s="370">
        <f t="shared" si="201"/>
        <v>-205.87612034654975</v>
      </c>
      <c r="S500" s="372">
        <f t="shared" si="202"/>
        <v>-25.876120346549754</v>
      </c>
      <c r="U500" s="345">
        <f t="shared" si="208"/>
        <v>64197.75</v>
      </c>
      <c r="V500" s="345">
        <f t="shared" si="209"/>
        <v>4121351105.0625</v>
      </c>
      <c r="X500" s="371">
        <f t="shared" si="203"/>
        <v>35.596465786929492</v>
      </c>
      <c r="Y500" s="372">
        <f t="shared" si="204"/>
        <v>-45.843216827575169</v>
      </c>
      <c r="AA500" s="371">
        <f t="shared" si="205"/>
        <v>27.564099976719678</v>
      </c>
      <c r="AB500" s="372">
        <f t="shared" si="206"/>
        <v>-160.03290351897459</v>
      </c>
      <c r="AD500">
        <f t="shared" si="210"/>
        <v>0</v>
      </c>
      <c r="AE500">
        <f t="shared" si="213"/>
        <v>0</v>
      </c>
    </row>
    <row r="501" spans="1:31" x14ac:dyDescent="0.3">
      <c r="A501" s="373">
        <v>64565</v>
      </c>
      <c r="B501" s="390">
        <f t="shared" si="207"/>
        <v>64.564999999999998</v>
      </c>
      <c r="C501" s="363">
        <f t="shared" si="188"/>
        <v>479.18598842943095</v>
      </c>
      <c r="D501" s="364">
        <f t="shared" si="189"/>
        <v>1.5687094529087915</v>
      </c>
      <c r="E501" s="364">
        <f t="shared" si="190"/>
        <v>1.1121972140309069</v>
      </c>
      <c r="F501" s="365">
        <f t="shared" si="191"/>
        <v>0.45303893224919511</v>
      </c>
      <c r="G501" s="364">
        <f t="shared" si="192"/>
        <v>4.8889426993830973</v>
      </c>
      <c r="H501" s="365">
        <f t="shared" si="193"/>
        <v>-1.364799305514403</v>
      </c>
      <c r="I501" s="363">
        <f t="shared" si="194"/>
        <v>97693.242817286664</v>
      </c>
      <c r="J501" s="366">
        <f t="shared" si="195"/>
        <v>1.5707860906724056</v>
      </c>
      <c r="K501" s="374">
        <f t="shared" si="211"/>
        <v>331.51818570490337</v>
      </c>
      <c r="L501" s="375">
        <f t="shared" si="212"/>
        <v>1.567779896446285</v>
      </c>
      <c r="M501" s="363">
        <f t="shared" si="196"/>
        <v>1.4352397439628937</v>
      </c>
      <c r="N501" s="366">
        <f t="shared" si="197"/>
        <v>0.79994284794930992</v>
      </c>
      <c r="O501" s="367">
        <f t="shared" si="198"/>
        <v>1.0025058873700965</v>
      </c>
      <c r="P501" s="368">
        <f t="shared" si="199"/>
        <v>0.31337705732781401</v>
      </c>
      <c r="Q501" s="369">
        <f t="shared" si="200"/>
        <v>-8.8990434017442546</v>
      </c>
      <c r="R501" s="370">
        <f t="shared" si="201"/>
        <v>-206.08122654663833</v>
      </c>
      <c r="S501" s="372">
        <f t="shared" si="202"/>
        <v>-26.081226546638334</v>
      </c>
      <c r="U501" s="345">
        <f t="shared" si="208"/>
        <v>64565</v>
      </c>
      <c r="V501" s="345">
        <f t="shared" si="209"/>
        <v>4168639225</v>
      </c>
      <c r="X501" s="371">
        <f t="shared" si="203"/>
        <v>35.571041914003033</v>
      </c>
      <c r="Y501" s="372">
        <f t="shared" si="204"/>
        <v>-46.005591333293161</v>
      </c>
      <c r="AA501" s="371">
        <f t="shared" si="205"/>
        <v>27.571114510811967</v>
      </c>
      <c r="AB501" s="372">
        <f t="shared" si="206"/>
        <v>-160.07563521334515</v>
      </c>
      <c r="AD501">
        <f t="shared" si="210"/>
        <v>0</v>
      </c>
      <c r="AE501">
        <f t="shared" si="213"/>
        <v>0</v>
      </c>
    </row>
    <row r="502" spans="1:31" x14ac:dyDescent="0.3">
      <c r="A502" s="373">
        <v>64941</v>
      </c>
      <c r="B502" s="390">
        <f t="shared" si="207"/>
        <v>64.941000000000003</v>
      </c>
      <c r="C502" s="363">
        <f t="shared" si="188"/>
        <v>481.97655838617214</v>
      </c>
      <c r="D502" s="364">
        <f t="shared" si="189"/>
        <v>1.5687215356042037</v>
      </c>
      <c r="E502" s="364">
        <f t="shared" si="190"/>
        <v>1.1134409992547152</v>
      </c>
      <c r="F502" s="365">
        <f t="shared" si="191"/>
        <v>0.45532821969367082</v>
      </c>
      <c r="G502" s="364">
        <f t="shared" si="192"/>
        <v>4.9162260199376036</v>
      </c>
      <c r="H502" s="365">
        <f t="shared" si="193"/>
        <v>-1.3659588260245525</v>
      </c>
      <c r="I502" s="363">
        <f t="shared" si="194"/>
        <v>98262.168075483249</v>
      </c>
      <c r="J502" s="366">
        <f t="shared" si="195"/>
        <v>1.5707861499382325</v>
      </c>
      <c r="K502" s="374">
        <f t="shared" si="211"/>
        <v>333.4487937267773</v>
      </c>
      <c r="L502" s="375">
        <f t="shared" si="212"/>
        <v>1.5677973610832772</v>
      </c>
      <c r="M502" s="363">
        <f t="shared" si="196"/>
        <v>1.439546478847783</v>
      </c>
      <c r="N502" s="366">
        <f t="shared" si="197"/>
        <v>0.80284470683903286</v>
      </c>
      <c r="O502" s="367">
        <f t="shared" si="198"/>
        <v>1.0025477662624911</v>
      </c>
      <c r="P502" s="368">
        <f t="shared" si="199"/>
        <v>0.31525117586278761</v>
      </c>
      <c r="Q502" s="369">
        <f t="shared" si="200"/>
        <v>-8.9178215984688478</v>
      </c>
      <c r="R502" s="370">
        <f t="shared" si="201"/>
        <v>-206.28983405233484</v>
      </c>
      <c r="S502" s="372">
        <f t="shared" si="202"/>
        <v>-26.289834052334839</v>
      </c>
      <c r="U502" s="345">
        <f t="shared" si="208"/>
        <v>64941</v>
      </c>
      <c r="V502" s="345">
        <f t="shared" si="209"/>
        <v>4217333481</v>
      </c>
      <c r="X502" s="371">
        <f t="shared" si="203"/>
        <v>35.545016669126205</v>
      </c>
      <c r="Y502" s="372">
        <f t="shared" si="204"/>
        <v>-46.170858346297024</v>
      </c>
      <c r="AA502" s="371">
        <f t="shared" si="205"/>
        <v>27.57836155896419</v>
      </c>
      <c r="AB502" s="372">
        <f t="shared" si="206"/>
        <v>-160.11897570603784</v>
      </c>
      <c r="AD502">
        <f t="shared" si="210"/>
        <v>0</v>
      </c>
      <c r="AE502">
        <f t="shared" si="213"/>
        <v>0</v>
      </c>
    </row>
    <row r="503" spans="1:31" x14ac:dyDescent="0.3">
      <c r="A503" s="373">
        <v>65317</v>
      </c>
      <c r="B503" s="390">
        <f t="shared" si="207"/>
        <v>65.316999999999993</v>
      </c>
      <c r="C503" s="363">
        <f t="shared" si="188"/>
        <v>484.76712841246774</v>
      </c>
      <c r="D503" s="364">
        <f t="shared" si="189"/>
        <v>1.568733479191144</v>
      </c>
      <c r="E503" s="364">
        <f t="shared" si="190"/>
        <v>1.1146906068011606</v>
      </c>
      <c r="F503" s="365">
        <f t="shared" si="191"/>
        <v>0.45761238634259432</v>
      </c>
      <c r="G503" s="364">
        <f t="shared" si="192"/>
        <v>4.9435158773337422</v>
      </c>
      <c r="H503" s="365">
        <f t="shared" si="193"/>
        <v>-1.3671055461819572</v>
      </c>
      <c r="I503" s="363">
        <f t="shared" si="194"/>
        <v>98831.093333680168</v>
      </c>
      <c r="J503" s="366">
        <f t="shared" si="195"/>
        <v>1.5707862085217268</v>
      </c>
      <c r="K503" s="374">
        <f t="shared" si="211"/>
        <v>335.37940184918665</v>
      </c>
      <c r="L503" s="375">
        <f t="shared" si="212"/>
        <v>1.5678146246502636</v>
      </c>
      <c r="M503" s="363">
        <f t="shared" si="196"/>
        <v>1.4438652634695266</v>
      </c>
      <c r="N503" s="366">
        <f t="shared" si="197"/>
        <v>0.80572923023996668</v>
      </c>
      <c r="O503" s="367">
        <f t="shared" si="198"/>
        <v>1.0025901810916482</v>
      </c>
      <c r="P503" s="368">
        <f t="shared" si="199"/>
        <v>0.31712610841164174</v>
      </c>
      <c r="Q503" s="369">
        <f t="shared" si="200"/>
        <v>-8.9365294872175554</v>
      </c>
      <c r="R503" s="370">
        <f t="shared" si="201"/>
        <v>-206.49705845207018</v>
      </c>
      <c r="S503" s="372">
        <f t="shared" si="202"/>
        <v>-26.497058452070178</v>
      </c>
      <c r="U503" s="345">
        <f t="shared" si="208"/>
        <v>65317</v>
      </c>
      <c r="V503" s="345">
        <f t="shared" si="209"/>
        <v>4266310489</v>
      </c>
      <c r="X503" s="371">
        <f t="shared" si="203"/>
        <v>35.518996686929171</v>
      </c>
      <c r="Y503" s="372">
        <f t="shared" si="204"/>
        <v>-46.335143590324286</v>
      </c>
      <c r="AA503" s="371">
        <f t="shared" si="205"/>
        <v>27.585673652412517</v>
      </c>
      <c r="AB503" s="372">
        <f t="shared" si="206"/>
        <v>-160.16191486174588</v>
      </c>
      <c r="AD503">
        <f t="shared" si="210"/>
        <v>0</v>
      </c>
      <c r="AE503">
        <f t="shared" si="213"/>
        <v>0</v>
      </c>
    </row>
    <row r="504" spans="1:31" x14ac:dyDescent="0.3">
      <c r="A504" s="373">
        <v>65693</v>
      </c>
      <c r="B504" s="390">
        <f t="shared" si="207"/>
        <v>65.692999999999998</v>
      </c>
      <c r="C504" s="363">
        <f t="shared" si="188"/>
        <v>487.5576985071234</v>
      </c>
      <c r="D504" s="364">
        <f t="shared" si="189"/>
        <v>1.5687452860581996</v>
      </c>
      <c r="E504" s="364">
        <f t="shared" si="190"/>
        <v>1.1159460171111832</v>
      </c>
      <c r="F504" s="365">
        <f t="shared" si="191"/>
        <v>0.45989142560356838</v>
      </c>
      <c r="G504" s="364">
        <f t="shared" si="192"/>
        <v>4.9708121639093426</v>
      </c>
      <c r="H504" s="365">
        <f t="shared" si="193"/>
        <v>-1.368239673817953</v>
      </c>
      <c r="I504" s="363">
        <f t="shared" si="194"/>
        <v>99400.018591877422</v>
      </c>
      <c r="J504" s="366">
        <f t="shared" si="195"/>
        <v>1.5707862664346051</v>
      </c>
      <c r="K504" s="374">
        <f t="shared" si="211"/>
        <v>337.31001007040516</v>
      </c>
      <c r="L504" s="375">
        <f t="shared" si="212"/>
        <v>1.5678316905997318</v>
      </c>
      <c r="M504" s="363">
        <f t="shared" si="196"/>
        <v>1.4481959900245884</v>
      </c>
      <c r="N504" s="366">
        <f t="shared" si="197"/>
        <v>0.80859652545759686</v>
      </c>
      <c r="O504" s="367">
        <f t="shared" si="198"/>
        <v>1.0026331369050991</v>
      </c>
      <c r="P504" s="368">
        <f t="shared" si="199"/>
        <v>0.31900185844096912</v>
      </c>
      <c r="Q504" s="369">
        <f t="shared" si="200"/>
        <v>-8.9551673349861076</v>
      </c>
      <c r="R504" s="370">
        <f t="shared" si="201"/>
        <v>-206.70291831790607</v>
      </c>
      <c r="S504" s="372">
        <f t="shared" si="202"/>
        <v>-26.702918317906068</v>
      </c>
      <c r="U504" s="345">
        <f t="shared" si="208"/>
        <v>65693</v>
      </c>
      <c r="V504" s="345">
        <f t="shared" si="209"/>
        <v>4315570249</v>
      </c>
      <c r="X504" s="371">
        <f t="shared" si="203"/>
        <v>35.492982799240956</v>
      </c>
      <c r="Y504" s="372">
        <f t="shared" si="204"/>
        <v>-46.498453016384744</v>
      </c>
      <c r="AA504" s="371">
        <f t="shared" si="205"/>
        <v>27.593049692332187</v>
      </c>
      <c r="AB504" s="372">
        <f t="shared" si="206"/>
        <v>-160.20446530152137</v>
      </c>
      <c r="AD504">
        <f t="shared" si="210"/>
        <v>0</v>
      </c>
      <c r="AE504">
        <f t="shared" si="213"/>
        <v>0</v>
      </c>
    </row>
    <row r="505" spans="1:31" x14ac:dyDescent="0.3">
      <c r="A505" s="373">
        <v>66069</v>
      </c>
      <c r="B505" s="390">
        <f t="shared" si="207"/>
        <v>66.069000000000003</v>
      </c>
      <c r="C505" s="363">
        <f t="shared" si="188"/>
        <v>490.34826866897203</v>
      </c>
      <c r="D505" s="364">
        <f t="shared" si="189"/>
        <v>1.5687569585395844</v>
      </c>
      <c r="E505" s="364">
        <f t="shared" si="190"/>
        <v>1.1172072106230158</v>
      </c>
      <c r="F505" s="365">
        <f t="shared" si="191"/>
        <v>0.46216533112681119</v>
      </c>
      <c r="G505" s="364">
        <f t="shared" si="192"/>
        <v>4.9981147743290562</v>
      </c>
      <c r="H505" s="365">
        <f t="shared" si="193"/>
        <v>-1.3693614123538802</v>
      </c>
      <c r="I505" s="363">
        <f t="shared" si="194"/>
        <v>99968.943850075011</v>
      </c>
      <c r="J505" s="366">
        <f t="shared" si="195"/>
        <v>1.5707863236883166</v>
      </c>
      <c r="K505" s="374">
        <f t="shared" si="211"/>
        <v>339.24061838874599</v>
      </c>
      <c r="L505" s="375">
        <f t="shared" si="212"/>
        <v>1.5678485623055785</v>
      </c>
      <c r="M505" s="363">
        <f t="shared" si="196"/>
        <v>1.4525385516987728</v>
      </c>
      <c r="N505" s="366">
        <f t="shared" si="197"/>
        <v>0.8114466996526043</v>
      </c>
      <c r="O505" s="367">
        <f t="shared" si="198"/>
        <v>1.0026766387781718</v>
      </c>
      <c r="P505" s="368">
        <f t="shared" si="199"/>
        <v>0.32087842939463063</v>
      </c>
      <c r="Q505" s="369">
        <f t="shared" si="200"/>
        <v>-8.9737354027573648</v>
      </c>
      <c r="R505" s="370">
        <f t="shared" si="201"/>
        <v>-206.90743194710262</v>
      </c>
      <c r="S505" s="372">
        <f t="shared" si="202"/>
        <v>-26.907431947102623</v>
      </c>
      <c r="U505" s="345">
        <f t="shared" si="208"/>
        <v>66069</v>
      </c>
      <c r="V505" s="345">
        <f t="shared" si="209"/>
        <v>4365112761</v>
      </c>
      <c r="X505" s="371">
        <f t="shared" si="203"/>
        <v>35.46697582245281</v>
      </c>
      <c r="Y505" s="372">
        <f t="shared" si="204"/>
        <v>-46.660792571679096</v>
      </c>
      <c r="AA505" s="371">
        <f t="shared" si="205"/>
        <v>27.600488601349078</v>
      </c>
      <c r="AB505" s="372">
        <f t="shared" si="206"/>
        <v>-160.24663937542351</v>
      </c>
      <c r="AD505">
        <f t="shared" si="210"/>
        <v>0</v>
      </c>
      <c r="AE505">
        <f t="shared" si="213"/>
        <v>0</v>
      </c>
    </row>
    <row r="506" spans="1:31" x14ac:dyDescent="0.3">
      <c r="A506" s="373">
        <v>66453.75</v>
      </c>
      <c r="B506" s="390">
        <f t="shared" si="207"/>
        <v>66.453749999999999</v>
      </c>
      <c r="C506" s="363">
        <f t="shared" si="188"/>
        <v>493.20377902928379</v>
      </c>
      <c r="D506" s="364">
        <f t="shared" si="189"/>
        <v>1.5687687659211018</v>
      </c>
      <c r="E506" s="364">
        <f t="shared" si="190"/>
        <v>1.1185037199506571</v>
      </c>
      <c r="F506" s="365">
        <f t="shared" si="191"/>
        <v>0.46448683263232049</v>
      </c>
      <c r="G506" s="364">
        <f t="shared" si="192"/>
        <v>5.0260591901396152</v>
      </c>
      <c r="H506" s="365">
        <f t="shared" si="193"/>
        <v>-1.3704966379617023</v>
      </c>
      <c r="I506" s="363">
        <f t="shared" si="194"/>
        <v>100551.10872531874</v>
      </c>
      <c r="J506" s="366">
        <f t="shared" si="195"/>
        <v>1.5707863816037129</v>
      </c>
      <c r="K506" s="374">
        <f t="shared" si="211"/>
        <v>341.21615452607995</v>
      </c>
      <c r="L506" s="375">
        <f t="shared" si="212"/>
        <v>1.5678656290004485</v>
      </c>
      <c r="M506" s="363">
        <f t="shared" si="196"/>
        <v>1.4569943113804891</v>
      </c>
      <c r="N506" s="366">
        <f t="shared" si="197"/>
        <v>0.81434558935847512</v>
      </c>
      <c r="O506" s="367">
        <f t="shared" si="198"/>
        <v>1.0027217235878554</v>
      </c>
      <c r="P506" s="368">
        <f t="shared" si="199"/>
        <v>0.32279952392120648</v>
      </c>
      <c r="Q506" s="369">
        <f t="shared" si="200"/>
        <v>-8.9926636049142132</v>
      </c>
      <c r="R506" s="370">
        <f t="shared" si="201"/>
        <v>-207.1153300807529</v>
      </c>
      <c r="S506" s="372">
        <f t="shared" si="202"/>
        <v>-27.115330080752898</v>
      </c>
      <c r="U506" s="345">
        <f t="shared" si="208"/>
        <v>66453.75</v>
      </c>
      <c r="V506" s="345">
        <f t="shared" si="209"/>
        <v>4416100889.0625</v>
      </c>
      <c r="X506" s="371">
        <f t="shared" si="203"/>
        <v>35.440371619800871</v>
      </c>
      <c r="Y506" s="372">
        <f t="shared" si="204"/>
        <v>-46.82591218600956</v>
      </c>
      <c r="AA506" s="371">
        <f t="shared" si="205"/>
        <v>27.608164601844166</v>
      </c>
      <c r="AB506" s="372">
        <f t="shared" si="206"/>
        <v>-160.28941789474334</v>
      </c>
      <c r="AD506">
        <f t="shared" si="210"/>
        <v>0</v>
      </c>
      <c r="AE506">
        <f t="shared" si="213"/>
        <v>0</v>
      </c>
    </row>
    <row r="507" spans="1:31" x14ac:dyDescent="0.3">
      <c r="A507" s="373">
        <v>66838.5</v>
      </c>
      <c r="B507" s="390">
        <f t="shared" si="207"/>
        <v>66.838499999999996</v>
      </c>
      <c r="C507" s="363">
        <f t="shared" si="188"/>
        <v>496.05928945756352</v>
      </c>
      <c r="D507" s="364">
        <f t="shared" si="189"/>
        <v>1.5687804373668497</v>
      </c>
      <c r="E507" s="364">
        <f t="shared" si="190"/>
        <v>1.1198062433304361</v>
      </c>
      <c r="F507" s="365">
        <f t="shared" si="191"/>
        <v>0.46680294600110478</v>
      </c>
      <c r="G507" s="364">
        <f t="shared" si="192"/>
        <v>5.0540100115870059</v>
      </c>
      <c r="H507" s="365">
        <f t="shared" si="193"/>
        <v>-1.3716193084437229</v>
      </c>
      <c r="I507" s="363">
        <f t="shared" si="194"/>
        <v>101133.27360056282</v>
      </c>
      <c r="J507" s="366">
        <f t="shared" si="195"/>
        <v>1.5707864388523392</v>
      </c>
      <c r="K507" s="374">
        <f t="shared" si="211"/>
        <v>343.19169076165639</v>
      </c>
      <c r="L507" s="375">
        <f t="shared" si="212"/>
        <v>1.5678824992111131</v>
      </c>
      <c r="M507" s="363">
        <f t="shared" si="196"/>
        <v>1.4614622402841815</v>
      </c>
      <c r="N507" s="366">
        <f t="shared" si="197"/>
        <v>0.81722677839438229</v>
      </c>
      <c r="O507" s="367">
        <f t="shared" si="198"/>
        <v>1.0027673910091368</v>
      </c>
      <c r="P507" s="368">
        <f t="shared" si="199"/>
        <v>0.32472148524697125</v>
      </c>
      <c r="Q507" s="369">
        <f t="shared" si="200"/>
        <v>-9.0115192771450925</v>
      </c>
      <c r="R507" s="370">
        <f t="shared" si="201"/>
        <v>-207.32185649739424</v>
      </c>
      <c r="S507" s="372">
        <f t="shared" si="202"/>
        <v>-27.321856497394236</v>
      </c>
      <c r="U507" s="345">
        <f t="shared" si="208"/>
        <v>66838.5</v>
      </c>
      <c r="V507" s="345">
        <f t="shared" si="209"/>
        <v>4467385082.25</v>
      </c>
      <c r="X507" s="371">
        <f t="shared" si="203"/>
        <v>35.413776334350267</v>
      </c>
      <c r="Y507" s="372">
        <f t="shared" si="204"/>
        <v>-46.990028846168038</v>
      </c>
      <c r="AA507" s="371">
        <f t="shared" si="205"/>
        <v>27.615904215063889</v>
      </c>
      <c r="AB507" s="372">
        <f t="shared" si="206"/>
        <v>-160.33182765122618</v>
      </c>
      <c r="AD507">
        <f t="shared" si="210"/>
        <v>0</v>
      </c>
      <c r="AE507">
        <f t="shared" si="213"/>
        <v>0</v>
      </c>
    </row>
    <row r="508" spans="1:31" x14ac:dyDescent="0.3">
      <c r="A508" s="373">
        <v>67223.25</v>
      </c>
      <c r="B508" s="390">
        <f t="shared" si="207"/>
        <v>67.223249999999993</v>
      </c>
      <c r="C508" s="363">
        <f t="shared" si="188"/>
        <v>498.91479995264427</v>
      </c>
      <c r="D508" s="364">
        <f t="shared" si="189"/>
        <v>1.5687919752108865</v>
      </c>
      <c r="E508" s="364">
        <f t="shared" si="190"/>
        <v>1.1211147598007782</v>
      </c>
      <c r="F508" s="365">
        <f t="shared" si="191"/>
        <v>0.46911366520749276</v>
      </c>
      <c r="G508" s="364">
        <f t="shared" si="192"/>
        <v>5.081967132978213</v>
      </c>
      <c r="H508" s="365">
        <f t="shared" si="193"/>
        <v>-1.3727296281526216</v>
      </c>
      <c r="I508" s="363">
        <f t="shared" si="194"/>
        <v>101715.43847580724</v>
      </c>
      <c r="J508" s="366">
        <f t="shared" si="195"/>
        <v>1.5707864954456443</v>
      </c>
      <c r="K508" s="374">
        <f t="shared" si="211"/>
        <v>345.16722709378854</v>
      </c>
      <c r="L508" s="375">
        <f t="shared" si="212"/>
        <v>1.5678991763112466</v>
      </c>
      <c r="M508" s="363">
        <f t="shared" si="196"/>
        <v>1.4659422271410378</v>
      </c>
      <c r="N508" s="366">
        <f t="shared" si="197"/>
        <v>0.82009038098861931</v>
      </c>
      <c r="O508" s="367">
        <f t="shared" si="198"/>
        <v>1.0028136465701469</v>
      </c>
      <c r="P508" s="368">
        <f t="shared" si="199"/>
        <v>0.32664431698689272</v>
      </c>
      <c r="Q508" s="369">
        <f t="shared" si="200"/>
        <v>-9.0303026824791282</v>
      </c>
      <c r="R508" s="370">
        <f t="shared" si="201"/>
        <v>-207.52702994383009</v>
      </c>
      <c r="S508" s="372">
        <f t="shared" si="202"/>
        <v>-27.527029943830087</v>
      </c>
      <c r="U508" s="345">
        <f t="shared" si="208"/>
        <v>67223.25</v>
      </c>
      <c r="V508" s="345">
        <f t="shared" si="209"/>
        <v>4518965340.5625</v>
      </c>
      <c r="X508" s="371">
        <f t="shared" si="203"/>
        <v>35.387190791927779</v>
      </c>
      <c r="Y508" s="372">
        <f t="shared" si="204"/>
        <v>-47.153148904312275</v>
      </c>
      <c r="AA508" s="371">
        <f t="shared" si="205"/>
        <v>27.62370635215234</v>
      </c>
      <c r="AB508" s="372">
        <f t="shared" si="206"/>
        <v>-160.37388103951778</v>
      </c>
      <c r="AD508">
        <f t="shared" si="210"/>
        <v>0</v>
      </c>
      <c r="AE508">
        <f t="shared" si="213"/>
        <v>0</v>
      </c>
    </row>
    <row r="509" spans="1:31" x14ac:dyDescent="0.3">
      <c r="A509" s="373">
        <v>67608</v>
      </c>
      <c r="B509" s="390">
        <f t="shared" si="207"/>
        <v>67.608000000000004</v>
      </c>
      <c r="C509" s="363">
        <f t="shared" si="188"/>
        <v>501.77031051338554</v>
      </c>
      <c r="D509" s="364">
        <f t="shared" si="189"/>
        <v>1.56880338173414</v>
      </c>
      <c r="E509" s="364">
        <f t="shared" si="190"/>
        <v>1.1224292484016338</v>
      </c>
      <c r="F509" s="365">
        <f t="shared" si="191"/>
        <v>0.47141898448425951</v>
      </c>
      <c r="G509" s="364">
        <f t="shared" si="192"/>
        <v>5.1099304509097019</v>
      </c>
      <c r="H509" s="365">
        <f t="shared" si="193"/>
        <v>-1.3738277970912498</v>
      </c>
      <c r="I509" s="363">
        <f t="shared" si="194"/>
        <v>102297.60335105195</v>
      </c>
      <c r="J509" s="366">
        <f t="shared" si="195"/>
        <v>1.5707865513948163</v>
      </c>
      <c r="K509" s="374">
        <f t="shared" si="211"/>
        <v>347.14276352082794</v>
      </c>
      <c r="L509" s="375">
        <f t="shared" si="212"/>
        <v>1.5679156635977274</v>
      </c>
      <c r="M509" s="363">
        <f t="shared" si="196"/>
        <v>1.4704341617397934</v>
      </c>
      <c r="N509" s="366">
        <f t="shared" si="197"/>
        <v>0.82293651113301158</v>
      </c>
      <c r="O509" s="367">
        <f t="shared" si="198"/>
        <v>1.0028604958293399</v>
      </c>
      <c r="P509" s="368">
        <f t="shared" si="199"/>
        <v>0.32856802273030961</v>
      </c>
      <c r="Q509" s="369">
        <f t="shared" si="200"/>
        <v>-9.0490140792597398</v>
      </c>
      <c r="R509" s="370">
        <f t="shared" si="201"/>
        <v>-207.73086888915316</v>
      </c>
      <c r="S509" s="372">
        <f t="shared" si="202"/>
        <v>-27.730868889153157</v>
      </c>
      <c r="U509" s="345">
        <f t="shared" si="208"/>
        <v>67608</v>
      </c>
      <c r="V509" s="345">
        <f t="shared" si="209"/>
        <v>4570841664</v>
      </c>
      <c r="X509" s="371">
        <f t="shared" si="203"/>
        <v>35.360615802312012</v>
      </c>
      <c r="Y509" s="372">
        <f t="shared" si="204"/>
        <v>-47.315278703436633</v>
      </c>
      <c r="AA509" s="371">
        <f t="shared" si="205"/>
        <v>27.631569944987497</v>
      </c>
      <c r="AB509" s="372">
        <f t="shared" si="206"/>
        <v>-160.41559018571652</v>
      </c>
      <c r="AD509">
        <f t="shared" si="210"/>
        <v>0</v>
      </c>
      <c r="AE509">
        <f t="shared" si="213"/>
        <v>0</v>
      </c>
    </row>
    <row r="510" spans="1:31" x14ac:dyDescent="0.3">
      <c r="A510" s="373">
        <v>68001.75</v>
      </c>
      <c r="B510" s="390">
        <f t="shared" si="207"/>
        <v>68.001750000000001</v>
      </c>
      <c r="C510" s="363">
        <f t="shared" si="188"/>
        <v>504.69261670961856</v>
      </c>
      <c r="D510" s="364">
        <f t="shared" si="189"/>
        <v>1.5688149214380127</v>
      </c>
      <c r="E510" s="364">
        <f t="shared" si="190"/>
        <v>1.1237806467190457</v>
      </c>
      <c r="F510" s="365">
        <f t="shared" si="191"/>
        <v>0.47377263273143028</v>
      </c>
      <c r="G510" s="364">
        <f t="shared" si="192"/>
        <v>5.1385541916431388</v>
      </c>
      <c r="H510" s="365">
        <f t="shared" si="193"/>
        <v>-1.3749392779989349</v>
      </c>
      <c r="I510" s="363">
        <f t="shared" si="194"/>
        <v>102893.3861181156</v>
      </c>
      <c r="J510" s="366">
        <f t="shared" si="195"/>
        <v>1.5707866079972388</v>
      </c>
      <c r="K510" s="374">
        <f t="shared" si="211"/>
        <v>349.16451142285996</v>
      </c>
      <c r="L510" s="375">
        <f t="shared" si="212"/>
        <v>1.5679323433877825</v>
      </c>
      <c r="M510" s="363">
        <f t="shared" si="196"/>
        <v>1.4750434271660058</v>
      </c>
      <c r="N510" s="366">
        <f t="shared" si="197"/>
        <v>0.82583124579841083</v>
      </c>
      <c r="O510" s="367">
        <f t="shared" si="198"/>
        <v>1.0029090615014304</v>
      </c>
      <c r="P510" s="368">
        <f t="shared" si="199"/>
        <v>0.33053763606603848</v>
      </c>
      <c r="Q510" s="369">
        <f t="shared" si="200"/>
        <v>-9.0680888797506949</v>
      </c>
      <c r="R510" s="370">
        <f t="shared" si="201"/>
        <v>-207.93811329177129</v>
      </c>
      <c r="S510" s="372">
        <f t="shared" si="202"/>
        <v>-27.938113291771288</v>
      </c>
      <c r="U510" s="345">
        <f t="shared" si="208"/>
        <v>68001.75</v>
      </c>
      <c r="V510" s="345">
        <f t="shared" si="209"/>
        <v>4624238003.0625</v>
      </c>
      <c r="X510" s="371">
        <f t="shared" si="203"/>
        <v>35.333430929819045</v>
      </c>
      <c r="Y510" s="372">
        <f t="shared" si="204"/>
        <v>-47.480182344269259</v>
      </c>
      <c r="AA510" s="371">
        <f t="shared" si="205"/>
        <v>27.639680016989516</v>
      </c>
      <c r="AB510" s="372">
        <f t="shared" si="206"/>
        <v>-160.45793094750206</v>
      </c>
      <c r="AD510">
        <f t="shared" si="210"/>
        <v>0</v>
      </c>
      <c r="AE510">
        <f t="shared" si="213"/>
        <v>0</v>
      </c>
    </row>
    <row r="511" spans="1:31" x14ac:dyDescent="0.3">
      <c r="A511" s="373">
        <v>68395.5</v>
      </c>
      <c r="B511" s="390">
        <f t="shared" si="207"/>
        <v>68.395499999999998</v>
      </c>
      <c r="C511" s="363">
        <f t="shared" si="188"/>
        <v>507.61492297228506</v>
      </c>
      <c r="D511" s="364">
        <f t="shared" si="189"/>
        <v>1.5688263282752302</v>
      </c>
      <c r="E511" s="364">
        <f t="shared" si="190"/>
        <v>1.1251382554246372</v>
      </c>
      <c r="F511" s="365">
        <f t="shared" si="191"/>
        <v>0.476120614064929</v>
      </c>
      <c r="G511" s="364">
        <f t="shared" si="192"/>
        <v>5.1671842101584096</v>
      </c>
      <c r="H511" s="365">
        <f t="shared" si="193"/>
        <v>-1.3760384434010215</v>
      </c>
      <c r="I511" s="363">
        <f t="shared" si="194"/>
        <v>103489.16888517958</v>
      </c>
      <c r="J511" s="366">
        <f t="shared" si="195"/>
        <v>1.5707866639479457</v>
      </c>
      <c r="K511" s="374">
        <f t="shared" si="211"/>
        <v>351.18625942091643</v>
      </c>
      <c r="L511" s="375">
        <f t="shared" si="212"/>
        <v>1.5679488311297127</v>
      </c>
      <c r="M511" s="363">
        <f t="shared" si="196"/>
        <v>1.4796649756365656</v>
      </c>
      <c r="N511" s="366">
        <f t="shared" si="197"/>
        <v>0.82870792176041741</v>
      </c>
      <c r="O511" s="367">
        <f t="shared" si="198"/>
        <v>1.0029582608482703</v>
      </c>
      <c r="P511" s="368">
        <f t="shared" si="199"/>
        <v>0.33250817229595331</v>
      </c>
      <c r="Q511" s="369">
        <f t="shared" si="200"/>
        <v>-9.0870887976870698</v>
      </c>
      <c r="R511" s="370">
        <f t="shared" si="201"/>
        <v>-208.14399830209268</v>
      </c>
      <c r="S511" s="372">
        <f t="shared" si="202"/>
        <v>-28.143998302092683</v>
      </c>
      <c r="U511" s="345">
        <f t="shared" si="208"/>
        <v>68395.5</v>
      </c>
      <c r="V511" s="345">
        <f t="shared" si="209"/>
        <v>4677944420.25</v>
      </c>
      <c r="X511" s="371">
        <f t="shared" si="203"/>
        <v>35.306258775123723</v>
      </c>
      <c r="Y511" s="372">
        <f t="shared" si="204"/>
        <v>-47.644062263819308</v>
      </c>
      <c r="AA511" s="371">
        <f t="shared" si="205"/>
        <v>27.647852253748454</v>
      </c>
      <c r="AB511" s="372">
        <f t="shared" si="206"/>
        <v>-160.49993603827332</v>
      </c>
      <c r="AD511">
        <f t="shared" si="210"/>
        <v>0</v>
      </c>
      <c r="AE511">
        <f t="shared" si="213"/>
        <v>0</v>
      </c>
    </row>
    <row r="512" spans="1:31" x14ac:dyDescent="0.3">
      <c r="A512" s="373">
        <v>68789.25</v>
      </c>
      <c r="B512" s="390">
        <f t="shared" si="207"/>
        <v>68.789249999999996</v>
      </c>
      <c r="C512" s="363">
        <f t="shared" si="188"/>
        <v>510.53722930024412</v>
      </c>
      <c r="D512" s="364">
        <f t="shared" si="189"/>
        <v>1.5688376045273686</v>
      </c>
      <c r="E512" s="364">
        <f t="shared" si="190"/>
        <v>1.1265020520649822</v>
      </c>
      <c r="F512" s="365">
        <f t="shared" si="191"/>
        <v>0.4784629231312168</v>
      </c>
      <c r="G512" s="364">
        <f t="shared" si="192"/>
        <v>5.195820402679983</v>
      </c>
      <c r="H512" s="365">
        <f t="shared" si="193"/>
        <v>-1.3771254942460345</v>
      </c>
      <c r="I512" s="363">
        <f t="shared" si="194"/>
        <v>104084.95165224386</v>
      </c>
      <c r="J512" s="366">
        <f t="shared" si="195"/>
        <v>1.5707867192581284</v>
      </c>
      <c r="K512" s="374">
        <f t="shared" si="211"/>
        <v>353.20800751334843</v>
      </c>
      <c r="L512" s="375">
        <f t="shared" si="212"/>
        <v>1.5679651301213353</v>
      </c>
      <c r="M512" s="363">
        <f t="shared" si="196"/>
        <v>1.4842986924171218</v>
      </c>
      <c r="N512" s="366">
        <f t="shared" si="197"/>
        <v>0.83156666031402915</v>
      </c>
      <c r="O512" s="367">
        <f t="shared" si="198"/>
        <v>1.003008099925959</v>
      </c>
      <c r="P512" s="368">
        <f t="shared" si="199"/>
        <v>0.33447963518266161</v>
      </c>
      <c r="Q512" s="369">
        <f t="shared" si="200"/>
        <v>-9.1060140973777735</v>
      </c>
      <c r="R512" s="370">
        <f t="shared" si="201"/>
        <v>-208.34854284804254</v>
      </c>
      <c r="S512" s="372">
        <f t="shared" si="202"/>
        <v>-28.348542848042541</v>
      </c>
      <c r="U512" s="345">
        <f t="shared" si="208"/>
        <v>68789.25</v>
      </c>
      <c r="V512" s="345">
        <f t="shared" si="209"/>
        <v>4731960915.5625</v>
      </c>
      <c r="X512" s="371">
        <f t="shared" si="203"/>
        <v>35.279100155401075</v>
      </c>
      <c r="Y512" s="372">
        <f t="shared" si="204"/>
        <v>-47.806925223468411</v>
      </c>
      <c r="AA512" s="371">
        <f t="shared" si="205"/>
        <v>27.656085573780405</v>
      </c>
      <c r="AB512" s="372">
        <f t="shared" si="206"/>
        <v>-160.54161762457414</v>
      </c>
      <c r="AD512">
        <f t="shared" si="210"/>
        <v>0</v>
      </c>
      <c r="AE512">
        <f t="shared" si="213"/>
        <v>0</v>
      </c>
    </row>
    <row r="513" spans="1:31" x14ac:dyDescent="0.3">
      <c r="A513" s="373">
        <v>69183</v>
      </c>
      <c r="B513" s="390">
        <f t="shared" si="207"/>
        <v>69.183000000000007</v>
      </c>
      <c r="C513" s="363">
        <f t="shared" si="188"/>
        <v>513.45953569238111</v>
      </c>
      <c r="D513" s="364">
        <f t="shared" si="189"/>
        <v>1.5688487524240631</v>
      </c>
      <c r="E513" s="364">
        <f t="shared" si="190"/>
        <v>1.1278720141931604</v>
      </c>
      <c r="F513" s="365">
        <f t="shared" si="191"/>
        <v>0.48079955485155057</v>
      </c>
      <c r="G513" s="364">
        <f t="shared" si="192"/>
        <v>5.2244626676854384</v>
      </c>
      <c r="H513" s="365">
        <f t="shared" si="193"/>
        <v>-1.3782006271917839</v>
      </c>
      <c r="I513" s="363">
        <f t="shared" si="194"/>
        <v>104680.73441930847</v>
      </c>
      <c r="J513" s="366">
        <f t="shared" si="195"/>
        <v>1.5707867739387233</v>
      </c>
      <c r="K513" s="374">
        <f t="shared" si="211"/>
        <v>355.22975569854458</v>
      </c>
      <c r="L513" s="375">
        <f t="shared" si="212"/>
        <v>1.5679812435853917</v>
      </c>
      <c r="M513" s="363">
        <f t="shared" si="196"/>
        <v>1.4889444639013545</v>
      </c>
      <c r="N513" s="366">
        <f t="shared" si="197"/>
        <v>0.83440758241907986</v>
      </c>
      <c r="O513" s="367">
        <f t="shared" si="198"/>
        <v>1.0030585848236784</v>
      </c>
      <c r="P513" s="368">
        <f t="shared" si="199"/>
        <v>0.33645202845986022</v>
      </c>
      <c r="Q513" s="369">
        <f t="shared" si="200"/>
        <v>-9.1248650397014082</v>
      </c>
      <c r="R513" s="370">
        <f t="shared" si="201"/>
        <v>-208.55176557641306</v>
      </c>
      <c r="S513" s="372">
        <f t="shared" si="202"/>
        <v>-28.551765576413061</v>
      </c>
      <c r="U513" s="345">
        <f t="shared" si="208"/>
        <v>69183</v>
      </c>
      <c r="V513" s="345">
        <f t="shared" si="209"/>
        <v>4786287489</v>
      </c>
      <c r="X513" s="371">
        <f t="shared" si="203"/>
        <v>35.251955871188827</v>
      </c>
      <c r="Y513" s="372">
        <f t="shared" si="204"/>
        <v>-47.968777969681724</v>
      </c>
      <c r="AA513" s="371">
        <f t="shared" si="205"/>
        <v>27.664378915669019</v>
      </c>
      <c r="AB513" s="372">
        <f t="shared" si="206"/>
        <v>-160.58298760673128</v>
      </c>
      <c r="AD513">
        <f t="shared" si="210"/>
        <v>0</v>
      </c>
      <c r="AE513">
        <f t="shared" si="213"/>
        <v>0</v>
      </c>
    </row>
    <row r="514" spans="1:31" x14ac:dyDescent="0.3">
      <c r="A514" s="373">
        <v>69586</v>
      </c>
      <c r="B514" s="390">
        <f t="shared" si="207"/>
        <v>69.585999999999999</v>
      </c>
      <c r="C514" s="363">
        <f t="shared" si="188"/>
        <v>516.45049315714562</v>
      </c>
      <c r="D514" s="364">
        <f t="shared" si="189"/>
        <v>1.5688600315679131</v>
      </c>
      <c r="E514" s="364">
        <f t="shared" si="190"/>
        <v>1.1292805205897753</v>
      </c>
      <c r="F514" s="365">
        <f t="shared" si="191"/>
        <v>0.48318519488703127</v>
      </c>
      <c r="G514" s="364">
        <f t="shared" si="192"/>
        <v>5.2537839830918172</v>
      </c>
      <c r="H514" s="365">
        <f t="shared" si="193"/>
        <v>-1.3792888769278773</v>
      </c>
      <c r="I514" s="363">
        <f t="shared" si="194"/>
        <v>105290.51335296474</v>
      </c>
      <c r="J514" s="366">
        <f t="shared" si="195"/>
        <v>1.5707868292630851</v>
      </c>
      <c r="K514" s="374">
        <f t="shared" si="211"/>
        <v>357.29899901488756</v>
      </c>
      <c r="L514" s="375">
        <f t="shared" si="212"/>
        <v>1.5679975467583263</v>
      </c>
      <c r="M514" s="363">
        <f t="shared" si="196"/>
        <v>1.4937117395723627</v>
      </c>
      <c r="N514" s="366">
        <f t="shared" si="197"/>
        <v>0.83729692033028524</v>
      </c>
      <c r="O514" s="367">
        <f t="shared" si="198"/>
        <v>1.0031109308610131</v>
      </c>
      <c r="P514" s="368">
        <f t="shared" si="199"/>
        <v>0.33847172462357639</v>
      </c>
      <c r="Q514" s="369">
        <f t="shared" si="200"/>
        <v>-9.144082100512982</v>
      </c>
      <c r="R514" s="370">
        <f t="shared" si="201"/>
        <v>-208.75841283628171</v>
      </c>
      <c r="S514" s="372">
        <f t="shared" si="202"/>
        <v>-28.758412836281707</v>
      </c>
      <c r="U514" s="345">
        <f t="shared" si="208"/>
        <v>69586</v>
      </c>
      <c r="V514" s="345">
        <f t="shared" si="209"/>
        <v>4842211396</v>
      </c>
      <c r="X514" s="371">
        <f t="shared" si="203"/>
        <v>35.224189574598839</v>
      </c>
      <c r="Y514" s="372">
        <f t="shared" si="204"/>
        <v>-48.133393904619666</v>
      </c>
      <c r="AA514" s="371">
        <f t="shared" si="205"/>
        <v>27.672928151447426</v>
      </c>
      <c r="AB514" s="372">
        <f t="shared" si="206"/>
        <v>-160.62501893166205</v>
      </c>
      <c r="AD514">
        <f t="shared" si="210"/>
        <v>0</v>
      </c>
      <c r="AE514">
        <f t="shared" si="213"/>
        <v>0</v>
      </c>
    </row>
    <row r="515" spans="1:31" x14ac:dyDescent="0.3">
      <c r="A515" s="373">
        <v>69989</v>
      </c>
      <c r="B515" s="390">
        <f t="shared" si="207"/>
        <v>69.989000000000004</v>
      </c>
      <c r="C515" s="363">
        <f t="shared" si="188"/>
        <v>519.44145068685577</v>
      </c>
      <c r="D515" s="364">
        <f t="shared" si="189"/>
        <v>1.5688711808205509</v>
      </c>
      <c r="E515" s="364">
        <f t="shared" si="190"/>
        <v>1.1306954380025527</v>
      </c>
      <c r="F515" s="365">
        <f t="shared" si="191"/>
        <v>0.48556487780498864</v>
      </c>
      <c r="G515" s="364">
        <f t="shared" si="192"/>
        <v>5.283111451420357</v>
      </c>
      <c r="H515" s="365">
        <f t="shared" si="193"/>
        <v>-1.3803650458004899</v>
      </c>
      <c r="I515" s="363">
        <f t="shared" si="194"/>
        <v>105900.29228662135</v>
      </c>
      <c r="J515" s="366">
        <f t="shared" si="195"/>
        <v>1.5707868839503263</v>
      </c>
      <c r="K515" s="374">
        <f t="shared" si="211"/>
        <v>359.36824242510465</v>
      </c>
      <c r="L515" s="375">
        <f t="shared" si="212"/>
        <v>1.5680136621838281</v>
      </c>
      <c r="M515" s="363">
        <f t="shared" si="196"/>
        <v>1.4984914057539414</v>
      </c>
      <c r="N515" s="366">
        <f t="shared" si="197"/>
        <v>0.84016785011652328</v>
      </c>
      <c r="O515" s="367">
        <f t="shared" si="198"/>
        <v>1.0031639664311454</v>
      </c>
      <c r="P515" s="368">
        <f t="shared" si="199"/>
        <v>0.34049240322543933</v>
      </c>
      <c r="Q515" s="369">
        <f t="shared" si="200"/>
        <v>-9.1632218128614689</v>
      </c>
      <c r="R515" s="370">
        <f t="shared" si="201"/>
        <v>-208.96371409145371</v>
      </c>
      <c r="S515" s="372">
        <f t="shared" si="202"/>
        <v>-28.96371409145371</v>
      </c>
      <c r="U515" s="345">
        <f t="shared" si="208"/>
        <v>69989</v>
      </c>
      <c r="V515" s="345">
        <f t="shared" si="209"/>
        <v>4898460121</v>
      </c>
      <c r="X515" s="371">
        <f t="shared" si="203"/>
        <v>35.196439939510135</v>
      </c>
      <c r="Y515" s="372">
        <f t="shared" si="204"/>
        <v>-48.296965852318188</v>
      </c>
      <c r="AA515" s="371">
        <f t="shared" si="205"/>
        <v>27.681538074187642</v>
      </c>
      <c r="AB515" s="372">
        <f t="shared" si="206"/>
        <v>-160.66674823913544</v>
      </c>
      <c r="AD515">
        <f t="shared" si="210"/>
        <v>0</v>
      </c>
      <c r="AE515">
        <f t="shared" si="213"/>
        <v>0</v>
      </c>
    </row>
    <row r="516" spans="1:31" x14ac:dyDescent="0.3">
      <c r="A516" s="373">
        <v>70392</v>
      </c>
      <c r="B516" s="390">
        <f t="shared" si="207"/>
        <v>70.391999999999996</v>
      </c>
      <c r="C516" s="363">
        <f t="shared" si="188"/>
        <v>522.43240828039609</v>
      </c>
      <c r="D516" s="364">
        <f t="shared" si="189"/>
        <v>1.5688822024128792</v>
      </c>
      <c r="E516" s="364">
        <f t="shared" si="190"/>
        <v>1.1321167423940641</v>
      </c>
      <c r="F516" s="365">
        <f t="shared" si="191"/>
        <v>0.48793859903982728</v>
      </c>
      <c r="G516" s="364">
        <f t="shared" si="192"/>
        <v>5.3124449707690333</v>
      </c>
      <c r="H516" s="365">
        <f t="shared" si="193"/>
        <v>-1.3814293314153385</v>
      </c>
      <c r="I516" s="363">
        <f t="shared" si="194"/>
        <v>106510.07122027826</v>
      </c>
      <c r="J516" s="366">
        <f t="shared" si="195"/>
        <v>1.5707869380113895</v>
      </c>
      <c r="K516" s="374">
        <f t="shared" si="211"/>
        <v>361.4374859275834</v>
      </c>
      <c r="L516" s="375">
        <f t="shared" si="212"/>
        <v>1.5680295930864732</v>
      </c>
      <c r="M516" s="363">
        <f t="shared" si="196"/>
        <v>1.5032833442597839</v>
      </c>
      <c r="N516" s="366">
        <f t="shared" si="197"/>
        <v>0.84302050026181263</v>
      </c>
      <c r="O516" s="367">
        <f t="shared" si="198"/>
        <v>1.0032176981699019</v>
      </c>
      <c r="P516" s="368">
        <f t="shared" si="199"/>
        <v>0.34251406817309832</v>
      </c>
      <c r="Q516" s="369">
        <f t="shared" si="200"/>
        <v>-9.1822844476383416</v>
      </c>
      <c r="R516" s="370">
        <f t="shared" si="201"/>
        <v>-209.16768845466933</v>
      </c>
      <c r="S516" s="372">
        <f t="shared" si="202"/>
        <v>-29.167688454669332</v>
      </c>
      <c r="U516" s="345">
        <f t="shared" si="208"/>
        <v>70392</v>
      </c>
      <c r="V516" s="345">
        <f t="shared" si="209"/>
        <v>4955033664</v>
      </c>
      <c r="X516" s="371">
        <f t="shared" si="203"/>
        <v>35.168707771647945</v>
      </c>
      <c r="Y516" s="372">
        <f t="shared" si="204"/>
        <v>-48.459500990241736</v>
      </c>
      <c r="AA516" s="371">
        <f t="shared" si="205"/>
        <v>27.690207607272971</v>
      </c>
      <c r="AB516" s="372">
        <f t="shared" si="206"/>
        <v>-160.7081874644276</v>
      </c>
      <c r="AD516">
        <f t="shared" si="210"/>
        <v>0</v>
      </c>
      <c r="AE516">
        <f t="shared" si="213"/>
        <v>0</v>
      </c>
    </row>
    <row r="517" spans="1:31" x14ac:dyDescent="0.3">
      <c r="A517" s="373">
        <v>70795</v>
      </c>
      <c r="B517" s="390">
        <f t="shared" si="207"/>
        <v>70.795000000000002</v>
      </c>
      <c r="C517" s="363">
        <f t="shared" si="188"/>
        <v>525.42336593667687</v>
      </c>
      <c r="D517" s="364">
        <f t="shared" si="189"/>
        <v>1.5688930985250031</v>
      </c>
      <c r="E517" s="364">
        <f t="shared" si="190"/>
        <v>1.1335444097392058</v>
      </c>
      <c r="F517" s="365">
        <f t="shared" si="191"/>
        <v>0.49030635431752806</v>
      </c>
      <c r="G517" s="364">
        <f t="shared" si="192"/>
        <v>5.3417844414533411</v>
      </c>
      <c r="H517" s="365">
        <f t="shared" si="193"/>
        <v>-1.3824819271458149</v>
      </c>
      <c r="I517" s="363">
        <f t="shared" si="194"/>
        <v>107119.85015393549</v>
      </c>
      <c r="J517" s="366">
        <f t="shared" si="195"/>
        <v>1.5707869914569683</v>
      </c>
      <c r="K517" s="374">
        <f t="shared" si="211"/>
        <v>363.50672952074848</v>
      </c>
      <c r="L517" s="375">
        <f t="shared" si="212"/>
        <v>1.5680453426174139</v>
      </c>
      <c r="M517" s="363">
        <f t="shared" si="196"/>
        <v>1.5080874381041915</v>
      </c>
      <c r="N517" s="366">
        <f t="shared" si="197"/>
        <v>0.84585499880930148</v>
      </c>
      <c r="O517" s="367">
        <f t="shared" si="198"/>
        <v>1.0032721327491978</v>
      </c>
      <c r="P517" s="368">
        <f t="shared" si="199"/>
        <v>0.34453672334157626</v>
      </c>
      <c r="Q517" s="369">
        <f t="shared" si="200"/>
        <v>-9.2012702734846261</v>
      </c>
      <c r="R517" s="370">
        <f t="shared" si="201"/>
        <v>-209.37035475362151</v>
      </c>
      <c r="S517" s="372">
        <f t="shared" si="202"/>
        <v>-29.370354753621513</v>
      </c>
      <c r="U517" s="345">
        <f t="shared" si="208"/>
        <v>70795</v>
      </c>
      <c r="V517" s="345">
        <f t="shared" si="209"/>
        <v>5011932025</v>
      </c>
      <c r="X517" s="371">
        <f t="shared" si="203"/>
        <v>35.14099385953817</v>
      </c>
      <c r="Y517" s="372">
        <f t="shared" si="204"/>
        <v>-48.621006474787244</v>
      </c>
      <c r="AA517" s="371">
        <f t="shared" si="205"/>
        <v>27.698935693536448</v>
      </c>
      <c r="AB517" s="372">
        <f t="shared" si="206"/>
        <v>-160.74934827883425</v>
      </c>
      <c r="AD517">
        <f t="shared" si="210"/>
        <v>0</v>
      </c>
      <c r="AE517">
        <f t="shared" si="213"/>
        <v>0</v>
      </c>
    </row>
    <row r="518" spans="1:31" x14ac:dyDescent="0.3">
      <c r="A518" s="373">
        <v>71207.25</v>
      </c>
      <c r="B518" s="390">
        <f t="shared" si="207"/>
        <v>71.207250000000002</v>
      </c>
      <c r="C518" s="363">
        <f t="shared" si="188"/>
        <v>528.4829746699661</v>
      </c>
      <c r="D518" s="364">
        <f t="shared" si="189"/>
        <v>1.568904117121789</v>
      </c>
      <c r="E518" s="364">
        <f t="shared" si="190"/>
        <v>1.1350114047910316</v>
      </c>
      <c r="F518" s="365">
        <f t="shared" si="191"/>
        <v>0.4927222792501213</v>
      </c>
      <c r="G518" s="364">
        <f t="shared" si="192"/>
        <v>5.3718033928471165</v>
      </c>
      <c r="H518" s="365">
        <f t="shared" si="193"/>
        <v>-1.3835467848060254</v>
      </c>
      <c r="I518" s="363">
        <f t="shared" si="194"/>
        <v>107743.62525418442</v>
      </c>
      <c r="J518" s="366">
        <f t="shared" si="195"/>
        <v>1.5707870455033339</v>
      </c>
      <c r="K518" s="374">
        <f t="shared" si="211"/>
        <v>365.62346825139304</v>
      </c>
      <c r="L518" s="375">
        <f t="shared" si="212"/>
        <v>1.5680612691916735</v>
      </c>
      <c r="M518" s="363">
        <f t="shared" si="196"/>
        <v>1.5130142559298412</v>
      </c>
      <c r="N518" s="366">
        <f t="shared" si="197"/>
        <v>0.84873590888036488</v>
      </c>
      <c r="O518" s="367">
        <f t="shared" si="198"/>
        <v>1.003328550975376</v>
      </c>
      <c r="P518" s="368">
        <f t="shared" si="199"/>
        <v>0.34660683279794613</v>
      </c>
      <c r="Q518" s="369">
        <f t="shared" si="200"/>
        <v>-9.2206126826446475</v>
      </c>
      <c r="R518" s="370">
        <f t="shared" si="201"/>
        <v>-209.57633871475335</v>
      </c>
      <c r="S518" s="372">
        <f t="shared" si="202"/>
        <v>-29.576338714753348</v>
      </c>
      <c r="U518" s="345">
        <f t="shared" si="208"/>
        <v>71207.25</v>
      </c>
      <c r="V518" s="345">
        <f t="shared" si="209"/>
        <v>5070472452.5625</v>
      </c>
      <c r="X518" s="371">
        <f t="shared" si="203"/>
        <v>35.112663527520482</v>
      </c>
      <c r="Y518" s="372">
        <f t="shared" si="204"/>
        <v>-48.785161034344966</v>
      </c>
      <c r="AA518" s="371">
        <f t="shared" si="205"/>
        <v>27.707923616394119</v>
      </c>
      <c r="AB518" s="372">
        <f t="shared" si="206"/>
        <v>-160.79117768040837</v>
      </c>
      <c r="AD518">
        <f t="shared" si="210"/>
        <v>0</v>
      </c>
      <c r="AE518">
        <f t="shared" si="213"/>
        <v>0</v>
      </c>
    </row>
    <row r="519" spans="1:31" x14ac:dyDescent="0.3">
      <c r="A519" s="373">
        <v>71619.5</v>
      </c>
      <c r="B519" s="390">
        <f t="shared" si="207"/>
        <v>71.619500000000002</v>
      </c>
      <c r="C519" s="363">
        <f t="shared" si="188"/>
        <v>531.54258346667962</v>
      </c>
      <c r="D519" s="364">
        <f t="shared" si="189"/>
        <v>1.56891500887043</v>
      </c>
      <c r="E519" s="364">
        <f t="shared" si="190"/>
        <v>1.1364850074311785</v>
      </c>
      <c r="F519" s="365">
        <f t="shared" si="191"/>
        <v>0.49513195308656954</v>
      </c>
      <c r="G519" s="364">
        <f t="shared" si="192"/>
        <v>5.4018283677421683</v>
      </c>
      <c r="H519" s="365">
        <f t="shared" si="193"/>
        <v>-1.3845998060556228</v>
      </c>
      <c r="I519" s="363">
        <f t="shared" si="194"/>
        <v>108367.40035443364</v>
      </c>
      <c r="J519" s="366">
        <f t="shared" si="195"/>
        <v>1.5707870989275052</v>
      </c>
      <c r="K519" s="374">
        <f t="shared" si="211"/>
        <v>367.7402070737125</v>
      </c>
      <c r="L519" s="375">
        <f t="shared" si="212"/>
        <v>1.5680770124169456</v>
      </c>
      <c r="M519" s="363">
        <f t="shared" si="196"/>
        <v>1.5179535496573087</v>
      </c>
      <c r="N519" s="366">
        <f t="shared" si="197"/>
        <v>0.85159809409781717</v>
      </c>
      <c r="O519" s="367">
        <f t="shared" si="198"/>
        <v>1.003385718915802</v>
      </c>
      <c r="P519" s="368">
        <f t="shared" si="199"/>
        <v>0.34867798655106552</v>
      </c>
      <c r="Q519" s="369">
        <f t="shared" si="200"/>
        <v>-9.239875279297074</v>
      </c>
      <c r="R519" s="370">
        <f t="shared" si="201"/>
        <v>-209.78099284126046</v>
      </c>
      <c r="S519" s="372">
        <f t="shared" si="202"/>
        <v>-29.780992841260456</v>
      </c>
      <c r="U519" s="345">
        <f t="shared" si="208"/>
        <v>71619.5</v>
      </c>
      <c r="V519" s="345">
        <f t="shared" si="209"/>
        <v>5129352780.25</v>
      </c>
      <c r="X519" s="371">
        <f t="shared" si="203"/>
        <v>35.084353914159692</v>
      </c>
      <c r="Y519" s="372">
        <f t="shared" si="204"/>
        <v>-48.948253208291582</v>
      </c>
      <c r="AA519" s="371">
        <f t="shared" si="205"/>
        <v>27.716970633102484</v>
      </c>
      <c r="AB519" s="372">
        <f t="shared" si="206"/>
        <v>-160.83273963296887</v>
      </c>
      <c r="AD519">
        <f t="shared" si="210"/>
        <v>0</v>
      </c>
      <c r="AE519">
        <f t="shared" si="213"/>
        <v>0</v>
      </c>
    </row>
    <row r="520" spans="1:31" x14ac:dyDescent="0.3">
      <c r="A520" s="373">
        <v>72031.75</v>
      </c>
      <c r="B520" s="390">
        <f t="shared" si="207"/>
        <v>72.031750000000002</v>
      </c>
      <c r="C520" s="363">
        <f t="shared" si="188"/>
        <v>534.60219232572842</v>
      </c>
      <c r="D520" s="364">
        <f t="shared" si="189"/>
        <v>1.5689257759488369</v>
      </c>
      <c r="E520" s="364">
        <f t="shared" si="190"/>
        <v>1.1379651919902518</v>
      </c>
      <c r="F520" s="365">
        <f t="shared" si="191"/>
        <v>0.49753537218209476</v>
      </c>
      <c r="G520" s="364">
        <f t="shared" si="192"/>
        <v>5.4318592662525473</v>
      </c>
      <c r="H520" s="365">
        <f t="shared" si="193"/>
        <v>-1.385641184858178</v>
      </c>
      <c r="I520" s="363">
        <f t="shared" si="194"/>
        <v>108991.17545468318</v>
      </c>
      <c r="J520" s="366">
        <f t="shared" si="195"/>
        <v>1.5707871517401655</v>
      </c>
      <c r="K520" s="374">
        <f t="shared" si="211"/>
        <v>369.85694598613276</v>
      </c>
      <c r="L520" s="375">
        <f t="shared" si="212"/>
        <v>1.5680925754412123</v>
      </c>
      <c r="M520" s="363">
        <f t="shared" si="196"/>
        <v>1.5229051978959631</v>
      </c>
      <c r="N520" s="366">
        <f t="shared" si="197"/>
        <v>0.85444168998713854</v>
      </c>
      <c r="O520" s="367">
        <f t="shared" si="198"/>
        <v>1.0034436438292815</v>
      </c>
      <c r="P520" s="368">
        <f t="shared" si="199"/>
        <v>0.35075018864147589</v>
      </c>
      <c r="Q520" s="369">
        <f t="shared" si="200"/>
        <v>-9.2590583457544291</v>
      </c>
      <c r="R520" s="370">
        <f t="shared" si="201"/>
        <v>-209.98433639684245</v>
      </c>
      <c r="S520" s="372">
        <f t="shared" si="202"/>
        <v>-29.984336396842451</v>
      </c>
      <c r="U520" s="345">
        <f t="shared" si="208"/>
        <v>72031.75</v>
      </c>
      <c r="V520" s="345">
        <f t="shared" si="209"/>
        <v>5188573008.0625</v>
      </c>
      <c r="X520" s="371">
        <f t="shared" si="203"/>
        <v>35.056065809378673</v>
      </c>
      <c r="Y520" s="372">
        <f t="shared" si="204"/>
        <v>-49.110290581911215</v>
      </c>
      <c r="AA520" s="371">
        <f t="shared" si="205"/>
        <v>27.726075671426145</v>
      </c>
      <c r="AB520" s="372">
        <f t="shared" si="206"/>
        <v>-160.87404581493124</v>
      </c>
      <c r="AD520">
        <f t="shared" si="210"/>
        <v>0</v>
      </c>
      <c r="AE520">
        <f t="shared" si="213"/>
        <v>0</v>
      </c>
    </row>
    <row r="521" spans="1:31" x14ac:dyDescent="0.3">
      <c r="A521" s="373">
        <v>72444</v>
      </c>
      <c r="B521" s="390">
        <f t="shared" si="207"/>
        <v>72.444000000000003</v>
      </c>
      <c r="C521" s="363">
        <f t="shared" si="188"/>
        <v>537.6618012460483</v>
      </c>
      <c r="D521" s="364">
        <f t="shared" si="189"/>
        <v>1.5689364204853455</v>
      </c>
      <c r="E521" s="364">
        <f t="shared" si="190"/>
        <v>1.1394519328178805</v>
      </c>
      <c r="F521" s="365">
        <f t="shared" si="191"/>
        <v>0.49993253319985431</v>
      </c>
      <c r="G521" s="364">
        <f t="shared" si="192"/>
        <v>5.4618959906696052</v>
      </c>
      <c r="H521" s="365">
        <f t="shared" si="193"/>
        <v>-1.3866711110128644</v>
      </c>
      <c r="I521" s="363">
        <f t="shared" si="194"/>
        <v>109614.95055493302</v>
      </c>
      <c r="J521" s="366">
        <f t="shared" si="195"/>
        <v>1.5707872039517539</v>
      </c>
      <c r="K521" s="374">
        <f t="shared" si="211"/>
        <v>371.97368498711569</v>
      </c>
      <c r="L521" s="375">
        <f t="shared" si="212"/>
        <v>1.5681079613407998</v>
      </c>
      <c r="M521" s="363">
        <f t="shared" si="196"/>
        <v>1.5278690805271531</v>
      </c>
      <c r="N521" s="366">
        <f t="shared" si="197"/>
        <v>0.85726683152167216</v>
      </c>
      <c r="O521" s="367">
        <f t="shared" si="198"/>
        <v>1.0035023330138835</v>
      </c>
      <c r="P521" s="368">
        <f t="shared" si="199"/>
        <v>0.35282344307297547</v>
      </c>
      <c r="Q521" s="369">
        <f t="shared" si="200"/>
        <v>-9.2781621631811682</v>
      </c>
      <c r="R521" s="370">
        <f t="shared" si="201"/>
        <v>-210.18638835646379</v>
      </c>
      <c r="S521" s="372">
        <f t="shared" si="202"/>
        <v>-30.186388356463794</v>
      </c>
      <c r="U521" s="345">
        <f t="shared" si="208"/>
        <v>72444</v>
      </c>
      <c r="V521" s="345">
        <f t="shared" si="209"/>
        <v>5248133136</v>
      </c>
      <c r="X521" s="371">
        <f t="shared" si="203"/>
        <v>35.027799985414489</v>
      </c>
      <c r="Y521" s="372">
        <f t="shared" si="204"/>
        <v>-49.271280712944339</v>
      </c>
      <c r="AA521" s="371">
        <f t="shared" si="205"/>
        <v>27.735237677963593</v>
      </c>
      <c r="AB521" s="372">
        <f t="shared" si="206"/>
        <v>-160.91510764351946</v>
      </c>
      <c r="AD521">
        <f t="shared" si="210"/>
        <v>0</v>
      </c>
      <c r="AE521">
        <f t="shared" si="213"/>
        <v>0</v>
      </c>
    </row>
    <row r="522" spans="1:31" x14ac:dyDescent="0.3">
      <c r="A522" s="373">
        <v>72865.75</v>
      </c>
      <c r="B522" s="390">
        <f t="shared" si="207"/>
        <v>72.865750000000006</v>
      </c>
      <c r="C522" s="363">
        <f t="shared" si="188"/>
        <v>540.79191668046099</v>
      </c>
      <c r="D522" s="364">
        <f t="shared" si="189"/>
        <v>1.5689471856760246</v>
      </c>
      <c r="E522" s="364">
        <f t="shared" si="190"/>
        <v>1.1409796924111129</v>
      </c>
      <c r="F522" s="365">
        <f t="shared" si="191"/>
        <v>0.50237845582321861</v>
      </c>
      <c r="G522" s="364">
        <f t="shared" si="192"/>
        <v>5.4926308186190598</v>
      </c>
      <c r="H522" s="365">
        <f t="shared" si="193"/>
        <v>-1.3877131131645848</v>
      </c>
      <c r="I522" s="363">
        <f t="shared" si="194"/>
        <v>110253.10009654732</v>
      </c>
      <c r="J522" s="366">
        <f t="shared" si="195"/>
        <v>1.5707872567551504</v>
      </c>
      <c r="K522" s="374">
        <f t="shared" si="211"/>
        <v>374.13920278165796</v>
      </c>
      <c r="L522" s="375">
        <f t="shared" si="212"/>
        <v>1.568123521637848</v>
      </c>
      <c r="M522" s="363">
        <f t="shared" si="196"/>
        <v>1.5329598888113036</v>
      </c>
      <c r="N522" s="366">
        <f t="shared" si="197"/>
        <v>0.86013811937498219</v>
      </c>
      <c r="O522" s="367">
        <f t="shared" si="198"/>
        <v>1.0035631731914063</v>
      </c>
      <c r="P522" s="368">
        <f t="shared" si="199"/>
        <v>0.35494556727025617</v>
      </c>
      <c r="Q522" s="369">
        <f t="shared" si="200"/>
        <v>-9.2976244969783348</v>
      </c>
      <c r="R522" s="370">
        <f t="shared" si="201"/>
        <v>-210.39177936082439</v>
      </c>
      <c r="S522" s="372">
        <f t="shared" si="202"/>
        <v>-30.391779360824387</v>
      </c>
      <c r="U522" s="345">
        <f t="shared" si="208"/>
        <v>72865.75</v>
      </c>
      <c r="V522" s="345">
        <f t="shared" si="209"/>
        <v>5309417523.0625</v>
      </c>
      <c r="X522" s="371">
        <f t="shared" si="203"/>
        <v>34.998906640117028</v>
      </c>
      <c r="Y522" s="372">
        <f t="shared" si="204"/>
        <v>-49.434904874956089</v>
      </c>
      <c r="AA522" s="371">
        <f t="shared" si="205"/>
        <v>27.744668689463886</v>
      </c>
      <c r="AB522" s="372">
        <f t="shared" si="206"/>
        <v>-160.9568744858683</v>
      </c>
      <c r="AD522">
        <f t="shared" si="210"/>
        <v>0</v>
      </c>
      <c r="AE522">
        <f t="shared" si="213"/>
        <v>0</v>
      </c>
    </row>
    <row r="523" spans="1:31" x14ac:dyDescent="0.3">
      <c r="A523" s="373">
        <v>73287.5</v>
      </c>
      <c r="B523" s="390">
        <f t="shared" si="207"/>
        <v>73.287499999999994</v>
      </c>
      <c r="C523" s="363">
        <f t="shared" si="188"/>
        <v>543.92203217682436</v>
      </c>
      <c r="D523" s="364">
        <f t="shared" si="189"/>
        <v>1.5689578269655275</v>
      </c>
      <c r="E523" s="364">
        <f t="shared" si="190"/>
        <v>1.142514259679128</v>
      </c>
      <c r="F523" s="365">
        <f t="shared" si="191"/>
        <v>0.50481782252890961</v>
      </c>
      <c r="G523" s="364">
        <f t="shared" si="192"/>
        <v>5.5233715439198408</v>
      </c>
      <c r="H523" s="365">
        <f t="shared" si="193"/>
        <v>-1.3887435177474916</v>
      </c>
      <c r="I523" s="363">
        <f t="shared" si="194"/>
        <v>110891.24963816194</v>
      </c>
      <c r="J523" s="366">
        <f t="shared" si="195"/>
        <v>1.5707873089508082</v>
      </c>
      <c r="K523" s="374">
        <f t="shared" si="211"/>
        <v>376.30472066574515</v>
      </c>
      <c r="L523" s="375">
        <f t="shared" si="212"/>
        <v>1.5681389028454562</v>
      </c>
      <c r="M523" s="363">
        <f t="shared" si="196"/>
        <v>1.5380632515451014</v>
      </c>
      <c r="N523" s="366">
        <f t="shared" si="197"/>
        <v>0.86299037649010302</v>
      </c>
      <c r="O523" s="367">
        <f t="shared" si="198"/>
        <v>1.0036248288481973</v>
      </c>
      <c r="P523" s="368">
        <f t="shared" si="199"/>
        <v>0.35706880122694068</v>
      </c>
      <c r="Q523" s="369">
        <f t="shared" si="200"/>
        <v>-9.3170044800230816</v>
      </c>
      <c r="R523" s="370">
        <f t="shared" si="201"/>
        <v>-210.59585783063594</v>
      </c>
      <c r="S523" s="372">
        <f t="shared" si="202"/>
        <v>-30.595857830635936</v>
      </c>
      <c r="U523" s="345">
        <f t="shared" si="208"/>
        <v>73287.5</v>
      </c>
      <c r="V523" s="345">
        <f t="shared" si="209"/>
        <v>5371057656.25</v>
      </c>
      <c r="X523" s="371">
        <f t="shared" si="203"/>
        <v>34.970038194004893</v>
      </c>
      <c r="Y523" s="372">
        <f t="shared" si="204"/>
        <v>-49.59744888223554</v>
      </c>
      <c r="AA523" s="371">
        <f t="shared" si="205"/>
        <v>27.754157152531281</v>
      </c>
      <c r="AB523" s="372">
        <f t="shared" si="206"/>
        <v>-160.99840894840042</v>
      </c>
      <c r="AD523">
        <f t="shared" si="210"/>
        <v>0</v>
      </c>
      <c r="AE523">
        <f t="shared" si="213"/>
        <v>0</v>
      </c>
    </row>
    <row r="524" spans="1:31" x14ac:dyDescent="0.3">
      <c r="A524" s="373">
        <v>73709.25</v>
      </c>
      <c r="B524" s="390">
        <f t="shared" si="207"/>
        <v>73.709249999999997</v>
      </c>
      <c r="C524" s="363">
        <f t="shared" si="188"/>
        <v>547.05214773407499</v>
      </c>
      <c r="D524" s="364">
        <f t="shared" si="189"/>
        <v>1.5689683464806599</v>
      </c>
      <c r="E524" s="364">
        <f t="shared" si="190"/>
        <v>1.1440556072277119</v>
      </c>
      <c r="F524" s="365">
        <f t="shared" si="191"/>
        <v>0.50725063072558363</v>
      </c>
      <c r="G524" s="364">
        <f t="shared" si="192"/>
        <v>5.55411806865063</v>
      </c>
      <c r="H524" s="365">
        <f t="shared" si="193"/>
        <v>-1.3897625151608908</v>
      </c>
      <c r="I524" s="363">
        <f t="shared" si="194"/>
        <v>111529.39917977684</v>
      </c>
      <c r="J524" s="366">
        <f t="shared" si="195"/>
        <v>1.5707873605491589</v>
      </c>
      <c r="K524" s="374">
        <f t="shared" si="211"/>
        <v>378.47023863784045</v>
      </c>
      <c r="L524" s="375">
        <f t="shared" si="212"/>
        <v>1.5681541080377404</v>
      </c>
      <c r="M524" s="363">
        <f t="shared" si="196"/>
        <v>1.5431790441741575</v>
      </c>
      <c r="N524" s="366">
        <f t="shared" si="197"/>
        <v>0.86582374549437013</v>
      </c>
      <c r="O524" s="367">
        <f t="shared" si="198"/>
        <v>1.0036873079257063</v>
      </c>
      <c r="P524" s="368">
        <f t="shared" si="199"/>
        <v>0.35919314910896755</v>
      </c>
      <c r="Q524" s="369">
        <f t="shared" si="200"/>
        <v>-9.3363024113979325</v>
      </c>
      <c r="R524" s="370">
        <f t="shared" si="201"/>
        <v>-210.79864318040413</v>
      </c>
      <c r="S524" s="372">
        <f t="shared" si="202"/>
        <v>-30.798643180404127</v>
      </c>
      <c r="U524" s="345">
        <f t="shared" si="208"/>
        <v>73709.25</v>
      </c>
      <c r="V524" s="345">
        <f t="shared" si="209"/>
        <v>5433053535.5625</v>
      </c>
      <c r="X524" s="371">
        <f t="shared" si="203"/>
        <v>34.941195418326146</v>
      </c>
      <c r="Y524" s="372">
        <f t="shared" si="204"/>
        <v>-49.758920731190905</v>
      </c>
      <c r="AA524" s="371">
        <f t="shared" si="205"/>
        <v>27.763701996835174</v>
      </c>
      <c r="AB524" s="372">
        <f t="shared" si="206"/>
        <v>-161.0397224492132</v>
      </c>
      <c r="AD524">
        <f t="shared" si="210"/>
        <v>0</v>
      </c>
      <c r="AE524">
        <f t="shared" si="213"/>
        <v>0</v>
      </c>
    </row>
    <row r="525" spans="1:31" x14ac:dyDescent="0.3">
      <c r="A525" s="373">
        <v>74131</v>
      </c>
      <c r="B525" s="390">
        <f t="shared" si="207"/>
        <v>74.131</v>
      </c>
      <c r="C525" s="363">
        <f t="shared" ref="C525:C588" si="214">SQRT(1+(A525/pole1)^2)</f>
        <v>550.18226335117379</v>
      </c>
      <c r="D525" s="364">
        <f t="shared" ref="D525:D588" si="215">ATAN(A525/pole1)</f>
        <v>1.5689787462998277</v>
      </c>
      <c r="E525" s="364">
        <f t="shared" ref="E525:E588" si="216">SQRT(1+(A525/Zero1)^2)</f>
        <v>1.1456037076893679</v>
      </c>
      <c r="F525" s="365">
        <f t="shared" ref="F525:F588" si="217">ATAN(A525/Zero1)</f>
        <v>0.50967687814634521</v>
      </c>
      <c r="G525" s="364">
        <f t="shared" ref="G525:G588" si="218">IF(VIN_nom&gt;Vout, 1, SQRT(1+(A525/z_RHP)^2))</f>
        <v>5.58487029702819</v>
      </c>
      <c r="H525" s="365">
        <f t="shared" ref="H525:H588" si="219">IF(VIN_nom&gt;Vout, 0, -ATAN(A525/z_RHP))</f>
        <v>-1.3907702917064191</v>
      </c>
      <c r="I525" s="363">
        <f t="shared" ref="I525:I588" si="220">SQRT(1+(A525/Pole2)^2)</f>
        <v>112167.54872139204</v>
      </c>
      <c r="J525" s="366">
        <f t="shared" ref="J525:J588" si="221">ATAN(A525/Pole2)</f>
        <v>1.5707874115603977</v>
      </c>
      <c r="K525" s="374">
        <f t="shared" si="211"/>
        <v>380.63575669644155</v>
      </c>
      <c r="L525" s="375">
        <f t="shared" si="212"/>
        <v>1.5681691402188598</v>
      </c>
      <c r="M525" s="363">
        <f t="shared" ref="M525:M588" si="222">SQRT(1+(A525/pole4)^2)</f>
        <v>1.5483071434888795</v>
      </c>
      <c r="N525" s="366">
        <f t="shared" ref="N525:N588" si="223">ATAN(A525/pole4)</f>
        <v>0.86863836834549857</v>
      </c>
      <c r="O525" s="367">
        <f t="shared" ref="O525:O588" si="224">SQRT((1-(V525/pterm2))^2+(A525/pterm1)^2)</f>
        <v>1.0037506184080907</v>
      </c>
      <c r="P525" s="368">
        <f t="shared" ref="P525:P588" si="225">IF((ATAN((A525/pterm1)/(1-A525^2/pterm2))&gt;0),ATAN((A525/pterm1)/(1-A525^2/pterm2)),PI()+ATAN((A525/pterm1)/(1-A525^2/pterm2)))</f>
        <v>0.36131861504088053</v>
      </c>
      <c r="Q525" s="369">
        <f t="shared" ref="Q525:Q588" si="226">20*LOG10(((E525*K525*G525)/(C525*I525*O525*M525))*Adc)</f>
        <v>-9.3555185900494759</v>
      </c>
      <c r="R525" s="370">
        <f t="shared" ref="R525:R588" si="227">((F525+L525+H525)-(D525+J525+P525+N525))*radconv</f>
        <v>-211.00015453174913</v>
      </c>
      <c r="S525" s="372">
        <f t="shared" ref="S525:S588" si="228">IF(R525&gt;0,R525,R525+180)</f>
        <v>-31.000154531749132</v>
      </c>
      <c r="U525" s="345">
        <f t="shared" si="208"/>
        <v>74131</v>
      </c>
      <c r="V525" s="345">
        <f t="shared" si="209"/>
        <v>5495405161</v>
      </c>
      <c r="X525" s="371">
        <f t="shared" ref="X525:X588" si="229">20*LOG10((K525/(I525*M525))*AEA)</f>
        <v>34.912379066194781</v>
      </c>
      <c r="Y525" s="372">
        <f t="shared" ref="Y525:Y588" si="230">(L525-(J525+N525))*radconv</f>
        <v>-49.919328383858598</v>
      </c>
      <c r="AA525" s="371">
        <f t="shared" ref="AA525:AA588" si="231">20*LOG10((E525*G525/(C525*O525))*Acs*Am)</f>
        <v>27.773302170314984</v>
      </c>
      <c r="AB525" s="372">
        <f t="shared" ref="AB525:AB588" si="232">(F525+H525-(D525+P525))*radconv</f>
        <v>-161.08082614789052</v>
      </c>
      <c r="AD525">
        <f t="shared" si="210"/>
        <v>0</v>
      </c>
      <c r="AE525">
        <f t="shared" si="213"/>
        <v>0</v>
      </c>
    </row>
    <row r="526" spans="1:31" x14ac:dyDescent="0.3">
      <c r="A526" s="373">
        <v>74562.75</v>
      </c>
      <c r="B526" s="390">
        <f t="shared" ref="B526:B589" si="233">A526/1000</f>
        <v>74.562749999999994</v>
      </c>
      <c r="C526" s="363">
        <f t="shared" si="214"/>
        <v>553.38659635266981</v>
      </c>
      <c r="D526" s="364">
        <f t="shared" si="215"/>
        <v>1.568989270840103</v>
      </c>
      <c r="E526" s="364">
        <f t="shared" si="216"/>
        <v>1.1471954811847198</v>
      </c>
      <c r="F526" s="365">
        <f t="shared" si="217"/>
        <v>0.51215385567170457</v>
      </c>
      <c r="G526" s="364">
        <f t="shared" si="218"/>
        <v>5.6163574934524618</v>
      </c>
      <c r="H526" s="365">
        <f t="shared" si="219"/>
        <v>-1.3917905305802343</v>
      </c>
      <c r="I526" s="363">
        <f t="shared" si="220"/>
        <v>112820.82925391721</v>
      </c>
      <c r="J526" s="366">
        <f t="shared" si="221"/>
        <v>1.5707874631833931</v>
      </c>
      <c r="K526" s="374">
        <f t="shared" si="211"/>
        <v>382.85262085517633</v>
      </c>
      <c r="L526" s="375">
        <f t="shared" si="212"/>
        <v>1.5681843526758861</v>
      </c>
      <c r="M526" s="363">
        <f t="shared" si="222"/>
        <v>1.5535694543873857</v>
      </c>
      <c r="N526" s="366">
        <f t="shared" si="223"/>
        <v>0.8715004572966436</v>
      </c>
      <c r="O526" s="367">
        <f t="shared" si="224"/>
        <v>1.0038162996170787</v>
      </c>
      <c r="P526" s="368">
        <f t="shared" si="225"/>
        <v>0.36349563971094817</v>
      </c>
      <c r="Q526" s="369">
        <f t="shared" si="226"/>
        <v>-9.3751060271946223</v>
      </c>
      <c r="R526" s="370">
        <f t="shared" si="227"/>
        <v>-211.2051438583139</v>
      </c>
      <c r="S526" s="372">
        <f t="shared" si="228"/>
        <v>-31.205143858313903</v>
      </c>
      <c r="U526" s="345">
        <f t="shared" ref="U526:U589" si="234">IF(Q526&lt;0,A526,1000000000)</f>
        <v>74562.75</v>
      </c>
      <c r="V526" s="345">
        <f t="shared" ref="V526:V589" si="235">A526^2</f>
        <v>5559603687.5625</v>
      </c>
      <c r="X526" s="371">
        <f t="shared" si="229"/>
        <v>34.882907595655752</v>
      </c>
      <c r="Y526" s="372">
        <f t="shared" si="230"/>
        <v>-50.082445349732744</v>
      </c>
      <c r="AA526" s="371">
        <f t="shared" si="231"/>
        <v>27.783186203708873</v>
      </c>
      <c r="AB526" s="372">
        <f t="shared" si="232"/>
        <v>-161.12269850858112</v>
      </c>
      <c r="AD526">
        <f t="shared" ref="AD526:AD589" si="236">SUM((Q527&lt;0)*(Q526&gt;0))*A526</f>
        <v>0</v>
      </c>
      <c r="AE526">
        <f t="shared" si="213"/>
        <v>0</v>
      </c>
    </row>
    <row r="527" spans="1:31" x14ac:dyDescent="0.3">
      <c r="A527" s="373">
        <v>74994.5</v>
      </c>
      <c r="B527" s="390">
        <f t="shared" si="233"/>
        <v>74.994500000000002</v>
      </c>
      <c r="C527" s="363">
        <f t="shared" si="214"/>
        <v>556.59092941475649</v>
      </c>
      <c r="D527" s="364">
        <f t="shared" si="215"/>
        <v>1.5689996741993448</v>
      </c>
      <c r="E527" s="364">
        <f t="shared" si="216"/>
        <v>1.1487942736731305</v>
      </c>
      <c r="F527" s="365">
        <f t="shared" si="217"/>
        <v>0.5146239538310089</v>
      </c>
      <c r="G527" s="364">
        <f t="shared" si="218"/>
        <v>5.6478504706849888</v>
      </c>
      <c r="H527" s="365">
        <f t="shared" si="219"/>
        <v>-1.3927993925870981</v>
      </c>
      <c r="I527" s="363">
        <f t="shared" si="220"/>
        <v>113474.10978644267</v>
      </c>
      <c r="J527" s="366">
        <f t="shared" si="221"/>
        <v>1.570787514211992</v>
      </c>
      <c r="K527" s="374">
        <f t="shared" si="211"/>
        <v>385.06948510149027</v>
      </c>
      <c r="L527" s="375">
        <f t="shared" si="212"/>
        <v>1.5681993899751672</v>
      </c>
      <c r="M527" s="363">
        <f t="shared" si="222"/>
        <v>1.5588444054508346</v>
      </c>
      <c r="N527" s="366">
        <f t="shared" si="223"/>
        <v>0.87434319944034156</v>
      </c>
      <c r="O527" s="367">
        <f t="shared" si="224"/>
        <v>1.003882869194483</v>
      </c>
      <c r="P527" s="368">
        <f t="shared" si="225"/>
        <v>0.36567384469227054</v>
      </c>
      <c r="Q527" s="369">
        <f t="shared" si="226"/>
        <v>-9.3946084233925813</v>
      </c>
      <c r="R527" s="370">
        <f t="shared" si="227"/>
        <v>-211.40883769207846</v>
      </c>
      <c r="S527" s="372">
        <f t="shared" si="228"/>
        <v>-31.408837692078464</v>
      </c>
      <c r="U527" s="345">
        <f t="shared" si="234"/>
        <v>74994.5</v>
      </c>
      <c r="V527" s="345">
        <f t="shared" si="235"/>
        <v>5624175030.25</v>
      </c>
      <c r="X527" s="371">
        <f t="shared" si="229"/>
        <v>34.853465356871631</v>
      </c>
      <c r="Y527" s="372">
        <f t="shared" si="230"/>
        <v>-50.244463826935018</v>
      </c>
      <c r="AA527" s="371">
        <f t="shared" si="231"/>
        <v>27.793126046295029</v>
      </c>
      <c r="AB527" s="372">
        <f t="shared" si="232"/>
        <v>-161.16437386514346</v>
      </c>
      <c r="AD527">
        <f t="shared" si="236"/>
        <v>0</v>
      </c>
      <c r="AE527">
        <f t="shared" si="213"/>
        <v>0</v>
      </c>
    </row>
    <row r="528" spans="1:31" x14ac:dyDescent="0.3">
      <c r="A528" s="373">
        <v>75426.25</v>
      </c>
      <c r="B528" s="390">
        <f t="shared" si="233"/>
        <v>75.426249999999996</v>
      </c>
      <c r="C528" s="363">
        <f t="shared" si="214"/>
        <v>559.79526253639324</v>
      </c>
      <c r="D528" s="364">
        <f t="shared" si="215"/>
        <v>1.5690099584585138</v>
      </c>
      <c r="E528" s="364">
        <f t="shared" si="216"/>
        <v>1.1504000558902236</v>
      </c>
      <c r="F528" s="365">
        <f t="shared" si="217"/>
        <v>0.51708717122733661</v>
      </c>
      <c r="G528" s="364">
        <f t="shared" si="218"/>
        <v>5.6793491325590155</v>
      </c>
      <c r="H528" s="365">
        <f t="shared" si="219"/>
        <v>-1.3937970649503664</v>
      </c>
      <c r="I528" s="363">
        <f t="shared" si="220"/>
        <v>114127.39031896842</v>
      </c>
      <c r="J528" s="366">
        <f t="shared" si="221"/>
        <v>1.570787564656402</v>
      </c>
      <c r="K528" s="374">
        <f t="shared" si="211"/>
        <v>387.28634943387948</v>
      </c>
      <c r="L528" s="375">
        <f t="shared" si="212"/>
        <v>1.568214255124555</v>
      </c>
      <c r="M528" s="363">
        <f t="shared" si="222"/>
        <v>1.564131868794391</v>
      </c>
      <c r="N528" s="366">
        <f t="shared" si="223"/>
        <v>0.87716674480067458</v>
      </c>
      <c r="O528" s="367">
        <f t="shared" si="224"/>
        <v>1.0039503358445183</v>
      </c>
      <c r="P528" s="368">
        <f t="shared" si="225"/>
        <v>0.36785323427307232</v>
      </c>
      <c r="Q528" s="369">
        <f t="shared" si="226"/>
        <v>-9.4140261003927019</v>
      </c>
      <c r="R528" s="370">
        <f t="shared" si="227"/>
        <v>-211.61125562911045</v>
      </c>
      <c r="S528" s="372">
        <f t="shared" si="228"/>
        <v>-31.611255629110445</v>
      </c>
      <c r="U528" s="345">
        <f t="shared" si="234"/>
        <v>75426.25</v>
      </c>
      <c r="V528" s="345">
        <f t="shared" si="235"/>
        <v>5689119189.0625</v>
      </c>
      <c r="X528" s="371">
        <f t="shared" si="229"/>
        <v>34.82405310074482</v>
      </c>
      <c r="Y528" s="372">
        <f t="shared" si="230"/>
        <v>-50.405392239459772</v>
      </c>
      <c r="AA528" s="371">
        <f t="shared" si="231"/>
        <v>27.80312062542173</v>
      </c>
      <c r="AB528" s="372">
        <f t="shared" si="232"/>
        <v>-161.20586338965072</v>
      </c>
      <c r="AD528">
        <f t="shared" si="236"/>
        <v>0</v>
      </c>
      <c r="AE528">
        <f t="shared" si="213"/>
        <v>0</v>
      </c>
    </row>
    <row r="529" spans="1:31" x14ac:dyDescent="0.3">
      <c r="A529" s="373">
        <v>75858</v>
      </c>
      <c r="B529" s="390">
        <f t="shared" si="233"/>
        <v>75.858000000000004</v>
      </c>
      <c r="C529" s="363">
        <f t="shared" si="214"/>
        <v>562.99959571656336</v>
      </c>
      <c r="D529" s="364">
        <f t="shared" si="215"/>
        <v>1.5690201256511951</v>
      </c>
      <c r="E529" s="364">
        <f t="shared" si="216"/>
        <v>1.1520127986072044</v>
      </c>
      <c r="F529" s="365">
        <f t="shared" si="217"/>
        <v>0.51954350680552419</v>
      </c>
      <c r="G529" s="364">
        <f t="shared" si="218"/>
        <v>5.7108533850122765</v>
      </c>
      <c r="H529" s="365">
        <f t="shared" si="219"/>
        <v>-1.3947837308523052</v>
      </c>
      <c r="I529" s="363">
        <f t="shared" si="220"/>
        <v>114780.67085149446</v>
      </c>
      <c r="J529" s="366">
        <f t="shared" si="221"/>
        <v>1.5707876145265975</v>
      </c>
      <c r="K529" s="374">
        <f t="shared" si="211"/>
        <v>389.50321385087415</v>
      </c>
      <c r="L529" s="375">
        <f t="shared" si="212"/>
        <v>1.568228951063426</v>
      </c>
      <c r="M529" s="363">
        <f t="shared" si="222"/>
        <v>1.5694317179552997</v>
      </c>
      <c r="N529" s="366">
        <f t="shared" si="223"/>
        <v>0.87997124260678894</v>
      </c>
      <c r="O529" s="367">
        <f t="shared" si="224"/>
        <v>1.004018708317943</v>
      </c>
      <c r="P529" s="368">
        <f t="shared" si="225"/>
        <v>0.37003381269482333</v>
      </c>
      <c r="Q529" s="369">
        <f t="shared" si="226"/>
        <v>-9.4333593807284579</v>
      </c>
      <c r="R529" s="370">
        <f t="shared" si="227"/>
        <v>-211.81241696732923</v>
      </c>
      <c r="S529" s="372">
        <f t="shared" si="228"/>
        <v>-31.812416967329227</v>
      </c>
      <c r="U529" s="345">
        <f t="shared" si="234"/>
        <v>75858</v>
      </c>
      <c r="V529" s="345">
        <f t="shared" si="235"/>
        <v>5754436164</v>
      </c>
      <c r="X529" s="371">
        <f t="shared" si="229"/>
        <v>34.794671559596452</v>
      </c>
      <c r="Y529" s="372">
        <f t="shared" si="230"/>
        <v>-50.565238969664918</v>
      </c>
      <c r="AA529" s="371">
        <f t="shared" si="231"/>
        <v>27.813168886234344</v>
      </c>
      <c r="AB529" s="372">
        <f t="shared" si="232"/>
        <v>-161.24717799766429</v>
      </c>
      <c r="AD529">
        <f t="shared" si="236"/>
        <v>0</v>
      </c>
      <c r="AE529">
        <f t="shared" si="213"/>
        <v>0</v>
      </c>
    </row>
    <row r="530" spans="1:31" x14ac:dyDescent="0.3">
      <c r="A530" s="373">
        <v>76299.75</v>
      </c>
      <c r="B530" s="390">
        <f t="shared" si="233"/>
        <v>76.299750000000003</v>
      </c>
      <c r="C530" s="363">
        <f t="shared" si="214"/>
        <v>566.27814628529359</v>
      </c>
      <c r="D530" s="364">
        <f t="shared" si="215"/>
        <v>1.5690304092395324</v>
      </c>
      <c r="E530" s="364">
        <f t="shared" si="216"/>
        <v>1.1536700686923202</v>
      </c>
      <c r="F530" s="365">
        <f t="shared" si="217"/>
        <v>0.52204961142716588</v>
      </c>
      <c r="G530" s="364">
        <f t="shared" si="218"/>
        <v>5.7430930151907136</v>
      </c>
      <c r="H530" s="365">
        <f t="shared" si="219"/>
        <v>-1.3957820445970719</v>
      </c>
      <c r="I530" s="363">
        <f t="shared" si="220"/>
        <v>115449.08237493048</v>
      </c>
      <c r="J530" s="366">
        <f t="shared" si="221"/>
        <v>1.5707876649677133</v>
      </c>
      <c r="K530" s="374">
        <f t="shared" si="211"/>
        <v>391.77142437401949</v>
      </c>
      <c r="L530" s="375">
        <f t="shared" si="212"/>
        <v>1.5682438152443554</v>
      </c>
      <c r="M530" s="363">
        <f t="shared" si="222"/>
        <v>1.5748670088752863</v>
      </c>
      <c r="N530" s="366">
        <f t="shared" si="223"/>
        <v>0.8828211373129724</v>
      </c>
      <c r="O530" s="367">
        <f t="shared" si="224"/>
        <v>1.0040896111165045</v>
      </c>
      <c r="P530" s="368">
        <f t="shared" si="225"/>
        <v>0.3722661315340936</v>
      </c>
      <c r="Q530" s="369">
        <f t="shared" si="226"/>
        <v>-9.4530534358275915</v>
      </c>
      <c r="R530" s="370">
        <f t="shared" si="227"/>
        <v>-212.01695674210822</v>
      </c>
      <c r="S530" s="372">
        <f t="shared" si="228"/>
        <v>-32.016956742108221</v>
      </c>
      <c r="U530" s="345">
        <f t="shared" si="234"/>
        <v>76299.75</v>
      </c>
      <c r="V530" s="345">
        <f t="shared" si="235"/>
        <v>5821651850.0625</v>
      </c>
      <c r="X530" s="371">
        <f t="shared" si="229"/>
        <v>34.764642031352253</v>
      </c>
      <c r="Y530" s="372">
        <f t="shared" si="230"/>
        <v>-50.727677143801372</v>
      </c>
      <c r="AA530" s="371">
        <f t="shared" si="231"/>
        <v>27.82350435937941</v>
      </c>
      <c r="AB530" s="372">
        <f t="shared" si="232"/>
        <v>-161.28927959830682</v>
      </c>
      <c r="AD530">
        <f t="shared" si="236"/>
        <v>0</v>
      </c>
      <c r="AE530">
        <f t="shared" si="213"/>
        <v>0</v>
      </c>
    </row>
    <row r="531" spans="1:31" x14ac:dyDescent="0.3">
      <c r="A531" s="373">
        <v>76741.5</v>
      </c>
      <c r="B531" s="390">
        <f t="shared" si="233"/>
        <v>76.741500000000002</v>
      </c>
      <c r="C531" s="363">
        <f t="shared" si="214"/>
        <v>569.55669691321941</v>
      </c>
      <c r="D531" s="364">
        <f t="shared" si="215"/>
        <v>1.5690405744366196</v>
      </c>
      <c r="E531" s="364">
        <f t="shared" si="216"/>
        <v>1.1553345636582744</v>
      </c>
      <c r="F531" s="365">
        <f t="shared" si="217"/>
        <v>0.52454851059649854</v>
      </c>
      <c r="G531" s="364">
        <f t="shared" si="218"/>
        <v>5.7753383052033547</v>
      </c>
      <c r="H531" s="365">
        <f t="shared" si="219"/>
        <v>-1.3967692116003343</v>
      </c>
      <c r="I531" s="363">
        <f t="shared" si="220"/>
        <v>116117.49389836681</v>
      </c>
      <c r="J531" s="366">
        <f t="shared" si="221"/>
        <v>1.5707877148281169</v>
      </c>
      <c r="K531" s="374">
        <f t="shared" si="211"/>
        <v>394.03963498272776</v>
      </c>
      <c r="L531" s="375">
        <f t="shared" si="212"/>
        <v>1.568258508299899</v>
      </c>
      <c r="M531" s="363">
        <f t="shared" si="222"/>
        <v>1.5803150026616093</v>
      </c>
      <c r="N531" s="366">
        <f t="shared" si="223"/>
        <v>0.88565140536337938</v>
      </c>
      <c r="O531" s="367">
        <f t="shared" si="224"/>
        <v>1.0041614808675425</v>
      </c>
      <c r="P531" s="368">
        <f t="shared" si="225"/>
        <v>0.37449970375487873</v>
      </c>
      <c r="Q531" s="369">
        <f t="shared" si="226"/>
        <v>-9.4726598259083694</v>
      </c>
      <c r="R531" s="370">
        <f t="shared" si="227"/>
        <v>-212.22022097474905</v>
      </c>
      <c r="S531" s="372">
        <f t="shared" si="228"/>
        <v>-32.220220974749054</v>
      </c>
      <c r="U531" s="345">
        <f t="shared" si="234"/>
        <v>76741.5</v>
      </c>
      <c r="V531" s="345">
        <f t="shared" si="235"/>
        <v>5889257822.25</v>
      </c>
      <c r="X531" s="371">
        <f t="shared" si="229"/>
        <v>34.734646150252836</v>
      </c>
      <c r="Y531" s="372">
        <f t="shared" si="230"/>
        <v>-50.889000564884661</v>
      </c>
      <c r="AA531" s="371">
        <f t="shared" si="231"/>
        <v>27.833893850398042</v>
      </c>
      <c r="AB531" s="372">
        <f t="shared" si="232"/>
        <v>-161.33122040986444</v>
      </c>
      <c r="AD531">
        <f t="shared" si="236"/>
        <v>0</v>
      </c>
      <c r="AE531">
        <f t="shared" si="213"/>
        <v>0</v>
      </c>
    </row>
    <row r="532" spans="1:31" x14ac:dyDescent="0.3">
      <c r="A532" s="373">
        <v>77183.25</v>
      </c>
      <c r="B532" s="390">
        <f t="shared" si="233"/>
        <v>77.183250000000001</v>
      </c>
      <c r="C532" s="363">
        <f t="shared" si="214"/>
        <v>572.8352475993247</v>
      </c>
      <c r="D532" s="364">
        <f t="shared" si="215"/>
        <v>1.5690506232752468</v>
      </c>
      <c r="E532" s="364">
        <f t="shared" si="216"/>
        <v>1.1570062523234443</v>
      </c>
      <c r="F532" s="365">
        <f t="shared" si="217"/>
        <v>0.52704020426995268</v>
      </c>
      <c r="G532" s="364">
        <f t="shared" si="218"/>
        <v>5.8075891607754562</v>
      </c>
      <c r="H532" s="365">
        <f t="shared" si="219"/>
        <v>-1.3977454156230322</v>
      </c>
      <c r="I532" s="363">
        <f t="shared" si="220"/>
        <v>116785.90542180341</v>
      </c>
      <c r="J532" s="366">
        <f t="shared" si="221"/>
        <v>1.570787764117779</v>
      </c>
      <c r="K532" s="374">
        <f t="shared" si="211"/>
        <v>396.30784567552979</v>
      </c>
      <c r="L532" s="375">
        <f t="shared" si="212"/>
        <v>1.568273033168285</v>
      </c>
      <c r="M532" s="363">
        <f t="shared" si="222"/>
        <v>1.5857755683906969</v>
      </c>
      <c r="N532" s="366">
        <f t="shared" si="223"/>
        <v>0.88846220393167452</v>
      </c>
      <c r="O532" s="367">
        <f t="shared" si="224"/>
        <v>1.0042343270947183</v>
      </c>
      <c r="P532" s="368">
        <f t="shared" si="225"/>
        <v>0.37673453374611249</v>
      </c>
      <c r="Q532" s="369">
        <f t="shared" si="226"/>
        <v>-9.492178900176091</v>
      </c>
      <c r="R532" s="370">
        <f t="shared" si="227"/>
        <v>-212.42222940202296</v>
      </c>
      <c r="S532" s="372">
        <f t="shared" si="228"/>
        <v>-32.422229402022964</v>
      </c>
      <c r="U532" s="345">
        <f t="shared" si="234"/>
        <v>77183.25</v>
      </c>
      <c r="V532" s="345">
        <f t="shared" si="235"/>
        <v>5957254080.5625</v>
      </c>
      <c r="X532" s="371">
        <f t="shared" si="229"/>
        <v>34.704684642428496</v>
      </c>
      <c r="Y532" s="372">
        <f t="shared" si="230"/>
        <v>-51.049218070525583</v>
      </c>
      <c r="AA532" s="371">
        <f t="shared" si="231"/>
        <v>27.844336283954661</v>
      </c>
      <c r="AB532" s="372">
        <f t="shared" si="232"/>
        <v>-161.37301133149739</v>
      </c>
      <c r="AD532">
        <f t="shared" si="236"/>
        <v>0</v>
      </c>
      <c r="AE532">
        <f t="shared" si="213"/>
        <v>0</v>
      </c>
    </row>
    <row r="533" spans="1:31" x14ac:dyDescent="0.3">
      <c r="A533" s="373">
        <v>77625</v>
      </c>
      <c r="B533" s="390">
        <f t="shared" si="233"/>
        <v>77.625</v>
      </c>
      <c r="C533" s="363">
        <f t="shared" si="214"/>
        <v>576.11379834261584</v>
      </c>
      <c r="D533" s="364">
        <f t="shared" si="215"/>
        <v>1.5690605577419316</v>
      </c>
      <c r="E533" s="364">
        <f t="shared" si="216"/>
        <v>1.1586851035517811</v>
      </c>
      <c r="F533" s="365">
        <f t="shared" si="217"/>
        <v>0.52952469276209213</v>
      </c>
      <c r="G533" s="364">
        <f t="shared" si="218"/>
        <v>5.8398454896987264</v>
      </c>
      <c r="H533" s="365">
        <f t="shared" si="219"/>
        <v>-1.3987108364507324</v>
      </c>
      <c r="I533" s="363">
        <f t="shared" si="220"/>
        <v>117454.31694524029</v>
      </c>
      <c r="J533" s="366">
        <f t="shared" si="221"/>
        <v>1.5707878128464441</v>
      </c>
      <c r="K533" s="374">
        <f t="shared" si="211"/>
        <v>398.57605645099017</v>
      </c>
      <c r="L533" s="375">
        <f t="shared" si="212"/>
        <v>1.568287392720858</v>
      </c>
      <c r="M533" s="363">
        <f t="shared" si="222"/>
        <v>1.591248576636038</v>
      </c>
      <c r="N533" s="366">
        <f t="shared" si="223"/>
        <v>0.89125368926718707</v>
      </c>
      <c r="O533" s="367">
        <f t="shared" si="224"/>
        <v>1.004308159372274</v>
      </c>
      <c r="P533" s="368">
        <f t="shared" si="225"/>
        <v>0.37897062584403357</v>
      </c>
      <c r="Q533" s="369">
        <f t="shared" si="226"/>
        <v>-9.5116110094421344</v>
      </c>
      <c r="R533" s="370">
        <f t="shared" si="227"/>
        <v>-212.62300145759764</v>
      </c>
      <c r="S533" s="372">
        <f t="shared" si="228"/>
        <v>-32.623001457597638</v>
      </c>
      <c r="U533" s="345">
        <f t="shared" si="234"/>
        <v>77625</v>
      </c>
      <c r="V533" s="345">
        <f t="shared" si="235"/>
        <v>6025640625</v>
      </c>
      <c r="X533" s="371">
        <f t="shared" si="229"/>
        <v>34.674758215073709</v>
      </c>
      <c r="Y533" s="372">
        <f t="shared" si="230"/>
        <v>-51.208338449193647</v>
      </c>
      <c r="AA533" s="371">
        <f t="shared" si="231"/>
        <v>27.854830602043407</v>
      </c>
      <c r="AB533" s="372">
        <f t="shared" si="232"/>
        <v>-161.41466300840401</v>
      </c>
      <c r="AD533">
        <f t="shared" si="236"/>
        <v>0</v>
      </c>
      <c r="AE533">
        <f t="shared" si="213"/>
        <v>0</v>
      </c>
    </row>
    <row r="534" spans="1:31" x14ac:dyDescent="0.3">
      <c r="A534" s="373">
        <v>78077</v>
      </c>
      <c r="B534" s="390">
        <f t="shared" si="233"/>
        <v>78.076999999999998</v>
      </c>
      <c r="C534" s="363">
        <f t="shared" si="214"/>
        <v>579.46842191175767</v>
      </c>
      <c r="D534" s="364">
        <f t="shared" si="215"/>
        <v>1.5690706063612399</v>
      </c>
      <c r="E534" s="364">
        <f t="shared" si="216"/>
        <v>1.1604102908039029</v>
      </c>
      <c r="F534" s="365">
        <f t="shared" si="217"/>
        <v>0.53205937206512821</v>
      </c>
      <c r="G534" s="364">
        <f t="shared" si="218"/>
        <v>5.8728558389319137</v>
      </c>
      <c r="H534" s="365">
        <f t="shared" si="219"/>
        <v>-1.3996876801684968</v>
      </c>
      <c r="I534" s="363">
        <f t="shared" si="220"/>
        <v>118138.23773435994</v>
      </c>
      <c r="J534" s="366">
        <f t="shared" si="221"/>
        <v>1.5707878621350271</v>
      </c>
      <c r="K534" s="374">
        <f t="shared" si="211"/>
        <v>400.89689698897888</v>
      </c>
      <c r="L534" s="375">
        <f t="shared" si="212"/>
        <v>1.5683019172733348</v>
      </c>
      <c r="M534" s="363">
        <f t="shared" si="222"/>
        <v>1.5968613214943785</v>
      </c>
      <c r="N534" s="366">
        <f t="shared" si="223"/>
        <v>0.89409011728387311</v>
      </c>
      <c r="O534" s="367">
        <f t="shared" si="224"/>
        <v>1.0043847354673636</v>
      </c>
      <c r="P534" s="368">
        <f t="shared" si="225"/>
        <v>0.38125991320639979</v>
      </c>
      <c r="Q534" s="369">
        <f t="shared" si="226"/>
        <v>-9.5314043577857515</v>
      </c>
      <c r="R534" s="370">
        <f t="shared" si="227"/>
        <v>-212.82717228377243</v>
      </c>
      <c r="S534" s="372">
        <f t="shared" si="228"/>
        <v>-32.827172283772427</v>
      </c>
      <c r="U534" s="345">
        <f t="shared" si="234"/>
        <v>78077</v>
      </c>
      <c r="V534" s="345">
        <f t="shared" si="235"/>
        <v>6096017929</v>
      </c>
      <c r="X534" s="371">
        <f t="shared" si="229"/>
        <v>34.644174428803588</v>
      </c>
      <c r="Y534" s="372">
        <f t="shared" si="230"/>
        <v>-51.370024432098717</v>
      </c>
      <c r="AA534" s="371">
        <f t="shared" si="231"/>
        <v>27.865621039969909</v>
      </c>
      <c r="AB534" s="372">
        <f t="shared" si="232"/>
        <v>-161.45714785167371</v>
      </c>
      <c r="AD534">
        <f t="shared" si="236"/>
        <v>0</v>
      </c>
      <c r="AE534">
        <f t="shared" si="213"/>
        <v>0</v>
      </c>
    </row>
    <row r="535" spans="1:31" x14ac:dyDescent="0.3">
      <c r="A535" s="373">
        <v>78529</v>
      </c>
      <c r="B535" s="390">
        <f t="shared" si="233"/>
        <v>78.528999999999996</v>
      </c>
      <c r="C535" s="363">
        <f t="shared" si="214"/>
        <v>582.82304553873746</v>
      </c>
      <c r="D535" s="364">
        <f t="shared" si="215"/>
        <v>1.5690805393044924</v>
      </c>
      <c r="E535" s="364">
        <f t="shared" si="216"/>
        <v>1.1621429110648989</v>
      </c>
      <c r="F535" s="365">
        <f t="shared" si="217"/>
        <v>0.53458650973818089</v>
      </c>
      <c r="G535" s="364">
        <f t="shared" si="218"/>
        <v>5.905871729533601</v>
      </c>
      <c r="H535" s="365">
        <f t="shared" si="219"/>
        <v>-1.4006536030026531</v>
      </c>
      <c r="I535" s="363">
        <f t="shared" si="220"/>
        <v>118822.15852347984</v>
      </c>
      <c r="J535" s="366">
        <f t="shared" si="221"/>
        <v>1.5707879108562162</v>
      </c>
      <c r="K535" s="374">
        <f t="shared" ref="K535:K598" si="237">SQRT(1+(A535/Zero2)^2)</f>
        <v>403.21773761056824</v>
      </c>
      <c r="L535" s="375">
        <f t="shared" ref="L535:L598" si="238">ATAN(A535/Zero2)</f>
        <v>1.5683162746249786</v>
      </c>
      <c r="M535" s="363">
        <f t="shared" si="222"/>
        <v>1.6024868235635554</v>
      </c>
      <c r="N535" s="366">
        <f t="shared" si="223"/>
        <v>0.8969066533659964</v>
      </c>
      <c r="O535" s="367">
        <f t="shared" si="224"/>
        <v>1.0044623643443606</v>
      </c>
      <c r="P535" s="368">
        <f t="shared" si="225"/>
        <v>0.38355053093912206</v>
      </c>
      <c r="Q535" s="369">
        <f t="shared" si="226"/>
        <v>-9.5511074074343547</v>
      </c>
      <c r="R535" s="370">
        <f t="shared" si="227"/>
        <v>-213.030088913328</v>
      </c>
      <c r="S535" s="372">
        <f t="shared" si="228"/>
        <v>-33.030088913328001</v>
      </c>
      <c r="U535" s="345">
        <f t="shared" si="234"/>
        <v>78529</v>
      </c>
      <c r="V535" s="345">
        <f t="shared" si="235"/>
        <v>6166803841</v>
      </c>
      <c r="X535" s="371">
        <f t="shared" si="229"/>
        <v>34.613628808605711</v>
      </c>
      <c r="Y535" s="372">
        <f t="shared" si="230"/>
        <v>-51.530580238498501</v>
      </c>
      <c r="AA535" s="371">
        <f t="shared" si="231"/>
        <v>27.876463610519181</v>
      </c>
      <c r="AB535" s="372">
        <f t="shared" si="232"/>
        <v>-161.49950867482949</v>
      </c>
      <c r="AD535">
        <f t="shared" si="236"/>
        <v>0</v>
      </c>
      <c r="AE535">
        <f t="shared" si="213"/>
        <v>0</v>
      </c>
    </row>
    <row r="536" spans="1:31" x14ac:dyDescent="0.3">
      <c r="A536" s="373">
        <v>78981</v>
      </c>
      <c r="B536" s="390">
        <f t="shared" si="233"/>
        <v>78.980999999999995</v>
      </c>
      <c r="C536" s="363">
        <f t="shared" si="214"/>
        <v>586.1776692225626</v>
      </c>
      <c r="D536" s="364">
        <f t="shared" si="215"/>
        <v>1.5690903585576879</v>
      </c>
      <c r="E536" s="364">
        <f t="shared" si="216"/>
        <v>1.1638829311392098</v>
      </c>
      <c r="F536" s="365">
        <f t="shared" si="217"/>
        <v>0.53710610725527796</v>
      </c>
      <c r="G536" s="364">
        <f t="shared" si="218"/>
        <v>5.9388930690859523</v>
      </c>
      <c r="H536" s="365">
        <f t="shared" si="219"/>
        <v>-1.4016087853019528</v>
      </c>
      <c r="I536" s="363">
        <f t="shared" si="220"/>
        <v>119506.07931260005</v>
      </c>
      <c r="J536" s="366">
        <f t="shared" si="221"/>
        <v>1.5707879590197527</v>
      </c>
      <c r="K536" s="374">
        <f t="shared" si="237"/>
        <v>405.53857831432299</v>
      </c>
      <c r="L536" s="375">
        <f t="shared" si="238"/>
        <v>1.5683304676463845</v>
      </c>
      <c r="M536" s="363">
        <f t="shared" si="222"/>
        <v>1.6081249489627161</v>
      </c>
      <c r="N536" s="366">
        <f t="shared" si="223"/>
        <v>0.89970346181674976</v>
      </c>
      <c r="O536" s="367">
        <f t="shared" si="224"/>
        <v>1.0045410564232466</v>
      </c>
      <c r="P536" s="368">
        <f t="shared" si="225"/>
        <v>0.38584248351360756</v>
      </c>
      <c r="Q536" s="369">
        <f t="shared" si="226"/>
        <v>-9.5707205403228226</v>
      </c>
      <c r="R536" s="370">
        <f t="shared" si="227"/>
        <v>-213.23177121497775</v>
      </c>
      <c r="S536" s="372">
        <f t="shared" si="228"/>
        <v>-33.231771214977755</v>
      </c>
      <c r="U536" s="345">
        <f t="shared" si="234"/>
        <v>78981</v>
      </c>
      <c r="V536" s="345">
        <f t="shared" si="235"/>
        <v>6237998361</v>
      </c>
      <c r="X536" s="371">
        <f t="shared" si="229"/>
        <v>34.583122052767202</v>
      </c>
      <c r="Y536" s="372">
        <f t="shared" si="230"/>
        <v>-51.690015118357636</v>
      </c>
      <c r="AA536" s="371">
        <f t="shared" si="231"/>
        <v>27.887357233469228</v>
      </c>
      <c r="AB536" s="372">
        <f t="shared" si="232"/>
        <v>-161.54175609662016</v>
      </c>
      <c r="AD536">
        <f t="shared" si="236"/>
        <v>0</v>
      </c>
      <c r="AE536">
        <f t="shared" si="213"/>
        <v>0</v>
      </c>
    </row>
    <row r="537" spans="1:31" x14ac:dyDescent="0.3">
      <c r="A537" s="373">
        <v>79433</v>
      </c>
      <c r="B537" s="390">
        <f t="shared" si="233"/>
        <v>79.433000000000007</v>
      </c>
      <c r="C537" s="363">
        <f t="shared" si="214"/>
        <v>589.5322929622622</v>
      </c>
      <c r="D537" s="364">
        <f t="shared" si="215"/>
        <v>1.5691000660616203</v>
      </c>
      <c r="E537" s="364">
        <f t="shared" si="216"/>
        <v>1.165630317888138</v>
      </c>
      <c r="F537" s="365">
        <f t="shared" si="217"/>
        <v>0.53961816646460381</v>
      </c>
      <c r="G537" s="364">
        <f t="shared" si="218"/>
        <v>5.9719197672001227</v>
      </c>
      <c r="H537" s="365">
        <f t="shared" si="219"/>
        <v>-1.4025534035049798</v>
      </c>
      <c r="I537" s="363">
        <f t="shared" si="220"/>
        <v>120190.00010172052</v>
      </c>
      <c r="J537" s="366">
        <f t="shared" si="221"/>
        <v>1.5707880066351565</v>
      </c>
      <c r="K537" s="374">
        <f t="shared" si="237"/>
        <v>407.85941909884048</v>
      </c>
      <c r="L537" s="375">
        <f t="shared" si="238"/>
        <v>1.5683444991428099</v>
      </c>
      <c r="M537" s="363">
        <f t="shared" si="222"/>
        <v>1.6137755653836587</v>
      </c>
      <c r="N537" s="366">
        <f t="shared" si="223"/>
        <v>0.90248070588032436</v>
      </c>
      <c r="O537" s="367">
        <f t="shared" si="224"/>
        <v>1.004620822178937</v>
      </c>
      <c r="P537" s="368">
        <f t="shared" si="225"/>
        <v>0.38813577534186738</v>
      </c>
      <c r="Q537" s="369">
        <f t="shared" si="226"/>
        <v>-9.5902441407111816</v>
      </c>
      <c r="R537" s="370">
        <f t="shared" si="227"/>
        <v>-213.4322387490231</v>
      </c>
      <c r="S537" s="372">
        <f t="shared" si="228"/>
        <v>-33.432238749023099</v>
      </c>
      <c r="U537" s="345">
        <f t="shared" si="234"/>
        <v>79433</v>
      </c>
      <c r="V537" s="345">
        <f t="shared" si="235"/>
        <v>6309601489</v>
      </c>
      <c r="X537" s="371">
        <f t="shared" si="229"/>
        <v>34.552654840338917</v>
      </c>
      <c r="Y537" s="372">
        <f t="shared" si="230"/>
        <v>-51.848338264695379</v>
      </c>
      <c r="AA537" s="371">
        <f t="shared" si="231"/>
        <v>27.898300845509148</v>
      </c>
      <c r="AB537" s="372">
        <f t="shared" si="232"/>
        <v>-161.58390048432773</v>
      </c>
      <c r="AD537">
        <f t="shared" si="236"/>
        <v>0</v>
      </c>
      <c r="AE537">
        <f t="shared" si="213"/>
        <v>0</v>
      </c>
    </row>
    <row r="538" spans="1:31" x14ac:dyDescent="0.3">
      <c r="A538" s="373">
        <v>79895.5</v>
      </c>
      <c r="B538" s="390">
        <f t="shared" si="233"/>
        <v>79.895499999999998</v>
      </c>
      <c r="C538" s="363">
        <f t="shared" si="214"/>
        <v>592.96484496515211</v>
      </c>
      <c r="D538" s="364">
        <f t="shared" si="215"/>
        <v>1.5691098853768173</v>
      </c>
      <c r="E538" s="364">
        <f t="shared" si="216"/>
        <v>1.1674258874343613</v>
      </c>
      <c r="F538" s="365">
        <f t="shared" si="217"/>
        <v>0.54218078033215344</v>
      </c>
      <c r="G538" s="364">
        <f t="shared" si="218"/>
        <v>6.0057191329451696</v>
      </c>
      <c r="H538" s="365">
        <f t="shared" si="219"/>
        <v>-1.4035092102743261</v>
      </c>
      <c r="I538" s="363">
        <f t="shared" si="220"/>
        <v>120889.80843129649</v>
      </c>
      <c r="J538" s="366">
        <f t="shared" si="221"/>
        <v>1.5707880547989941</v>
      </c>
      <c r="K538" s="374">
        <f t="shared" si="237"/>
        <v>410.23417330233542</v>
      </c>
      <c r="L538" s="375">
        <f t="shared" si="238"/>
        <v>1.5683586922548618</v>
      </c>
      <c r="M538" s="363">
        <f t="shared" si="222"/>
        <v>1.6195702393847979</v>
      </c>
      <c r="N538" s="366">
        <f t="shared" si="223"/>
        <v>0.90530238334333357</v>
      </c>
      <c r="O538" s="367">
        <f t="shared" si="224"/>
        <v>1.0047035632633015</v>
      </c>
      <c r="P538" s="368">
        <f t="shared" si="225"/>
        <v>0.39048373136339781</v>
      </c>
      <c r="Q538" s="369">
        <f t="shared" si="226"/>
        <v>-9.610129003019777</v>
      </c>
      <c r="R538" s="370">
        <f t="shared" si="227"/>
        <v>-213.63612582381541</v>
      </c>
      <c r="S538" s="372">
        <f t="shared" si="228"/>
        <v>-33.636125823815405</v>
      </c>
      <c r="U538" s="345">
        <f t="shared" si="234"/>
        <v>79895.5</v>
      </c>
      <c r="V538" s="345">
        <f t="shared" si="235"/>
        <v>6383290920.25</v>
      </c>
      <c r="X538" s="371">
        <f t="shared" si="229"/>
        <v>34.521521492391905</v>
      </c>
      <c r="Y538" s="372">
        <f t="shared" si="230"/>
        <v>-52.009198028822695</v>
      </c>
      <c r="AA538" s="371">
        <f t="shared" si="231"/>
        <v>27.909549331147566</v>
      </c>
      <c r="AB538" s="372">
        <f t="shared" si="232"/>
        <v>-161.6269277949927</v>
      </c>
      <c r="AD538">
        <f t="shared" si="236"/>
        <v>0</v>
      </c>
      <c r="AE538">
        <f t="shared" ref="AE538:AE601" si="239">IF(AD538&gt;0,S538,0)</f>
        <v>0</v>
      </c>
    </row>
    <row r="539" spans="1:31" x14ac:dyDescent="0.3">
      <c r="A539" s="373">
        <v>80358</v>
      </c>
      <c r="B539" s="390">
        <f t="shared" si="233"/>
        <v>80.358000000000004</v>
      </c>
      <c r="C539" s="363">
        <f t="shared" si="214"/>
        <v>596.39739702455688</v>
      </c>
      <c r="D539" s="364">
        <f t="shared" si="215"/>
        <v>1.5691195916623111</v>
      </c>
      <c r="E539" s="364">
        <f t="shared" si="216"/>
        <v>1.1692290998785992</v>
      </c>
      <c r="F539" s="365">
        <f t="shared" si="217"/>
        <v>0.54473550668755477</v>
      </c>
      <c r="G539" s="364">
        <f t="shared" si="218"/>
        <v>6.0395239239013243</v>
      </c>
      <c r="H539" s="365">
        <f t="shared" si="219"/>
        <v>-1.4044543180993891</v>
      </c>
      <c r="I539" s="363">
        <f t="shared" si="220"/>
        <v>121589.61676087274</v>
      </c>
      <c r="J539" s="366">
        <f t="shared" si="221"/>
        <v>1.570788102408418</v>
      </c>
      <c r="K539" s="374">
        <f t="shared" si="237"/>
        <v>412.60892758751839</v>
      </c>
      <c r="L539" s="375">
        <f t="shared" si="238"/>
        <v>1.5683727219911316</v>
      </c>
      <c r="M539" s="363">
        <f t="shared" si="222"/>
        <v>1.6253777161806842</v>
      </c>
      <c r="N539" s="366">
        <f t="shared" si="223"/>
        <v>0.90810391926443734</v>
      </c>
      <c r="O539" s="367">
        <f t="shared" si="224"/>
        <v>1.004787450851875</v>
      </c>
      <c r="P539" s="368">
        <f t="shared" si="225"/>
        <v>0.39283309873722144</v>
      </c>
      <c r="Q539" s="369">
        <f t="shared" si="226"/>
        <v>-9.6299209467027449</v>
      </c>
      <c r="R539" s="370">
        <f t="shared" si="227"/>
        <v>-213.83878150744854</v>
      </c>
      <c r="S539" s="372">
        <f t="shared" si="228"/>
        <v>-33.838781507448545</v>
      </c>
      <c r="U539" s="345">
        <f t="shared" si="234"/>
        <v>80358</v>
      </c>
      <c r="V539" s="345">
        <f t="shared" si="235"/>
        <v>6457408164</v>
      </c>
      <c r="X539" s="371">
        <f t="shared" si="229"/>
        <v>34.490430924752729</v>
      </c>
      <c r="Y539" s="372">
        <f t="shared" si="230"/>
        <v>-52.168913096581853</v>
      </c>
      <c r="AA539" s="371">
        <f t="shared" si="231"/>
        <v>27.92084795510377</v>
      </c>
      <c r="AB539" s="372">
        <f t="shared" si="232"/>
        <v>-161.66986841086668</v>
      </c>
      <c r="AD539">
        <f t="shared" si="236"/>
        <v>0</v>
      </c>
      <c r="AE539">
        <f t="shared" si="239"/>
        <v>0</v>
      </c>
    </row>
    <row r="540" spans="1:31" x14ac:dyDescent="0.3">
      <c r="A540" s="373">
        <v>80820.5</v>
      </c>
      <c r="B540" s="390">
        <f t="shared" si="233"/>
        <v>80.820499999999996</v>
      </c>
      <c r="C540" s="363">
        <f t="shared" si="214"/>
        <v>599.82994913950631</v>
      </c>
      <c r="D540" s="364">
        <f t="shared" si="215"/>
        <v>1.569129186858552</v>
      </c>
      <c r="E540" s="364">
        <f t="shared" si="216"/>
        <v>1.1710399199143651</v>
      </c>
      <c r="F540" s="365">
        <f t="shared" si="217"/>
        <v>0.5472823486968611</v>
      </c>
      <c r="G540" s="364">
        <f t="shared" si="218"/>
        <v>6.0733340494767685</v>
      </c>
      <c r="H540" s="365">
        <f t="shared" si="219"/>
        <v>-1.4053889039599277</v>
      </c>
      <c r="I540" s="363">
        <f t="shared" si="220"/>
        <v>122289.42509044928</v>
      </c>
      <c r="J540" s="366">
        <f t="shared" si="221"/>
        <v>1.570788149472947</v>
      </c>
      <c r="K540" s="374">
        <f t="shared" si="237"/>
        <v>414.98368195298713</v>
      </c>
      <c r="L540" s="375">
        <f t="shared" si="238"/>
        <v>1.5683865911563799</v>
      </c>
      <c r="M540" s="363">
        <f t="shared" si="222"/>
        <v>1.6311978590277645</v>
      </c>
      <c r="N540" s="366">
        <f t="shared" si="223"/>
        <v>0.91088548502788014</v>
      </c>
      <c r="O540" s="367">
        <f t="shared" si="224"/>
        <v>1.0048724963443887</v>
      </c>
      <c r="P540" s="368">
        <f t="shared" si="225"/>
        <v>0.39518388199418797</v>
      </c>
      <c r="Q540" s="369">
        <f t="shared" si="226"/>
        <v>-9.6496203916280852</v>
      </c>
      <c r="R540" s="370">
        <f t="shared" si="227"/>
        <v>-214.04022578893088</v>
      </c>
      <c r="S540" s="372">
        <f t="shared" si="228"/>
        <v>-34.040225788930883</v>
      </c>
      <c r="U540" s="345">
        <f t="shared" si="234"/>
        <v>80820.5</v>
      </c>
      <c r="V540" s="345">
        <f t="shared" si="235"/>
        <v>6531953220.25</v>
      </c>
      <c r="X540" s="371">
        <f t="shared" si="229"/>
        <v>34.459383804772202</v>
      </c>
      <c r="Y540" s="372">
        <f t="shared" si="230"/>
        <v>-52.327493127411188</v>
      </c>
      <c r="AA540" s="371">
        <f t="shared" si="231"/>
        <v>27.932195630158958</v>
      </c>
      <c r="AB540" s="372">
        <f t="shared" si="232"/>
        <v>-161.71273266151968</v>
      </c>
      <c r="AD540">
        <f t="shared" si="236"/>
        <v>0</v>
      </c>
      <c r="AE540">
        <f t="shared" si="239"/>
        <v>0</v>
      </c>
    </row>
    <row r="541" spans="1:31" x14ac:dyDescent="0.3">
      <c r="A541" s="373">
        <v>81283</v>
      </c>
      <c r="B541" s="390">
        <f t="shared" si="233"/>
        <v>81.283000000000001</v>
      </c>
      <c r="C541" s="363">
        <f t="shared" si="214"/>
        <v>603.26250130905225</v>
      </c>
      <c r="D541" s="364">
        <f t="shared" si="215"/>
        <v>1.5691386728618251</v>
      </c>
      <c r="E541" s="364">
        <f t="shared" si="216"/>
        <v>1.1728583123047198</v>
      </c>
      <c r="F541" s="365">
        <f t="shared" si="217"/>
        <v>0.54982130991574074</v>
      </c>
      <c r="G541" s="364">
        <f t="shared" si="218"/>
        <v>6.1071494210716653</v>
      </c>
      <c r="H541" s="365">
        <f t="shared" si="219"/>
        <v>-1.4063131409903971</v>
      </c>
      <c r="I541" s="363">
        <f t="shared" si="220"/>
        <v>122989.23342002607</v>
      </c>
      <c r="J541" s="366">
        <f t="shared" si="221"/>
        <v>1.5707881960018817</v>
      </c>
      <c r="K541" s="374">
        <f t="shared" si="237"/>
        <v>417.35843639737118</v>
      </c>
      <c r="L541" s="375">
        <f t="shared" si="238"/>
        <v>1.5684003024915312</v>
      </c>
      <c r="M541" s="363">
        <f t="shared" si="222"/>
        <v>1.6370305328310186</v>
      </c>
      <c r="N541" s="366">
        <f t="shared" si="223"/>
        <v>0.91364725081942466</v>
      </c>
      <c r="O541" s="367">
        <f t="shared" si="224"/>
        <v>1.0049587112001908</v>
      </c>
      <c r="P541" s="368">
        <f t="shared" si="225"/>
        <v>0.39753608559819792</v>
      </c>
      <c r="Q541" s="369">
        <f t="shared" si="226"/>
        <v>-9.669227760601002</v>
      </c>
      <c r="R541" s="370">
        <f t="shared" si="227"/>
        <v>-214.24047834323835</v>
      </c>
      <c r="S541" s="372">
        <f t="shared" si="228"/>
        <v>-34.240478343238351</v>
      </c>
      <c r="U541" s="345">
        <f t="shared" si="234"/>
        <v>81283</v>
      </c>
      <c r="V541" s="345">
        <f t="shared" si="235"/>
        <v>6606926089</v>
      </c>
      <c r="X541" s="371">
        <f t="shared" si="229"/>
        <v>34.428380780323479</v>
      </c>
      <c r="Y541" s="372">
        <f t="shared" si="230"/>
        <v>-52.484947715726143</v>
      </c>
      <c r="AA541" s="371">
        <f t="shared" si="231"/>
        <v>27.943591285634774</v>
      </c>
      <c r="AB541" s="372">
        <f t="shared" si="232"/>
        <v>-161.7555306275122</v>
      </c>
      <c r="AD541">
        <f t="shared" si="236"/>
        <v>0</v>
      </c>
      <c r="AE541">
        <f t="shared" si="239"/>
        <v>0</v>
      </c>
    </row>
    <row r="542" spans="1:31" x14ac:dyDescent="0.3">
      <c r="A542" s="373">
        <v>81756.25</v>
      </c>
      <c r="B542" s="390">
        <f t="shared" si="233"/>
        <v>81.756249999999994</v>
      </c>
      <c r="C542" s="363">
        <f t="shared" si="214"/>
        <v>606.77483717916846</v>
      </c>
      <c r="D542" s="364">
        <f t="shared" si="215"/>
        <v>1.5691482682542164</v>
      </c>
      <c r="E542" s="364">
        <f t="shared" si="216"/>
        <v>1.1747267717581176</v>
      </c>
      <c r="F542" s="365">
        <f t="shared" si="217"/>
        <v>0.55241113125835672</v>
      </c>
      <c r="G542" s="364">
        <f t="shared" si="218"/>
        <v>6.1417561115218628</v>
      </c>
      <c r="H542" s="365">
        <f t="shared" si="219"/>
        <v>-1.407248324530801</v>
      </c>
      <c r="I542" s="363">
        <f t="shared" si="220"/>
        <v>123705.30756483115</v>
      </c>
      <c r="J542" s="366">
        <f t="shared" si="221"/>
        <v>1.5707882430673694</v>
      </c>
      <c r="K542" s="374">
        <f t="shared" si="237"/>
        <v>419.7883879172399</v>
      </c>
      <c r="L542" s="375">
        <f t="shared" si="238"/>
        <v>1.5684141719412594</v>
      </c>
      <c r="M542" s="363">
        <f t="shared" si="222"/>
        <v>1.6430116089061915</v>
      </c>
      <c r="N542" s="366">
        <f t="shared" si="223"/>
        <v>0.91645288962608606</v>
      </c>
      <c r="O542" s="367">
        <f t="shared" si="224"/>
        <v>1.0050481524339721</v>
      </c>
      <c r="P542" s="368">
        <f t="shared" si="225"/>
        <v>0.39994443687946013</v>
      </c>
      <c r="Q542" s="369">
        <f t="shared" si="226"/>
        <v>-9.68919600158282</v>
      </c>
      <c r="R542" s="370">
        <f t="shared" si="227"/>
        <v>-214.44417201844962</v>
      </c>
      <c r="S542" s="372">
        <f t="shared" si="228"/>
        <v>-34.444172018449621</v>
      </c>
      <c r="U542" s="345">
        <f t="shared" si="234"/>
        <v>81756.25</v>
      </c>
      <c r="V542" s="345">
        <f t="shared" si="235"/>
        <v>6684084414.0625</v>
      </c>
      <c r="X542" s="371">
        <f t="shared" si="229"/>
        <v>34.39670344567282</v>
      </c>
      <c r="Y542" s="372">
        <f t="shared" si="230"/>
        <v>-52.644907014088936</v>
      </c>
      <c r="AA542" s="371">
        <f t="shared" si="231"/>
        <v>27.955300379303608</v>
      </c>
      <c r="AB542" s="372">
        <f t="shared" si="232"/>
        <v>-161.79926500436065</v>
      </c>
      <c r="AD542">
        <f t="shared" si="236"/>
        <v>0</v>
      </c>
      <c r="AE542">
        <f t="shared" si="239"/>
        <v>0</v>
      </c>
    </row>
    <row r="543" spans="1:31" x14ac:dyDescent="0.3">
      <c r="A543" s="373">
        <v>82229.5</v>
      </c>
      <c r="B543" s="390">
        <f t="shared" si="233"/>
        <v>82.229500000000002</v>
      </c>
      <c r="C543" s="363">
        <f t="shared" si="214"/>
        <v>610.28717310450816</v>
      </c>
      <c r="D543" s="364">
        <f t="shared" si="215"/>
        <v>1.5691577531994523</v>
      </c>
      <c r="E543" s="364">
        <f t="shared" si="216"/>
        <v>1.1766030852540963</v>
      </c>
      <c r="F543" s="365">
        <f t="shared" si="217"/>
        <v>0.55499270996196537</v>
      </c>
      <c r="G543" s="364">
        <f t="shared" si="218"/>
        <v>6.1763681131616499</v>
      </c>
      <c r="H543" s="365">
        <f t="shared" si="219"/>
        <v>-1.4081730274458761</v>
      </c>
      <c r="I543" s="363">
        <f t="shared" si="220"/>
        <v>124421.38170963648</v>
      </c>
      <c r="J543" s="366">
        <f t="shared" si="221"/>
        <v>1.5707882895911116</v>
      </c>
      <c r="K543" s="374">
        <f t="shared" si="237"/>
        <v>422.21833951693031</v>
      </c>
      <c r="L543" s="375">
        <f t="shared" si="238"/>
        <v>1.5684278817480359</v>
      </c>
      <c r="M543" s="363">
        <f t="shared" si="222"/>
        <v>1.64900552424826</v>
      </c>
      <c r="N543" s="366">
        <f t="shared" si="223"/>
        <v>0.91923815397836672</v>
      </c>
      <c r="O543" s="367">
        <f t="shared" si="224"/>
        <v>1.0051388424882124</v>
      </c>
      <c r="P543" s="368">
        <f t="shared" si="225"/>
        <v>0.40235428454166783</v>
      </c>
      <c r="Q543" s="369">
        <f t="shared" si="226"/>
        <v>-9.7090687419356669</v>
      </c>
      <c r="R543" s="370">
        <f t="shared" si="227"/>
        <v>-214.64665862022727</v>
      </c>
      <c r="S543" s="372">
        <f t="shared" si="228"/>
        <v>-34.646658620227271</v>
      </c>
      <c r="U543" s="345">
        <f t="shared" si="234"/>
        <v>82229.5</v>
      </c>
      <c r="V543" s="345">
        <f t="shared" si="235"/>
        <v>6761690670.25</v>
      </c>
      <c r="X543" s="371">
        <f t="shared" si="229"/>
        <v>34.365073591900035</v>
      </c>
      <c r="Y543" s="372">
        <f t="shared" si="230"/>
        <v>-52.803708058032164</v>
      </c>
      <c r="AA543" s="371">
        <f t="shared" si="231"/>
        <v>27.967057492723548</v>
      </c>
      <c r="AB543" s="372">
        <f t="shared" si="232"/>
        <v>-161.84295056219511</v>
      </c>
      <c r="AD543">
        <f t="shared" si="236"/>
        <v>0</v>
      </c>
      <c r="AE543">
        <f t="shared" si="239"/>
        <v>0</v>
      </c>
    </row>
    <row r="544" spans="1:31" x14ac:dyDescent="0.3">
      <c r="A544" s="373">
        <v>82702.75</v>
      </c>
      <c r="B544" s="390">
        <f t="shared" si="233"/>
        <v>82.702749999999995</v>
      </c>
      <c r="C544" s="363">
        <f t="shared" si="214"/>
        <v>613.79950908412366</v>
      </c>
      <c r="D544" s="364">
        <f t="shared" si="215"/>
        <v>1.5691671295935614</v>
      </c>
      <c r="E544" s="364">
        <f t="shared" si="216"/>
        <v>1.1784872152785135</v>
      </c>
      <c r="F544" s="365">
        <f t="shared" si="217"/>
        <v>0.55756605106889434</v>
      </c>
      <c r="G544" s="364">
        <f t="shared" si="218"/>
        <v>6.2109853371979158</v>
      </c>
      <c r="H544" s="365">
        <f t="shared" si="219"/>
        <v>-1.4090874233836752</v>
      </c>
      <c r="I544" s="363">
        <f t="shared" si="220"/>
        <v>125137.45585444209</v>
      </c>
      <c r="J544" s="366">
        <f t="shared" si="221"/>
        <v>1.5707883355824082</v>
      </c>
      <c r="K544" s="374">
        <f t="shared" si="237"/>
        <v>424.64829119507215</v>
      </c>
      <c r="L544" s="375">
        <f t="shared" si="238"/>
        <v>1.5684414346524151</v>
      </c>
      <c r="M544" s="363">
        <f t="shared" si="222"/>
        <v>1.6550121393582917</v>
      </c>
      <c r="N544" s="366">
        <f t="shared" si="223"/>
        <v>0.92200322226417941</v>
      </c>
      <c r="O544" s="367">
        <f t="shared" si="224"/>
        <v>1.0052307938328275</v>
      </c>
      <c r="P544" s="368">
        <f t="shared" si="225"/>
        <v>0.40476563314654318</v>
      </c>
      <c r="Q544" s="369">
        <f t="shared" si="226"/>
        <v>-9.7288464445699301</v>
      </c>
      <c r="R544" s="370">
        <f t="shared" si="227"/>
        <v>-214.84795824335475</v>
      </c>
      <c r="S544" s="372">
        <f t="shared" si="228"/>
        <v>-34.847958243354753</v>
      </c>
      <c r="U544" s="345">
        <f t="shared" si="234"/>
        <v>82702.75</v>
      </c>
      <c r="V544" s="345">
        <f t="shared" si="235"/>
        <v>6839744857.5625</v>
      </c>
      <c r="X544" s="371">
        <f t="shared" si="229"/>
        <v>34.333491852327384</v>
      </c>
      <c r="Y544" s="372">
        <f t="shared" si="230"/>
        <v>-52.961360911940957</v>
      </c>
      <c r="AA544" s="371">
        <f t="shared" si="231"/>
        <v>27.978861529661931</v>
      </c>
      <c r="AB544" s="372">
        <f t="shared" si="232"/>
        <v>-161.88659733141384</v>
      </c>
      <c r="AD544">
        <f t="shared" si="236"/>
        <v>0</v>
      </c>
      <c r="AE544">
        <f t="shared" si="239"/>
        <v>0</v>
      </c>
    </row>
    <row r="545" spans="1:31" x14ac:dyDescent="0.3">
      <c r="A545" s="373">
        <v>83176</v>
      </c>
      <c r="B545" s="390">
        <f t="shared" si="233"/>
        <v>83.176000000000002</v>
      </c>
      <c r="C545" s="363">
        <f t="shared" si="214"/>
        <v>617.3118451170883</v>
      </c>
      <c r="D545" s="364">
        <f t="shared" si="215"/>
        <v>1.5691763992894212</v>
      </c>
      <c r="E545" s="364">
        <f t="shared" si="216"/>
        <v>1.1803791244009654</v>
      </c>
      <c r="F545" s="365">
        <f t="shared" si="217"/>
        <v>0.56013116002574248</v>
      </c>
      <c r="G545" s="364">
        <f t="shared" si="218"/>
        <v>6.2456076967928986</v>
      </c>
      <c r="H545" s="365">
        <f t="shared" si="219"/>
        <v>-1.4099916822116147</v>
      </c>
      <c r="I545" s="363">
        <f t="shared" si="220"/>
        <v>125853.52999924797</v>
      </c>
      <c r="J545" s="366">
        <f t="shared" si="221"/>
        <v>1.5707883810503473</v>
      </c>
      <c r="K545" s="374">
        <f t="shared" si="237"/>
        <v>427.07824295032623</v>
      </c>
      <c r="L545" s="375">
        <f t="shared" si="238"/>
        <v>1.5684548333325801</v>
      </c>
      <c r="M545" s="363">
        <f t="shared" si="222"/>
        <v>1.6610313164617345</v>
      </c>
      <c r="N545" s="366">
        <f t="shared" si="223"/>
        <v>0.9247482715291836</v>
      </c>
      <c r="O545" s="367">
        <f t="shared" si="224"/>
        <v>1.0053240190023733</v>
      </c>
      <c r="P545" s="368">
        <f t="shared" si="225"/>
        <v>0.40717848718035043</v>
      </c>
      <c r="Q545" s="369">
        <f t="shared" si="226"/>
        <v>-9.7485295758342918</v>
      </c>
      <c r="R545" s="370">
        <f t="shared" si="227"/>
        <v>-215.0480906626984</v>
      </c>
      <c r="S545" s="372">
        <f t="shared" si="228"/>
        <v>-35.048090662698399</v>
      </c>
      <c r="U545" s="345">
        <f t="shared" si="234"/>
        <v>83176</v>
      </c>
      <c r="V545" s="345">
        <f t="shared" si="235"/>
        <v>6918246976</v>
      </c>
      <c r="X545" s="371">
        <f t="shared" si="229"/>
        <v>34.301958840621495</v>
      </c>
      <c r="Y545" s="372">
        <f t="shared" si="230"/>
        <v>-53.117875566856547</v>
      </c>
      <c r="AA545" s="371">
        <f t="shared" si="231"/>
        <v>27.990711410103465</v>
      </c>
      <c r="AB545" s="372">
        <f t="shared" si="232"/>
        <v>-161.93021509584187</v>
      </c>
      <c r="AD545">
        <f t="shared" si="236"/>
        <v>0</v>
      </c>
      <c r="AE545">
        <f t="shared" si="239"/>
        <v>0</v>
      </c>
    </row>
    <row r="546" spans="1:31" x14ac:dyDescent="0.3">
      <c r="A546" s="373">
        <v>83660.5</v>
      </c>
      <c r="B546" s="390">
        <f t="shared" si="233"/>
        <v>83.660499999999999</v>
      </c>
      <c r="C546" s="363">
        <f t="shared" si="214"/>
        <v>620.90767572179811</v>
      </c>
      <c r="D546" s="364">
        <f t="shared" si="215"/>
        <v>1.5691857807001854</v>
      </c>
      <c r="E546" s="364">
        <f t="shared" si="216"/>
        <v>1.1823240272788926</v>
      </c>
      <c r="F546" s="365">
        <f t="shared" si="217"/>
        <v>0.56274872430625478</v>
      </c>
      <c r="G546" s="364">
        <f t="shared" si="218"/>
        <v>6.2810583233355004</v>
      </c>
      <c r="H546" s="365">
        <f t="shared" si="219"/>
        <v>-1.4109071089541372</v>
      </c>
      <c r="I546" s="363">
        <f t="shared" si="220"/>
        <v>126586.62650882761</v>
      </c>
      <c r="J546" s="366">
        <f t="shared" si="221"/>
        <v>1.5707884270662476</v>
      </c>
      <c r="K546" s="374">
        <f t="shared" si="237"/>
        <v>429.56595908889778</v>
      </c>
      <c r="L546" s="375">
        <f t="shared" si="238"/>
        <v>1.5684683934890691</v>
      </c>
      <c r="M546" s="363">
        <f t="shared" si="222"/>
        <v>1.6672064515908178</v>
      </c>
      <c r="N546" s="366">
        <f t="shared" si="223"/>
        <v>0.92753802046865086</v>
      </c>
      <c r="O546" s="367">
        <f t="shared" si="224"/>
        <v>1.005420793063287</v>
      </c>
      <c r="P546" s="368">
        <f t="shared" si="225"/>
        <v>0.40965026321442216</v>
      </c>
      <c r="Q546" s="369">
        <f t="shared" si="226"/>
        <v>-9.768583130667631</v>
      </c>
      <c r="R546" s="370">
        <f t="shared" si="227"/>
        <v>-215.25179175266319</v>
      </c>
      <c r="S546" s="372">
        <f t="shared" si="228"/>
        <v>-35.251791752663195</v>
      </c>
      <c r="U546" s="345">
        <f t="shared" si="234"/>
        <v>83660.5</v>
      </c>
      <c r="V546" s="345">
        <f t="shared" si="235"/>
        <v>6999079260.25</v>
      </c>
      <c r="X546" s="371">
        <f t="shared" si="229"/>
        <v>34.269727332464257</v>
      </c>
      <c r="Y546" s="372">
        <f t="shared" si="230"/>
        <v>-53.276942103951406</v>
      </c>
      <c r="AA546" s="371">
        <f t="shared" si="231"/>
        <v>28.002889363427357</v>
      </c>
      <c r="AB546" s="372">
        <f t="shared" si="232"/>
        <v>-161.97484964871182</v>
      </c>
      <c r="AD546">
        <f t="shared" si="236"/>
        <v>0</v>
      </c>
      <c r="AE546">
        <f t="shared" si="239"/>
        <v>0</v>
      </c>
    </row>
    <row r="547" spans="1:31" x14ac:dyDescent="0.3">
      <c r="A547" s="373">
        <v>84145</v>
      </c>
      <c r="B547" s="390">
        <f t="shared" si="233"/>
        <v>84.144999999999996</v>
      </c>
      <c r="C547" s="363">
        <f t="shared" si="214"/>
        <v>624.50350638052521</v>
      </c>
      <c r="D547" s="364">
        <f t="shared" si="215"/>
        <v>1.5691950540764428</v>
      </c>
      <c r="E547" s="364">
        <f t="shared" si="216"/>
        <v>1.1842770043787594</v>
      </c>
      <c r="F547" s="365">
        <f t="shared" si="217"/>
        <v>0.56535767322520103</v>
      </c>
      <c r="G547" s="364">
        <f t="shared" si="218"/>
        <v>6.3165141543586962</v>
      </c>
      <c r="H547" s="365">
        <f t="shared" si="219"/>
        <v>-1.4118122595089213</v>
      </c>
      <c r="I547" s="363">
        <f t="shared" si="220"/>
        <v>127319.72301840753</v>
      </c>
      <c r="J547" s="366">
        <f t="shared" si="221"/>
        <v>1.5707884725522365</v>
      </c>
      <c r="K547" s="374">
        <f t="shared" si="237"/>
        <v>432.05367530554736</v>
      </c>
      <c r="L547" s="375">
        <f t="shared" si="238"/>
        <v>1.5684817974898644</v>
      </c>
      <c r="M547" s="363">
        <f t="shared" si="222"/>
        <v>1.6733944662644682</v>
      </c>
      <c r="N547" s="366">
        <f t="shared" si="223"/>
        <v>0.93030715850421442</v>
      </c>
      <c r="O547" s="367">
        <f t="shared" si="224"/>
        <v>1.0055189290253788</v>
      </c>
      <c r="P547" s="368">
        <f t="shared" si="225"/>
        <v>0.41212362637303224</v>
      </c>
      <c r="Q547" s="369">
        <f t="shared" si="226"/>
        <v>-9.7885385647606515</v>
      </c>
      <c r="R547" s="370">
        <f t="shared" si="227"/>
        <v>-215.45431042880773</v>
      </c>
      <c r="S547" s="372">
        <f t="shared" si="228"/>
        <v>-35.45431042880773</v>
      </c>
      <c r="U547" s="345">
        <f t="shared" si="234"/>
        <v>84145</v>
      </c>
      <c r="V547" s="345">
        <f t="shared" si="235"/>
        <v>7080381025</v>
      </c>
      <c r="X547" s="371">
        <f t="shared" si="229"/>
        <v>34.237548136728762</v>
      </c>
      <c r="Y547" s="372">
        <f t="shared" si="230"/>
        <v>-53.434836639939796</v>
      </c>
      <c r="AA547" s="371">
        <f t="shared" si="231"/>
        <v>28.015113125069838</v>
      </c>
      <c r="AB547" s="372">
        <f t="shared" si="232"/>
        <v>-162.01947378886791</v>
      </c>
      <c r="AD547">
        <f t="shared" si="236"/>
        <v>0</v>
      </c>
      <c r="AE547">
        <f t="shared" si="239"/>
        <v>0</v>
      </c>
    </row>
    <row r="548" spans="1:31" x14ac:dyDescent="0.3">
      <c r="A548" s="373">
        <v>84629.5</v>
      </c>
      <c r="B548" s="390">
        <f t="shared" si="233"/>
        <v>84.629499999999993</v>
      </c>
      <c r="C548" s="363">
        <f t="shared" si="214"/>
        <v>628.09933709234178</v>
      </c>
      <c r="D548" s="364">
        <f t="shared" si="215"/>
        <v>1.5692042212736648</v>
      </c>
      <c r="E548" s="364">
        <f t="shared" si="216"/>
        <v>1.186238015821292</v>
      </c>
      <c r="F548" s="365">
        <f t="shared" si="217"/>
        <v>0.56795801390609202</v>
      </c>
      <c r="G548" s="364">
        <f t="shared" si="218"/>
        <v>6.3519751027104494</v>
      </c>
      <c r="H548" s="365">
        <f t="shared" si="219"/>
        <v>-1.4127073044857719</v>
      </c>
      <c r="I548" s="363">
        <f t="shared" si="220"/>
        <v>128052.81952798771</v>
      </c>
      <c r="J548" s="366">
        <f t="shared" si="221"/>
        <v>1.570788517517415</v>
      </c>
      <c r="K548" s="374">
        <f t="shared" si="237"/>
        <v>434.54139159893413</v>
      </c>
      <c r="L548" s="375">
        <f t="shared" si="238"/>
        <v>1.5684950480168998</v>
      </c>
      <c r="M548" s="363">
        <f t="shared" si="222"/>
        <v>1.6795952181290881</v>
      </c>
      <c r="N548" s="366">
        <f t="shared" si="223"/>
        <v>0.93305587120694466</v>
      </c>
      <c r="O548" s="367">
        <f t="shared" si="224"/>
        <v>1.0056184405478377</v>
      </c>
      <c r="P548" s="368">
        <f t="shared" si="225"/>
        <v>0.41459858122082749</v>
      </c>
      <c r="Q548" s="369">
        <f t="shared" si="226"/>
        <v>-9.8083963898498983</v>
      </c>
      <c r="R548" s="370">
        <f t="shared" si="227"/>
        <v>-215.65566690534931</v>
      </c>
      <c r="S548" s="372">
        <f t="shared" si="228"/>
        <v>-35.655666905349307</v>
      </c>
      <c r="U548" s="345">
        <f t="shared" si="234"/>
        <v>84629.5</v>
      </c>
      <c r="V548" s="345">
        <f t="shared" si="235"/>
        <v>7162152270.25</v>
      </c>
      <c r="X548" s="371">
        <f t="shared" si="229"/>
        <v>34.205421850549143</v>
      </c>
      <c r="Y548" s="372">
        <f t="shared" si="230"/>
        <v>-53.591569654118835</v>
      </c>
      <c r="AA548" s="371">
        <f t="shared" si="231"/>
        <v>28.02738158616021</v>
      </c>
      <c r="AB548" s="372">
        <f t="shared" si="232"/>
        <v>-162.06409725123049</v>
      </c>
      <c r="AD548">
        <f t="shared" si="236"/>
        <v>0</v>
      </c>
      <c r="AE548">
        <f t="shared" si="239"/>
        <v>0</v>
      </c>
    </row>
    <row r="549" spans="1:31" x14ac:dyDescent="0.3">
      <c r="A549" s="373">
        <v>85114</v>
      </c>
      <c r="B549" s="390">
        <f t="shared" si="233"/>
        <v>85.114000000000004</v>
      </c>
      <c r="C549" s="363">
        <f t="shared" si="214"/>
        <v>631.69516785634153</v>
      </c>
      <c r="D549" s="364">
        <f t="shared" si="215"/>
        <v>1.5692132841050748</v>
      </c>
      <c r="E549" s="364">
        <f t="shared" si="216"/>
        <v>1.1882070218269636</v>
      </c>
      <c r="F549" s="365">
        <f t="shared" si="217"/>
        <v>0.57054975389116225</v>
      </c>
      <c r="G549" s="364">
        <f t="shared" si="218"/>
        <v>6.3874410831616437</v>
      </c>
      <c r="H549" s="365">
        <f t="shared" si="219"/>
        <v>-1.4135924107708691</v>
      </c>
      <c r="I549" s="363">
        <f t="shared" si="220"/>
        <v>128785.91603756814</v>
      </c>
      <c r="J549" s="366">
        <f t="shared" si="221"/>
        <v>1.570788561970677</v>
      </c>
      <c r="K549" s="374">
        <f t="shared" si="237"/>
        <v>437.02910796774745</v>
      </c>
      <c r="L549" s="375">
        <f t="shared" si="238"/>
        <v>1.5685081476910425</v>
      </c>
      <c r="M549" s="363">
        <f t="shared" si="222"/>
        <v>1.6858085666346312</v>
      </c>
      <c r="N549" s="366">
        <f t="shared" si="223"/>
        <v>0.93578434265509458</v>
      </c>
      <c r="O549" s="367">
        <f t="shared" si="224"/>
        <v>1.0057193413600087</v>
      </c>
      <c r="P549" s="368">
        <f t="shared" si="225"/>
        <v>0.41707513223724318</v>
      </c>
      <c r="Q549" s="369">
        <f t="shared" si="226"/>
        <v>-9.8281571215046064</v>
      </c>
      <c r="R549" s="370">
        <f t="shared" si="227"/>
        <v>-215.85588106981839</v>
      </c>
      <c r="S549" s="372">
        <f t="shared" si="228"/>
        <v>-35.855881069818395</v>
      </c>
      <c r="U549" s="345">
        <f t="shared" si="234"/>
        <v>85114</v>
      </c>
      <c r="V549" s="345">
        <f t="shared" si="235"/>
        <v>7244392996</v>
      </c>
      <c r="X549" s="371">
        <f t="shared" si="229"/>
        <v>34.173349051252941</v>
      </c>
      <c r="Y549" s="372">
        <f t="shared" si="230"/>
        <v>-53.747151543740458</v>
      </c>
      <c r="AA549" s="371">
        <f t="shared" si="231"/>
        <v>28.039693653801706</v>
      </c>
      <c r="AB549" s="372">
        <f t="shared" si="232"/>
        <v>-162.10872952607792</v>
      </c>
      <c r="AD549">
        <f t="shared" si="236"/>
        <v>0</v>
      </c>
      <c r="AE549">
        <f t="shared" si="239"/>
        <v>0</v>
      </c>
    </row>
    <row r="550" spans="1:31" x14ac:dyDescent="0.3">
      <c r="A550" s="373">
        <v>85609.5</v>
      </c>
      <c r="B550" s="390">
        <f t="shared" si="233"/>
        <v>85.609499999999997</v>
      </c>
      <c r="C550" s="363">
        <f t="shared" si="214"/>
        <v>635.37263776194447</v>
      </c>
      <c r="D550" s="364">
        <f t="shared" si="215"/>
        <v>1.5692224465970142</v>
      </c>
      <c r="E550" s="364">
        <f t="shared" si="216"/>
        <v>1.1902289593222286</v>
      </c>
      <c r="F550" s="365">
        <f t="shared" si="217"/>
        <v>0.5731914487468911</v>
      </c>
      <c r="G550" s="364">
        <f t="shared" si="218"/>
        <v>6.4237173946988664</v>
      </c>
      <c r="H550" s="365">
        <f t="shared" si="219"/>
        <v>-1.4144875027474495</v>
      </c>
      <c r="I550" s="363">
        <f t="shared" si="220"/>
        <v>129535.65663714962</v>
      </c>
      <c r="J550" s="366">
        <f t="shared" si="221"/>
        <v>1.5707886069127732</v>
      </c>
      <c r="K550" s="374">
        <f t="shared" si="237"/>
        <v>439.57330507383324</v>
      </c>
      <c r="L550" s="375">
        <f t="shared" si="238"/>
        <v>1.5685213914177638</v>
      </c>
      <c r="M550" s="363">
        <f t="shared" si="222"/>
        <v>1.6921758661448907</v>
      </c>
      <c r="N550" s="366">
        <f t="shared" si="223"/>
        <v>0.93855401528950122</v>
      </c>
      <c r="O550" s="367">
        <f t="shared" si="224"/>
        <v>1.0058239843481487</v>
      </c>
      <c r="P550" s="368">
        <f t="shared" si="225"/>
        <v>0.41960956593508664</v>
      </c>
      <c r="Q550" s="369">
        <f t="shared" si="226"/>
        <v>-9.8482666134773851</v>
      </c>
      <c r="R550" s="370">
        <f t="shared" si="227"/>
        <v>-216.0594797409812</v>
      </c>
      <c r="S550" s="372">
        <f t="shared" si="228"/>
        <v>-36.059479740981203</v>
      </c>
      <c r="U550" s="345">
        <f t="shared" si="234"/>
        <v>85609.5</v>
      </c>
      <c r="V550" s="345">
        <f t="shared" si="235"/>
        <v>7328986490.25</v>
      </c>
      <c r="X550" s="371">
        <f t="shared" si="229"/>
        <v>34.14060398050389</v>
      </c>
      <c r="Y550" s="372">
        <f t="shared" si="230"/>
        <v>-53.905085861851589</v>
      </c>
      <c r="AA550" s="371">
        <f t="shared" si="231"/>
        <v>28.052329232577975</v>
      </c>
      <c r="AB550" s="372">
        <f t="shared" si="232"/>
        <v>-162.1543938791296</v>
      </c>
      <c r="AD550">
        <f t="shared" si="236"/>
        <v>0</v>
      </c>
      <c r="AE550">
        <f t="shared" si="239"/>
        <v>0</v>
      </c>
    </row>
    <row r="551" spans="1:31" x14ac:dyDescent="0.3">
      <c r="A551" s="373">
        <v>86105</v>
      </c>
      <c r="B551" s="390">
        <f t="shared" si="233"/>
        <v>86.105000000000004</v>
      </c>
      <c r="C551" s="363">
        <f t="shared" si="214"/>
        <v>639.05010772027401</v>
      </c>
      <c r="D551" s="364">
        <f t="shared" si="215"/>
        <v>1.5692315036362254</v>
      </c>
      <c r="E551" s="364">
        <f t="shared" si="216"/>
        <v>1.1922591746857514</v>
      </c>
      <c r="F551" s="365">
        <f t="shared" si="217"/>
        <v>0.57582416520567159</v>
      </c>
      <c r="G551" s="364">
        <f t="shared" si="218"/>
        <v>6.4599987950476248</v>
      </c>
      <c r="H551" s="365">
        <f t="shared" si="219"/>
        <v>-1.4153725411861173</v>
      </c>
      <c r="I551" s="363">
        <f t="shared" si="220"/>
        <v>130285.39723673137</v>
      </c>
      <c r="J551" s="366">
        <f t="shared" si="221"/>
        <v>1.5707886513376219</v>
      </c>
      <c r="K551" s="374">
        <f t="shared" si="237"/>
        <v>442.11750225613122</v>
      </c>
      <c r="L551" s="375">
        <f t="shared" si="238"/>
        <v>1.5685344827205183</v>
      </c>
      <c r="M551" s="363">
        <f t="shared" si="222"/>
        <v>1.698556049103491</v>
      </c>
      <c r="N551" s="366">
        <f t="shared" si="223"/>
        <v>0.94130290177284981</v>
      </c>
      <c r="O551" s="367">
        <f t="shared" si="224"/>
        <v>1.0059301096958297</v>
      </c>
      <c r="P551" s="368">
        <f t="shared" si="225"/>
        <v>0.4221456783039092</v>
      </c>
      <c r="Q551" s="369">
        <f t="shared" si="226"/>
        <v>-9.8682756561350367</v>
      </c>
      <c r="R551" s="370">
        <f t="shared" si="227"/>
        <v>-216.26192469475504</v>
      </c>
      <c r="S551" s="372">
        <f t="shared" si="228"/>
        <v>-36.261924694755038</v>
      </c>
      <c r="U551" s="345">
        <f t="shared" si="234"/>
        <v>86105</v>
      </c>
      <c r="V551" s="345">
        <f t="shared" si="235"/>
        <v>7414071025</v>
      </c>
      <c r="X551" s="371">
        <f t="shared" si="229"/>
        <v>34.107916012753499</v>
      </c>
      <c r="Y551" s="372">
        <f t="shared" si="230"/>
        <v>-54.061837924847332</v>
      </c>
      <c r="AA551" s="371">
        <f t="shared" si="231"/>
        <v>28.065008157670711</v>
      </c>
      <c r="AB551" s="372">
        <f t="shared" si="232"/>
        <v>-162.20008676990776</v>
      </c>
      <c r="AD551">
        <f t="shared" si="236"/>
        <v>0</v>
      </c>
      <c r="AE551">
        <f t="shared" si="239"/>
        <v>0</v>
      </c>
    </row>
    <row r="552" spans="1:31" x14ac:dyDescent="0.3">
      <c r="A552" s="373">
        <v>86600.5</v>
      </c>
      <c r="B552" s="390">
        <f t="shared" si="233"/>
        <v>86.600499999999997</v>
      </c>
      <c r="C552" s="363">
        <f t="shared" si="214"/>
        <v>642.72757773042474</v>
      </c>
      <c r="D552" s="364">
        <f t="shared" si="215"/>
        <v>1.5692404570328018</v>
      </c>
      <c r="E552" s="364">
        <f t="shared" si="216"/>
        <v>1.1942976257022881</v>
      </c>
      <c r="F552" s="365">
        <f t="shared" si="217"/>
        <v>0.57844791265259476</v>
      </c>
      <c r="G552" s="364">
        <f t="shared" si="218"/>
        <v>6.4962851989457118</v>
      </c>
      <c r="H552" s="365">
        <f t="shared" si="219"/>
        <v>-1.4162476931572594</v>
      </c>
      <c r="I552" s="363">
        <f t="shared" si="220"/>
        <v>131035.13783631337</v>
      </c>
      <c r="J552" s="366">
        <f t="shared" si="221"/>
        <v>1.5707886952541015</v>
      </c>
      <c r="K552" s="374">
        <f t="shared" si="237"/>
        <v>444.66169951333319</v>
      </c>
      <c r="L552" s="375">
        <f t="shared" si="238"/>
        <v>1.5685474242156503</v>
      </c>
      <c r="M552" s="363">
        <f t="shared" si="222"/>
        <v>1.7049489708748642</v>
      </c>
      <c r="N552" s="366">
        <f t="shared" si="223"/>
        <v>0.94403119414869685</v>
      </c>
      <c r="O552" s="367">
        <f t="shared" si="224"/>
        <v>1.0060377323151257</v>
      </c>
      <c r="P552" s="368">
        <f t="shared" si="225"/>
        <v>0.42468347385484351</v>
      </c>
      <c r="Q552" s="369">
        <f t="shared" si="226"/>
        <v>-9.8881848133008106</v>
      </c>
      <c r="R552" s="370">
        <f t="shared" si="227"/>
        <v>-216.46323618190996</v>
      </c>
      <c r="S552" s="372">
        <f t="shared" si="228"/>
        <v>-36.463236181909963</v>
      </c>
      <c r="U552" s="345">
        <f t="shared" si="234"/>
        <v>86600.5</v>
      </c>
      <c r="V552" s="345">
        <f t="shared" si="235"/>
        <v>7499646600.25</v>
      </c>
      <c r="X552" s="371">
        <f t="shared" si="229"/>
        <v>34.075285704070005</v>
      </c>
      <c r="Y552" s="372">
        <f t="shared" si="230"/>
        <v>-54.217418586616127</v>
      </c>
      <c r="AA552" s="371">
        <f t="shared" si="231"/>
        <v>28.077729309188435</v>
      </c>
      <c r="AB552" s="372">
        <f t="shared" si="232"/>
        <v>-162.2458175952938</v>
      </c>
      <c r="AD552">
        <f t="shared" si="236"/>
        <v>0</v>
      </c>
      <c r="AE552">
        <f t="shared" si="239"/>
        <v>0</v>
      </c>
    </row>
    <row r="553" spans="1:31" x14ac:dyDescent="0.3">
      <c r="A553" s="373">
        <v>87096</v>
      </c>
      <c r="B553" s="390">
        <f t="shared" si="233"/>
        <v>87.096000000000004</v>
      </c>
      <c r="C553" s="363">
        <f t="shared" si="214"/>
        <v>646.40504779151263</v>
      </c>
      <c r="D553" s="364">
        <f t="shared" si="215"/>
        <v>1.5692493085556452</v>
      </c>
      <c r="E553" s="364">
        <f t="shared" si="216"/>
        <v>1.1963442702736522</v>
      </c>
      <c r="F553" s="365">
        <f t="shared" si="217"/>
        <v>0.58106270090285961</v>
      </c>
      <c r="G553" s="364">
        <f t="shared" si="218"/>
        <v>6.5325765230137085</v>
      </c>
      <c r="H553" s="365">
        <f t="shared" si="219"/>
        <v>-1.4171131220800126</v>
      </c>
      <c r="I553" s="363">
        <f t="shared" si="220"/>
        <v>131784.87843589563</v>
      </c>
      <c r="J553" s="366">
        <f t="shared" si="221"/>
        <v>1.5707887386708881</v>
      </c>
      <c r="K553" s="374">
        <f t="shared" si="237"/>
        <v>447.20589684416075</v>
      </c>
      <c r="L553" s="375">
        <f t="shared" si="238"/>
        <v>1.5685602184599647</v>
      </c>
      <c r="M553" s="363">
        <f t="shared" si="222"/>
        <v>1.7113544886980032</v>
      </c>
      <c r="N553" s="366">
        <f t="shared" si="223"/>
        <v>0.94673908282030383</v>
      </c>
      <c r="O553" s="367">
        <f t="shared" si="224"/>
        <v>1.006146867193848</v>
      </c>
      <c r="P553" s="368">
        <f t="shared" si="225"/>
        <v>0.42722295700321644</v>
      </c>
      <c r="Q553" s="369">
        <f t="shared" si="226"/>
        <v>-9.9079946528913467</v>
      </c>
      <c r="R553" s="370">
        <f t="shared" si="227"/>
        <v>-216.66343412093974</v>
      </c>
      <c r="S553" s="372">
        <f t="shared" si="228"/>
        <v>-36.663434120939741</v>
      </c>
      <c r="U553" s="345">
        <f t="shared" si="234"/>
        <v>87096</v>
      </c>
      <c r="V553" s="345">
        <f t="shared" si="235"/>
        <v>7585713216</v>
      </c>
      <c r="X553" s="371">
        <f t="shared" si="229"/>
        <v>34.042713590716708</v>
      </c>
      <c r="Y553" s="372">
        <f t="shared" si="230"/>
        <v>-54.371838610464295</v>
      </c>
      <c r="AA553" s="371">
        <f t="shared" si="231"/>
        <v>28.090491582951195</v>
      </c>
      <c r="AB553" s="372">
        <f t="shared" si="232"/>
        <v>-162.29159551047542</v>
      </c>
      <c r="AD553">
        <f t="shared" si="236"/>
        <v>0</v>
      </c>
      <c r="AE553">
        <f t="shared" si="239"/>
        <v>0</v>
      </c>
    </row>
    <row r="554" spans="1:31" x14ac:dyDescent="0.3">
      <c r="A554" s="373">
        <v>87603.25</v>
      </c>
      <c r="B554" s="390">
        <f t="shared" si="233"/>
        <v>87.603250000000003</v>
      </c>
      <c r="C554" s="363">
        <f t="shared" si="214"/>
        <v>650.16972329945156</v>
      </c>
      <c r="D554" s="364">
        <f t="shared" si="215"/>
        <v>1.569258266257108</v>
      </c>
      <c r="E554" s="364">
        <f t="shared" si="216"/>
        <v>1.1984478912660861</v>
      </c>
      <c r="F554" s="365">
        <f t="shared" si="217"/>
        <v>0.58373022502351091</v>
      </c>
      <c r="G554" s="364">
        <f t="shared" si="218"/>
        <v>6.5697334499563995</v>
      </c>
      <c r="H554" s="365">
        <f t="shared" si="219"/>
        <v>-1.4179891685358319</v>
      </c>
      <c r="I554" s="363">
        <f t="shared" si="220"/>
        <v>132552.39794979716</v>
      </c>
      <c r="J554" s="366">
        <f t="shared" si="221"/>
        <v>1.5707887826084808</v>
      </c>
      <c r="K554" s="374">
        <f t="shared" si="237"/>
        <v>449.81042587182043</v>
      </c>
      <c r="L554" s="375">
        <f t="shared" si="238"/>
        <v>1.5685731661782818</v>
      </c>
      <c r="M554" s="363">
        <f t="shared" si="222"/>
        <v>1.7179248037921051</v>
      </c>
      <c r="N554" s="366">
        <f t="shared" si="223"/>
        <v>0.94949024665780224</v>
      </c>
      <c r="O554" s="367">
        <f t="shared" si="224"/>
        <v>1.0062601722368814</v>
      </c>
      <c r="P554" s="368">
        <f t="shared" si="225"/>
        <v>0.42982441259252668</v>
      </c>
      <c r="Q554" s="369">
        <f t="shared" si="226"/>
        <v>-9.9281719704831382</v>
      </c>
      <c r="R554" s="370">
        <f t="shared" si="227"/>
        <v>-216.86724642069436</v>
      </c>
      <c r="S554" s="372">
        <f t="shared" si="228"/>
        <v>-36.867246420694357</v>
      </c>
      <c r="U554" s="345">
        <f t="shared" si="234"/>
        <v>87603.25</v>
      </c>
      <c r="V554" s="345">
        <f t="shared" si="235"/>
        <v>7674329410.5625</v>
      </c>
      <c r="X554" s="371">
        <f t="shared" si="229"/>
        <v>34.009429902396327</v>
      </c>
      <c r="Y554" s="372">
        <f t="shared" si="230"/>
        <v>-54.528729355105988</v>
      </c>
      <c r="AA554" s="371">
        <f t="shared" si="231"/>
        <v>28.103597953679788</v>
      </c>
      <c r="AB554" s="372">
        <f t="shared" si="232"/>
        <v>-162.33851706558835</v>
      </c>
      <c r="AD554">
        <f t="shared" si="236"/>
        <v>0</v>
      </c>
      <c r="AE554">
        <f t="shared" si="239"/>
        <v>0</v>
      </c>
    </row>
    <row r="555" spans="1:31" x14ac:dyDescent="0.3">
      <c r="A555" s="373">
        <v>88110.5</v>
      </c>
      <c r="B555" s="390">
        <f t="shared" si="233"/>
        <v>88.110500000000002</v>
      </c>
      <c r="C555" s="363">
        <f t="shared" si="214"/>
        <v>653.93439885895964</v>
      </c>
      <c r="D555" s="364">
        <f t="shared" si="215"/>
        <v>1.5692671208202758</v>
      </c>
      <c r="E555" s="364">
        <f t="shared" si="216"/>
        <v>1.2005600101160585</v>
      </c>
      <c r="F555" s="365">
        <f t="shared" si="217"/>
        <v>0.58638838217028799</v>
      </c>
      <c r="G555" s="364">
        <f t="shared" si="218"/>
        <v>6.6068953621754289</v>
      </c>
      <c r="H555" s="365">
        <f t="shared" si="219"/>
        <v>-1.4188553606245915</v>
      </c>
      <c r="I555" s="363">
        <f t="shared" si="220"/>
        <v>133319.91746369898</v>
      </c>
      <c r="J555" s="366">
        <f t="shared" si="221"/>
        <v>1.5707888260401779</v>
      </c>
      <c r="K555" s="374">
        <f t="shared" si="237"/>
        <v>452.41495497401968</v>
      </c>
      <c r="L555" s="375">
        <f t="shared" si="238"/>
        <v>1.5685859648179341</v>
      </c>
      <c r="M555" s="363">
        <f t="shared" si="222"/>
        <v>1.7245080225538612</v>
      </c>
      <c r="N555" s="366">
        <f t="shared" si="223"/>
        <v>0.95222042618182434</v>
      </c>
      <c r="O555" s="367">
        <f t="shared" si="224"/>
        <v>1.0063750941400265</v>
      </c>
      <c r="P555" s="368">
        <f t="shared" si="225"/>
        <v>0.43242764581942122</v>
      </c>
      <c r="Q555" s="369">
        <f t="shared" si="226"/>
        <v>-9.9482464217248463</v>
      </c>
      <c r="R555" s="370">
        <f t="shared" si="227"/>
        <v>-217.06993293661165</v>
      </c>
      <c r="S555" s="372">
        <f t="shared" si="228"/>
        <v>-37.06993293661165</v>
      </c>
      <c r="U555" s="345">
        <f t="shared" si="234"/>
        <v>88110.5</v>
      </c>
      <c r="V555" s="345">
        <f t="shared" si="235"/>
        <v>7763460210.25</v>
      </c>
      <c r="X555" s="371">
        <f t="shared" si="229"/>
        <v>33.976208277819644</v>
      </c>
      <c r="Y555" s="372">
        <f t="shared" si="230"/>
        <v>-54.684426299740764</v>
      </c>
      <c r="AA555" s="371">
        <f t="shared" si="231"/>
        <v>28.116745127014759</v>
      </c>
      <c r="AB555" s="372">
        <f t="shared" si="232"/>
        <v>-162.38550663687096</v>
      </c>
      <c r="AD555">
        <f t="shared" si="236"/>
        <v>0</v>
      </c>
      <c r="AE555">
        <f t="shared" si="239"/>
        <v>0</v>
      </c>
    </row>
    <row r="556" spans="1:31" x14ac:dyDescent="0.3">
      <c r="A556" s="373">
        <v>88617.75</v>
      </c>
      <c r="B556" s="390">
        <f t="shared" si="233"/>
        <v>88.617750000000001</v>
      </c>
      <c r="C556" s="363">
        <f t="shared" si="214"/>
        <v>657.69907446915158</v>
      </c>
      <c r="D556" s="364">
        <f t="shared" si="215"/>
        <v>1.5692758740162405</v>
      </c>
      <c r="E556" s="364">
        <f t="shared" si="216"/>
        <v>1.2026805820523683</v>
      </c>
      <c r="F556" s="365">
        <f t="shared" si="217"/>
        <v>0.58903718422828133</v>
      </c>
      <c r="G556" s="364">
        <f t="shared" si="218"/>
        <v>6.644062176019081</v>
      </c>
      <c r="H556" s="365">
        <f t="shared" si="219"/>
        <v>-1.419711862411152</v>
      </c>
      <c r="I556" s="363">
        <f t="shared" si="220"/>
        <v>134087.43697760103</v>
      </c>
      <c r="J556" s="366">
        <f t="shared" si="221"/>
        <v>1.5707888689746672</v>
      </c>
      <c r="K556" s="374">
        <f t="shared" si="237"/>
        <v>455.01948414947844</v>
      </c>
      <c r="L556" s="375">
        <f t="shared" si="238"/>
        <v>1.5685986169388939</v>
      </c>
      <c r="M556" s="363">
        <f t="shared" si="222"/>
        <v>1.7311039977691289</v>
      </c>
      <c r="N556" s="366">
        <f t="shared" si="223"/>
        <v>0.95492982032613016</v>
      </c>
      <c r="O556" s="367">
        <f t="shared" si="224"/>
        <v>1.0064916492277123</v>
      </c>
      <c r="P556" s="368">
        <f t="shared" si="225"/>
        <v>0.43503266110454236</v>
      </c>
      <c r="Q556" s="369">
        <f t="shared" si="226"/>
        <v>-9.9682186289022781</v>
      </c>
      <c r="R556" s="370">
        <f t="shared" si="227"/>
        <v>-217.27151399459765</v>
      </c>
      <c r="S556" s="372">
        <f t="shared" si="228"/>
        <v>-37.271513994597655</v>
      </c>
      <c r="U556" s="345">
        <f t="shared" si="234"/>
        <v>88617.75</v>
      </c>
      <c r="V556" s="345">
        <f t="shared" si="235"/>
        <v>7853105615.0625</v>
      </c>
      <c r="X556" s="371">
        <f t="shared" si="229"/>
        <v>33.943049230733578</v>
      </c>
      <c r="Y556" s="372">
        <f t="shared" si="230"/>
        <v>-54.838940696255634</v>
      </c>
      <c r="AA556" s="371">
        <f t="shared" si="231"/>
        <v>28.129931966923394</v>
      </c>
      <c r="AB556" s="372">
        <f t="shared" si="232"/>
        <v>-162.43257329834202</v>
      </c>
      <c r="AD556">
        <f t="shared" si="236"/>
        <v>0</v>
      </c>
      <c r="AE556">
        <f t="shared" si="239"/>
        <v>0</v>
      </c>
    </row>
    <row r="557" spans="1:31" x14ac:dyDescent="0.3">
      <c r="A557" s="373">
        <v>89125</v>
      </c>
      <c r="B557" s="390">
        <f t="shared" si="233"/>
        <v>89.125</v>
      </c>
      <c r="C557" s="363">
        <f t="shared" si="214"/>
        <v>661.46375012916167</v>
      </c>
      <c r="D557" s="364">
        <f t="shared" si="215"/>
        <v>1.5692845275757743</v>
      </c>
      <c r="E557" s="364">
        <f t="shared" si="216"/>
        <v>1.2048095624404658</v>
      </c>
      <c r="F557" s="365">
        <f t="shared" si="217"/>
        <v>0.59167664352416582</v>
      </c>
      <c r="G557" s="364">
        <f t="shared" si="218"/>
        <v>6.6812338096860993</v>
      </c>
      <c r="H557" s="365">
        <f t="shared" si="219"/>
        <v>-1.4205588343668119</v>
      </c>
      <c r="I557" s="363">
        <f t="shared" si="220"/>
        <v>134854.95649150334</v>
      </c>
      <c r="J557" s="366">
        <f t="shared" si="221"/>
        <v>1.5707889114204379</v>
      </c>
      <c r="K557" s="374">
        <f t="shared" si="237"/>
        <v>457.62401339694588</v>
      </c>
      <c r="L557" s="375">
        <f t="shared" si="238"/>
        <v>1.5686111250428545</v>
      </c>
      <c r="M557" s="363">
        <f t="shared" si="222"/>
        <v>1.737712584175829</v>
      </c>
      <c r="N557" s="366">
        <f t="shared" si="223"/>
        <v>0.95761862622770244</v>
      </c>
      <c r="O557" s="367">
        <f t="shared" si="224"/>
        <v>1.0066098539063475</v>
      </c>
      <c r="P557" s="368">
        <f t="shared" si="225"/>
        <v>0.43763946276041404</v>
      </c>
      <c r="Q557" s="369">
        <f t="shared" si="226"/>
        <v>-9.9880892185509129</v>
      </c>
      <c r="R557" s="370">
        <f t="shared" si="227"/>
        <v>-217.47200958123631</v>
      </c>
      <c r="S557" s="372">
        <f t="shared" si="228"/>
        <v>-37.472009581236307</v>
      </c>
      <c r="U557" s="345">
        <f t="shared" si="234"/>
        <v>89125</v>
      </c>
      <c r="V557" s="345">
        <f t="shared" si="235"/>
        <v>7943265625</v>
      </c>
      <c r="X557" s="371">
        <f t="shared" si="229"/>
        <v>33.909953255075933</v>
      </c>
      <c r="Y557" s="372">
        <f t="shared" si="230"/>
        <v>-54.992283696917681</v>
      </c>
      <c r="AA557" s="371">
        <f t="shared" si="231"/>
        <v>28.143157352932402</v>
      </c>
      <c r="AB557" s="372">
        <f t="shared" si="232"/>
        <v>-162.47972588431861</v>
      </c>
      <c r="AD557">
        <f t="shared" si="236"/>
        <v>0</v>
      </c>
      <c r="AE557">
        <f t="shared" si="239"/>
        <v>0</v>
      </c>
    </row>
    <row r="558" spans="1:31" x14ac:dyDescent="0.3">
      <c r="A558" s="373">
        <v>89644</v>
      </c>
      <c r="B558" s="390">
        <f t="shared" si="233"/>
        <v>89.644000000000005</v>
      </c>
      <c r="C558" s="363">
        <f t="shared" si="214"/>
        <v>665.31563123956664</v>
      </c>
      <c r="D558" s="364">
        <f t="shared" si="215"/>
        <v>1.5692932802263653</v>
      </c>
      <c r="E558" s="364">
        <f t="shared" si="216"/>
        <v>1.2069965152468183</v>
      </c>
      <c r="F558" s="365">
        <f t="shared" si="217"/>
        <v>0.59436758699058034</v>
      </c>
      <c r="G558" s="364">
        <f t="shared" si="218"/>
        <v>6.7192713967011182</v>
      </c>
      <c r="H558" s="365">
        <f t="shared" si="219"/>
        <v>-1.4214157258748774</v>
      </c>
      <c r="I558" s="363">
        <f t="shared" si="220"/>
        <v>135640.254919725</v>
      </c>
      <c r="J558" s="366">
        <f t="shared" si="221"/>
        <v>1.5707889543522497</v>
      </c>
      <c r="K558" s="374">
        <f t="shared" si="237"/>
        <v>460.28887434636772</v>
      </c>
      <c r="L558" s="375">
        <f t="shared" si="238"/>
        <v>1.5686237763762425</v>
      </c>
      <c r="M558" s="363">
        <f t="shared" si="222"/>
        <v>1.744487155949169</v>
      </c>
      <c r="N558" s="366">
        <f t="shared" si="223"/>
        <v>0.96034861055675425</v>
      </c>
      <c r="O558" s="367">
        <f t="shared" si="224"/>
        <v>1.0067325212405276</v>
      </c>
      <c r="P558" s="368">
        <f t="shared" si="225"/>
        <v>0.44030850198669907</v>
      </c>
      <c r="Q558" s="369">
        <f t="shared" si="226"/>
        <v>-10.008315575170815</v>
      </c>
      <c r="R558" s="370">
        <f t="shared" si="227"/>
        <v>-217.67604648980256</v>
      </c>
      <c r="S558" s="372">
        <f t="shared" si="228"/>
        <v>-37.676046489802559</v>
      </c>
      <c r="U558" s="345">
        <f t="shared" si="234"/>
        <v>89644</v>
      </c>
      <c r="V558" s="345">
        <f t="shared" si="235"/>
        <v>8036046736</v>
      </c>
      <c r="X558" s="371">
        <f t="shared" si="229"/>
        <v>33.876156414991691</v>
      </c>
      <c r="Y558" s="372">
        <f t="shared" si="230"/>
        <v>-55.147977869090404</v>
      </c>
      <c r="AA558" s="371">
        <f t="shared" si="231"/>
        <v>28.15672783639674</v>
      </c>
      <c r="AB558" s="372">
        <f t="shared" si="232"/>
        <v>-162.52806862071216</v>
      </c>
      <c r="AD558">
        <f t="shared" si="236"/>
        <v>0</v>
      </c>
      <c r="AE558">
        <f t="shared" si="239"/>
        <v>0</v>
      </c>
    </row>
    <row r="559" spans="1:31" x14ac:dyDescent="0.3">
      <c r="A559" s="373">
        <v>90163</v>
      </c>
      <c r="B559" s="390">
        <f t="shared" si="233"/>
        <v>90.162999999999997</v>
      </c>
      <c r="C559" s="363">
        <f t="shared" si="214"/>
        <v>669.16751240035387</v>
      </c>
      <c r="D559" s="364">
        <f t="shared" si="215"/>
        <v>1.5693019321124417</v>
      </c>
      <c r="E559" s="364">
        <f t="shared" si="216"/>
        <v>1.2091921764767073</v>
      </c>
      <c r="F559" s="365">
        <f t="shared" si="217"/>
        <v>0.59704877733822059</v>
      </c>
      <c r="G559" s="364">
        <f t="shared" si="218"/>
        <v>6.7573138618820794</v>
      </c>
      <c r="H559" s="365">
        <f t="shared" si="219"/>
        <v>-1.4222629697081892</v>
      </c>
      <c r="I559" s="363">
        <f t="shared" si="220"/>
        <v>136425.55334794687</v>
      </c>
      <c r="J559" s="366">
        <f t="shared" si="221"/>
        <v>1.5707889967898099</v>
      </c>
      <c r="K559" s="374">
        <f t="shared" si="237"/>
        <v>462.95373536861354</v>
      </c>
      <c r="L559" s="375">
        <f t="shared" si="238"/>
        <v>1.5686362820620543</v>
      </c>
      <c r="M559" s="363">
        <f t="shared" si="222"/>
        <v>1.7512746284174163</v>
      </c>
      <c r="N559" s="366">
        <f t="shared" si="223"/>
        <v>0.96305745356475847</v>
      </c>
      <c r="O559" s="367">
        <f t="shared" si="224"/>
        <v>1.0068569504833003</v>
      </c>
      <c r="P559" s="368">
        <f t="shared" si="225"/>
        <v>0.44297942008578711</v>
      </c>
      <c r="Q559" s="369">
        <f t="shared" si="226"/>
        <v>-10.028436892242548</v>
      </c>
      <c r="R559" s="370">
        <f t="shared" si="227"/>
        <v>-217.87898832616892</v>
      </c>
      <c r="S559" s="372">
        <f t="shared" si="228"/>
        <v>-37.878988326168923</v>
      </c>
      <c r="U559" s="345">
        <f t="shared" si="234"/>
        <v>90163</v>
      </c>
      <c r="V559" s="345">
        <f t="shared" si="235"/>
        <v>8129366569</v>
      </c>
      <c r="X559" s="371">
        <f t="shared" si="229"/>
        <v>33.84242658682129</v>
      </c>
      <c r="Y559" s="372">
        <f t="shared" si="230"/>
        <v>-55.302469049465245</v>
      </c>
      <c r="AA559" s="371">
        <f t="shared" si="231"/>
        <v>28.170336347495407</v>
      </c>
      <c r="AB559" s="372">
        <f t="shared" si="232"/>
        <v>-162.57651927670366</v>
      </c>
      <c r="AD559">
        <f t="shared" si="236"/>
        <v>0</v>
      </c>
      <c r="AE559">
        <f t="shared" si="239"/>
        <v>0</v>
      </c>
    </row>
    <row r="560" spans="1:31" x14ac:dyDescent="0.3">
      <c r="A560" s="373">
        <v>90682</v>
      </c>
      <c r="B560" s="390">
        <f t="shared" si="233"/>
        <v>90.682000000000002</v>
      </c>
      <c r="C560" s="363">
        <f t="shared" si="214"/>
        <v>673.01939361065854</v>
      </c>
      <c r="D560" s="364">
        <f t="shared" si="215"/>
        <v>1.5693104849641144</v>
      </c>
      <c r="E560" s="364">
        <f t="shared" si="216"/>
        <v>1.2113964987779715</v>
      </c>
      <c r="F560" s="365">
        <f t="shared" si="217"/>
        <v>0.5997202291555771</v>
      </c>
      <c r="G560" s="364">
        <f t="shared" si="218"/>
        <v>6.7953611233006832</v>
      </c>
      <c r="H560" s="365">
        <f t="shared" si="219"/>
        <v>-1.4231007266922171</v>
      </c>
      <c r="I560" s="363">
        <f t="shared" si="220"/>
        <v>137210.85177616897</v>
      </c>
      <c r="J560" s="366">
        <f t="shared" si="221"/>
        <v>1.5707890387416044</v>
      </c>
      <c r="K560" s="374">
        <f t="shared" si="237"/>
        <v>465.61859646243289</v>
      </c>
      <c r="L560" s="375">
        <f t="shared" si="238"/>
        <v>1.568648644601027</v>
      </c>
      <c r="M560" s="363">
        <f t="shared" si="222"/>
        <v>1.7580748521618335</v>
      </c>
      <c r="N560" s="366">
        <f t="shared" si="223"/>
        <v>0.96574536058996174</v>
      </c>
      <c r="O560" s="367">
        <f t="shared" si="224"/>
        <v>1.0069831594722001</v>
      </c>
      <c r="P560" s="368">
        <f t="shared" si="225"/>
        <v>0.44565222132065641</v>
      </c>
      <c r="Q560" s="369">
        <f t="shared" si="226"/>
        <v>-10.048453854131758</v>
      </c>
      <c r="R560" s="370">
        <f t="shared" si="227"/>
        <v>-218.08085543469522</v>
      </c>
      <c r="S560" s="372">
        <f t="shared" si="228"/>
        <v>-38.080855434695223</v>
      </c>
      <c r="U560" s="345">
        <f t="shared" si="234"/>
        <v>90682</v>
      </c>
      <c r="V560" s="345">
        <f t="shared" si="235"/>
        <v>8223225124</v>
      </c>
      <c r="X560" s="371">
        <f t="shared" si="229"/>
        <v>33.808764238267898</v>
      </c>
      <c r="Y560" s="372">
        <f t="shared" si="230"/>
        <v>-55.455768860261692</v>
      </c>
      <c r="AA560" s="371">
        <f t="shared" si="231"/>
        <v>28.183981734159591</v>
      </c>
      <c r="AB560" s="372">
        <f t="shared" si="232"/>
        <v>-162.62508657443348</v>
      </c>
      <c r="AD560">
        <f t="shared" si="236"/>
        <v>0</v>
      </c>
      <c r="AE560">
        <f t="shared" si="239"/>
        <v>0</v>
      </c>
    </row>
    <row r="561" spans="1:31" x14ac:dyDescent="0.3">
      <c r="A561" s="373">
        <v>91201</v>
      </c>
      <c r="B561" s="390">
        <f t="shared" si="233"/>
        <v>91.200999999999993</v>
      </c>
      <c r="C561" s="363">
        <f t="shared" si="214"/>
        <v>676.87127486963504</v>
      </c>
      <c r="D561" s="364">
        <f t="shared" si="215"/>
        <v>1.5693189404721115</v>
      </c>
      <c r="E561" s="364">
        <f t="shared" si="216"/>
        <v>1.2136094349563691</v>
      </c>
      <c r="F561" s="365">
        <f t="shared" si="217"/>
        <v>0.60238195748136192</v>
      </c>
      <c r="G561" s="364">
        <f t="shared" si="218"/>
        <v>6.8334131008430692</v>
      </c>
      <c r="H561" s="365">
        <f t="shared" si="219"/>
        <v>-1.423929154124139</v>
      </c>
      <c r="I561" s="363">
        <f t="shared" si="220"/>
        <v>137996.15020439134</v>
      </c>
      <c r="J561" s="366">
        <f t="shared" si="221"/>
        <v>1.5707890802159266</v>
      </c>
      <c r="K561" s="374">
        <f t="shared" si="237"/>
        <v>468.28345762660393</v>
      </c>
      <c r="L561" s="375">
        <f t="shared" si="238"/>
        <v>1.5686608664369748</v>
      </c>
      <c r="M561" s="363">
        <f t="shared" si="222"/>
        <v>1.7648876797880091</v>
      </c>
      <c r="N561" s="366">
        <f t="shared" si="223"/>
        <v>0.9684125350190137</v>
      </c>
      <c r="O561" s="367">
        <f t="shared" si="224"/>
        <v>1.0071111661331773</v>
      </c>
      <c r="P561" s="368">
        <f t="shared" si="225"/>
        <v>0.44832690983256873</v>
      </c>
      <c r="Q561" s="369">
        <f t="shared" si="226"/>
        <v>-10.068367149478679</v>
      </c>
      <c r="R561" s="370">
        <f t="shared" si="227"/>
        <v>-218.28166781399111</v>
      </c>
      <c r="S561" s="372">
        <f t="shared" si="228"/>
        <v>-38.281667813991106</v>
      </c>
      <c r="U561" s="345">
        <f t="shared" si="234"/>
        <v>91201</v>
      </c>
      <c r="V561" s="345">
        <f t="shared" si="235"/>
        <v>8317622401</v>
      </c>
      <c r="X561" s="371">
        <f t="shared" si="229"/>
        <v>33.775169817338274</v>
      </c>
      <c r="Y561" s="372">
        <f t="shared" si="230"/>
        <v>-55.607888815131311</v>
      </c>
      <c r="AA561" s="371">
        <f t="shared" si="231"/>
        <v>28.197662859742291</v>
      </c>
      <c r="AB561" s="372">
        <f t="shared" si="232"/>
        <v>-162.67377899885977</v>
      </c>
      <c r="AD561">
        <f t="shared" si="236"/>
        <v>0</v>
      </c>
      <c r="AE561">
        <f t="shared" si="239"/>
        <v>0</v>
      </c>
    </row>
    <row r="562" spans="1:31" x14ac:dyDescent="0.3">
      <c r="A562" s="373">
        <v>91732</v>
      </c>
      <c r="B562" s="390">
        <f t="shared" si="233"/>
        <v>91.731999999999999</v>
      </c>
      <c r="C562" s="363">
        <f t="shared" si="214"/>
        <v>680.81221701648076</v>
      </c>
      <c r="D562" s="364">
        <f t="shared" si="215"/>
        <v>1.5693274924605753</v>
      </c>
      <c r="E562" s="364">
        <f t="shared" si="216"/>
        <v>1.2158824031635593</v>
      </c>
      <c r="F562" s="365">
        <f t="shared" si="217"/>
        <v>0.60509518148472163</v>
      </c>
      <c r="G562" s="364">
        <f t="shared" si="218"/>
        <v>6.8723496921425848</v>
      </c>
      <c r="H562" s="365">
        <f t="shared" si="219"/>
        <v>-1.4247672407822822</v>
      </c>
      <c r="I562" s="363">
        <f t="shared" si="220"/>
        <v>138799.60582170577</v>
      </c>
      <c r="J562" s="366">
        <f t="shared" si="221"/>
        <v>1.5707891221634851</v>
      </c>
      <c r="K562" s="374">
        <f t="shared" si="237"/>
        <v>471.00993414937295</v>
      </c>
      <c r="L562" s="375">
        <f t="shared" si="238"/>
        <v>1.568673227728919</v>
      </c>
      <c r="M562" s="363">
        <f t="shared" si="222"/>
        <v>1.7718709221919928</v>
      </c>
      <c r="N562" s="366">
        <f t="shared" si="223"/>
        <v>0.97112013110997009</v>
      </c>
      <c r="O562" s="367">
        <f t="shared" si="224"/>
        <v>1.0072440117731285</v>
      </c>
      <c r="P562" s="368">
        <f t="shared" si="225"/>
        <v>0.4510653982801312</v>
      </c>
      <c r="Q562" s="369">
        <f t="shared" si="226"/>
        <v>-10.088634300785145</v>
      </c>
      <c r="R562" s="370">
        <f t="shared" si="227"/>
        <v>-218.48605216367073</v>
      </c>
      <c r="S562" s="372">
        <f t="shared" si="228"/>
        <v>-38.486052163670735</v>
      </c>
      <c r="U562" s="345">
        <f t="shared" si="234"/>
        <v>91732</v>
      </c>
      <c r="V562" s="345">
        <f t="shared" si="235"/>
        <v>8414759824</v>
      </c>
      <c r="X562" s="371">
        <f t="shared" si="229"/>
        <v>33.740869395530623</v>
      </c>
      <c r="Y562" s="372">
        <f t="shared" si="230"/>
        <v>-55.762316797506024</v>
      </c>
      <c r="AA562" s="371">
        <f t="shared" si="231"/>
        <v>28.211696130243482</v>
      </c>
      <c r="AB562" s="372">
        <f t="shared" si="232"/>
        <v>-162.7237353661647</v>
      </c>
      <c r="AD562">
        <f t="shared" si="236"/>
        <v>0</v>
      </c>
      <c r="AE562">
        <f t="shared" si="239"/>
        <v>0</v>
      </c>
    </row>
    <row r="563" spans="1:31" x14ac:dyDescent="0.3">
      <c r="A563" s="373">
        <v>92263</v>
      </c>
      <c r="B563" s="390">
        <f t="shared" si="233"/>
        <v>92.263000000000005</v>
      </c>
      <c r="C563" s="363">
        <f t="shared" si="214"/>
        <v>684.7531592125456</v>
      </c>
      <c r="D563" s="364">
        <f t="shared" si="215"/>
        <v>1.5693359460109626</v>
      </c>
      <c r="E563" s="364">
        <f t="shared" si="216"/>
        <v>1.2181642887508319</v>
      </c>
      <c r="F563" s="365">
        <f t="shared" si="217"/>
        <v>0.60779826041248119</v>
      </c>
      <c r="G563" s="364">
        <f t="shared" si="218"/>
        <v>6.9112910561155614</v>
      </c>
      <c r="H563" s="365">
        <f t="shared" si="219"/>
        <v>-1.4255958836925393</v>
      </c>
      <c r="I563" s="363">
        <f t="shared" si="220"/>
        <v>139603.06143902047</v>
      </c>
      <c r="J563" s="366">
        <f t="shared" si="221"/>
        <v>1.5707891636282032</v>
      </c>
      <c r="K563" s="374">
        <f t="shared" si="237"/>
        <v>473.73641074328452</v>
      </c>
      <c r="L563" s="375">
        <f t="shared" si="238"/>
        <v>1.5686854467359475</v>
      </c>
      <c r="M563" s="363">
        <f t="shared" si="222"/>
        <v>1.7788670522754393</v>
      </c>
      <c r="N563" s="366">
        <f t="shared" si="223"/>
        <v>0.97380644928380466</v>
      </c>
      <c r="O563" s="367">
        <f t="shared" si="224"/>
        <v>1.0073787774201313</v>
      </c>
      <c r="P563" s="368">
        <f t="shared" si="225"/>
        <v>0.45380587066316869</v>
      </c>
      <c r="Q563" s="369">
        <f t="shared" si="226"/>
        <v>-10.108794407900199</v>
      </c>
      <c r="R563" s="370">
        <f t="shared" si="227"/>
        <v>-218.68937371732289</v>
      </c>
      <c r="S563" s="372">
        <f t="shared" si="228"/>
        <v>-38.689373717322894</v>
      </c>
      <c r="U563" s="345">
        <f t="shared" si="234"/>
        <v>92263</v>
      </c>
      <c r="V563" s="345">
        <f t="shared" si="235"/>
        <v>8512461169</v>
      </c>
      <c r="X563" s="371">
        <f t="shared" si="229"/>
        <v>33.706640966531907</v>
      </c>
      <c r="Y563" s="372">
        <f t="shared" si="230"/>
        <v>-55.915533769691905</v>
      </c>
      <c r="AA563" s="371">
        <f t="shared" si="231"/>
        <v>28.225764452127148</v>
      </c>
      <c r="AB563" s="372">
        <f t="shared" si="232"/>
        <v>-162.77383994763102</v>
      </c>
      <c r="AD563">
        <f t="shared" si="236"/>
        <v>0</v>
      </c>
      <c r="AE563">
        <f t="shared" si="239"/>
        <v>0</v>
      </c>
    </row>
    <row r="564" spans="1:31" x14ac:dyDescent="0.3">
      <c r="A564" s="373">
        <v>92794</v>
      </c>
      <c r="B564" s="390">
        <f t="shared" si="233"/>
        <v>92.793999999999997</v>
      </c>
      <c r="C564" s="363">
        <f t="shared" si="214"/>
        <v>688.69410145698453</v>
      </c>
      <c r="D564" s="364">
        <f t="shared" si="215"/>
        <v>1.5693443028131606</v>
      </c>
      <c r="E564" s="364">
        <f t="shared" si="216"/>
        <v>1.2204550416996935</v>
      </c>
      <c r="F564" s="365">
        <f t="shared" si="217"/>
        <v>0.61049121177930343</v>
      </c>
      <c r="G564" s="364">
        <f t="shared" si="218"/>
        <v>6.9502371125398099</v>
      </c>
      <c r="H564" s="365">
        <f t="shared" si="219"/>
        <v>-1.4264152404630301</v>
      </c>
      <c r="I564" s="363">
        <f t="shared" si="220"/>
        <v>140406.5170563354</v>
      </c>
      <c r="J564" s="366">
        <f t="shared" si="221"/>
        <v>1.5707892046183696</v>
      </c>
      <c r="K564" s="374">
        <f t="shared" si="237"/>
        <v>476.46288740711742</v>
      </c>
      <c r="L564" s="375">
        <f t="shared" si="238"/>
        <v>1.5686975259006586</v>
      </c>
      <c r="M564" s="363">
        <f t="shared" si="222"/>
        <v>1.7858759185767421</v>
      </c>
      <c r="N564" s="366">
        <f t="shared" si="223"/>
        <v>0.97647170106363235</v>
      </c>
      <c r="O564" s="367">
        <f t="shared" si="224"/>
        <v>1.0075154825574097</v>
      </c>
      <c r="P564" s="368">
        <f t="shared" si="225"/>
        <v>0.45654833101598208</v>
      </c>
      <c r="Q564" s="369">
        <f t="shared" si="226"/>
        <v>-10.128848221502739</v>
      </c>
      <c r="R564" s="370">
        <f t="shared" si="227"/>
        <v>-218.89165280958949</v>
      </c>
      <c r="S564" s="372">
        <f t="shared" si="228"/>
        <v>-38.891652809589488</v>
      </c>
      <c r="U564" s="345">
        <f t="shared" si="234"/>
        <v>92794</v>
      </c>
      <c r="V564" s="345">
        <f t="shared" si="235"/>
        <v>8610726436</v>
      </c>
      <c r="X564" s="371">
        <f t="shared" si="229"/>
        <v>33.672484949262213</v>
      </c>
      <c r="Y564" s="372">
        <f t="shared" si="230"/>
        <v>-56.067551711595002</v>
      </c>
      <c r="AA564" s="371">
        <f t="shared" si="231"/>
        <v>28.239866655794291</v>
      </c>
      <c r="AB564" s="372">
        <f t="shared" si="232"/>
        <v>-162.82410109799451</v>
      </c>
      <c r="AD564">
        <f t="shared" si="236"/>
        <v>0</v>
      </c>
      <c r="AE564">
        <f t="shared" si="239"/>
        <v>0</v>
      </c>
    </row>
    <row r="565" spans="1:31" x14ac:dyDescent="0.3">
      <c r="A565" s="373">
        <v>93325</v>
      </c>
      <c r="B565" s="390">
        <f t="shared" si="233"/>
        <v>93.325000000000003</v>
      </c>
      <c r="C565" s="363">
        <f t="shared" si="214"/>
        <v>692.63504374897184</v>
      </c>
      <c r="D565" s="364">
        <f t="shared" si="215"/>
        <v>1.5693525645185964</v>
      </c>
      <c r="E565" s="364">
        <f t="shared" si="216"/>
        <v>1.2227546121728321</v>
      </c>
      <c r="F565" s="365">
        <f t="shared" si="217"/>
        <v>0.61317405355641375</v>
      </c>
      <c r="G565" s="364">
        <f t="shared" si="218"/>
        <v>6.9891877829716762</v>
      </c>
      <c r="H565" s="365">
        <f t="shared" si="219"/>
        <v>-1.4272254652389924</v>
      </c>
      <c r="I565" s="363">
        <f t="shared" si="220"/>
        <v>141209.97267365057</v>
      </c>
      <c r="J565" s="366">
        <f t="shared" si="221"/>
        <v>1.5707892451420851</v>
      </c>
      <c r="K565" s="374">
        <f t="shared" si="237"/>
        <v>479.18936413967816</v>
      </c>
      <c r="L565" s="375">
        <f t="shared" si="238"/>
        <v>1.5687094676100606</v>
      </c>
      <c r="M565" s="363">
        <f t="shared" si="222"/>
        <v>1.7928973717291072</v>
      </c>
      <c r="N565" s="366">
        <f t="shared" si="223"/>
        <v>0.97911609586525639</v>
      </c>
      <c r="O565" s="367">
        <f t="shared" si="224"/>
        <v>1.0076541467633773</v>
      </c>
      <c r="P565" s="368">
        <f t="shared" si="225"/>
        <v>0.45929278323591627</v>
      </c>
      <c r="Q565" s="369">
        <f t="shared" si="226"/>
        <v>-10.14879649644665</v>
      </c>
      <c r="R565" s="370">
        <f t="shared" si="227"/>
        <v>-219.09290942292813</v>
      </c>
      <c r="S565" s="372">
        <f t="shared" si="228"/>
        <v>-39.09290942292813</v>
      </c>
      <c r="U565" s="345">
        <f t="shared" si="234"/>
        <v>93325</v>
      </c>
      <c r="V565" s="345">
        <f t="shared" si="235"/>
        <v>8709555625</v>
      </c>
      <c r="X565" s="371">
        <f t="shared" si="229"/>
        <v>33.638401743136164</v>
      </c>
      <c r="Y565" s="372">
        <f t="shared" si="230"/>
        <v>-56.218382485555701</v>
      </c>
      <c r="AA565" s="371">
        <f t="shared" si="231"/>
        <v>28.254001586976432</v>
      </c>
      <c r="AB565" s="372">
        <f t="shared" si="232"/>
        <v>-162.87452693737248</v>
      </c>
      <c r="AD565">
        <f t="shared" si="236"/>
        <v>0</v>
      </c>
      <c r="AE565">
        <f t="shared" si="239"/>
        <v>0</v>
      </c>
    </row>
    <row r="566" spans="1:31" x14ac:dyDescent="0.3">
      <c r="A566" s="373">
        <v>93868.5</v>
      </c>
      <c r="B566" s="390">
        <f t="shared" si="233"/>
        <v>93.868499999999997</v>
      </c>
      <c r="C566" s="363">
        <f t="shared" si="214"/>
        <v>696.66875780056262</v>
      </c>
      <c r="D566" s="364">
        <f t="shared" si="215"/>
        <v>1.5693609239119626</v>
      </c>
      <c r="E566" s="364">
        <f t="shared" si="216"/>
        <v>1.2251173951578738</v>
      </c>
      <c r="F566" s="365">
        <f t="shared" si="217"/>
        <v>0.61590960060122768</v>
      </c>
      <c r="G566" s="364">
        <f t="shared" si="218"/>
        <v>7.0290600694105114</v>
      </c>
      <c r="H566" s="365">
        <f t="shared" si="219"/>
        <v>-1.4280454634676998</v>
      </c>
      <c r="I566" s="363">
        <f t="shared" si="220"/>
        <v>142032.34202960331</v>
      </c>
      <c r="J566" s="366">
        <f t="shared" si="221"/>
        <v>1.5707892861449593</v>
      </c>
      <c r="K566" s="374">
        <f t="shared" si="237"/>
        <v>481.98002353947771</v>
      </c>
      <c r="L566" s="375">
        <f t="shared" si="238"/>
        <v>1.5687215505207552</v>
      </c>
      <c r="M566" s="363">
        <f t="shared" si="222"/>
        <v>1.8000969943873444</v>
      </c>
      <c r="N566" s="366">
        <f t="shared" si="223"/>
        <v>0.98180135815066183</v>
      </c>
      <c r="O566" s="367">
        <f t="shared" si="224"/>
        <v>1.0077981245140339</v>
      </c>
      <c r="P566" s="368">
        <f t="shared" si="225"/>
        <v>0.46210390788119887</v>
      </c>
      <c r="Q566" s="369">
        <f t="shared" si="226"/>
        <v>-10.169105861091417</v>
      </c>
      <c r="R566" s="370">
        <f t="shared" si="227"/>
        <v>-219.29786534171126</v>
      </c>
      <c r="S566" s="372">
        <f t="shared" si="228"/>
        <v>-39.297865341711258</v>
      </c>
      <c r="U566" s="345">
        <f t="shared" si="234"/>
        <v>93868.5</v>
      </c>
      <c r="V566" s="345">
        <f t="shared" si="235"/>
        <v>8811295292.25</v>
      </c>
      <c r="X566" s="371">
        <f t="shared" si="229"/>
        <v>33.603592000903653</v>
      </c>
      <c r="Y566" s="372">
        <f t="shared" si="230"/>
        <v>-56.371546731074716</v>
      </c>
      <c r="AA566" s="371">
        <f t="shared" si="231"/>
        <v>28.26850196456418</v>
      </c>
      <c r="AB566" s="372">
        <f t="shared" si="232"/>
        <v>-162.92631861063654</v>
      </c>
      <c r="AD566">
        <f t="shared" si="236"/>
        <v>0</v>
      </c>
      <c r="AE566">
        <f t="shared" si="239"/>
        <v>0</v>
      </c>
    </row>
    <row r="567" spans="1:31" x14ac:dyDescent="0.3">
      <c r="A567" s="373">
        <v>94412</v>
      </c>
      <c r="B567" s="390">
        <f t="shared" si="233"/>
        <v>94.412000000000006</v>
      </c>
      <c r="C567" s="363">
        <f t="shared" si="214"/>
        <v>700.70247190027567</v>
      </c>
      <c r="D567" s="364">
        <f t="shared" si="215"/>
        <v>1.5693691870607627</v>
      </c>
      <c r="E567" s="364">
        <f t="shared" si="216"/>
        <v>1.2274893106289735</v>
      </c>
      <c r="F567" s="365">
        <f t="shared" si="217"/>
        <v>0.61863459600833803</v>
      </c>
      <c r="G567" s="364">
        <f t="shared" si="218"/>
        <v>7.0689370288495361</v>
      </c>
      <c r="H567" s="365">
        <f t="shared" si="219"/>
        <v>-1.4288562107645477</v>
      </c>
      <c r="I567" s="363">
        <f t="shared" si="220"/>
        <v>142854.71138555632</v>
      </c>
      <c r="J567" s="366">
        <f t="shared" si="221"/>
        <v>1.5707893266757524</v>
      </c>
      <c r="K567" s="374">
        <f t="shared" si="237"/>
        <v>484.77068300883462</v>
      </c>
      <c r="L567" s="375">
        <f t="shared" si="238"/>
        <v>1.5687334943170608</v>
      </c>
      <c r="M567" s="363">
        <f t="shared" si="222"/>
        <v>1.8073094934176712</v>
      </c>
      <c r="N567" s="366">
        <f t="shared" si="223"/>
        <v>0.98446520715910901</v>
      </c>
      <c r="O567" s="367">
        <f t="shared" si="224"/>
        <v>1.0079441964623288</v>
      </c>
      <c r="P567" s="368">
        <f t="shared" si="225"/>
        <v>0.46491712709519295</v>
      </c>
      <c r="Q567" s="369">
        <f t="shared" si="226"/>
        <v>-10.189306272771121</v>
      </c>
      <c r="R567" s="370">
        <f t="shared" si="227"/>
        <v>-219.50179133421187</v>
      </c>
      <c r="S567" s="372">
        <f t="shared" si="228"/>
        <v>-39.501791334211873</v>
      </c>
      <c r="U567" s="345">
        <f t="shared" si="234"/>
        <v>94412</v>
      </c>
      <c r="V567" s="345">
        <f t="shared" si="235"/>
        <v>8913625744</v>
      </c>
      <c r="X567" s="371">
        <f t="shared" si="229"/>
        <v>33.56885932445482</v>
      </c>
      <c r="Y567" s="372">
        <f t="shared" si="230"/>
        <v>-56.523492029816175</v>
      </c>
      <c r="AA567" s="371">
        <f t="shared" si="231"/>
        <v>28.283034229333307</v>
      </c>
      <c r="AB567" s="372">
        <f t="shared" si="232"/>
        <v>-162.97829930439573</v>
      </c>
      <c r="AD567">
        <f t="shared" si="236"/>
        <v>0</v>
      </c>
      <c r="AE567">
        <f t="shared" si="239"/>
        <v>0</v>
      </c>
    </row>
    <row r="568" spans="1:31" x14ac:dyDescent="0.3">
      <c r="A568" s="373">
        <v>94955.5</v>
      </c>
      <c r="B568" s="390">
        <f t="shared" si="233"/>
        <v>94.955500000000001</v>
      </c>
      <c r="C568" s="363">
        <f t="shared" si="214"/>
        <v>704.73618604728483</v>
      </c>
      <c r="D568" s="364">
        <f t="shared" si="215"/>
        <v>1.5693773556176271</v>
      </c>
      <c r="E568" s="364">
        <f t="shared" si="216"/>
        <v>1.2298703057476714</v>
      </c>
      <c r="F568" s="365">
        <f t="shared" si="217"/>
        <v>0.62134906047463334</v>
      </c>
      <c r="G568" s="364">
        <f t="shared" si="218"/>
        <v>7.1088185826490857</v>
      </c>
      <c r="H568" s="365">
        <f t="shared" si="219"/>
        <v>-1.4296578617520461</v>
      </c>
      <c r="I568" s="363">
        <f t="shared" si="220"/>
        <v>143677.08074150956</v>
      </c>
      <c r="J568" s="366">
        <f t="shared" si="221"/>
        <v>1.5707893667425705</v>
      </c>
      <c r="K568" s="374">
        <f t="shared" si="237"/>
        <v>487.56134254655456</v>
      </c>
      <c r="L568" s="375">
        <f t="shared" si="238"/>
        <v>1.5687453013877246</v>
      </c>
      <c r="M568" s="363">
        <f t="shared" si="222"/>
        <v>1.8145347152752422</v>
      </c>
      <c r="N568" s="366">
        <f t="shared" si="223"/>
        <v>0.98710786065223399</v>
      </c>
      <c r="O568" s="367">
        <f t="shared" si="224"/>
        <v>1.008092383909009</v>
      </c>
      <c r="P568" s="368">
        <f t="shared" si="225"/>
        <v>0.46773244460534363</v>
      </c>
      <c r="Q568" s="369">
        <f t="shared" si="226"/>
        <v>-10.209398553588379</v>
      </c>
      <c r="R568" s="370">
        <f t="shared" si="227"/>
        <v>-219.70470772248063</v>
      </c>
      <c r="S568" s="372">
        <f t="shared" si="228"/>
        <v>-39.704707722480634</v>
      </c>
      <c r="U568" s="345">
        <f t="shared" si="234"/>
        <v>94955.5</v>
      </c>
      <c r="V568" s="345">
        <f t="shared" si="235"/>
        <v>9016546980.25</v>
      </c>
      <c r="X568" s="371">
        <f t="shared" si="229"/>
        <v>33.534204081817741</v>
      </c>
      <c r="Y568" s="372">
        <f t="shared" si="230"/>
        <v>-56.674230722202111</v>
      </c>
      <c r="AA568" s="371">
        <f t="shared" si="231"/>
        <v>28.297597191153127</v>
      </c>
      <c r="AB568" s="372">
        <f t="shared" si="232"/>
        <v>-163.03047700027849</v>
      </c>
      <c r="AD568">
        <f t="shared" si="236"/>
        <v>0</v>
      </c>
      <c r="AE568">
        <f t="shared" si="239"/>
        <v>0</v>
      </c>
    </row>
    <row r="569" spans="1:31" x14ac:dyDescent="0.3">
      <c r="A569" s="373">
        <v>95499</v>
      </c>
      <c r="B569" s="390">
        <f t="shared" si="233"/>
        <v>95.498999999999995</v>
      </c>
      <c r="C569" s="363">
        <f t="shared" si="214"/>
        <v>708.76990024078236</v>
      </c>
      <c r="D569" s="364">
        <f t="shared" si="215"/>
        <v>1.5693854311975646</v>
      </c>
      <c r="E569" s="364">
        <f t="shared" si="216"/>
        <v>1.2322603278824029</v>
      </c>
      <c r="F569" s="365">
        <f t="shared" si="217"/>
        <v>0.62405301515810641</v>
      </c>
      <c r="G569" s="364">
        <f t="shared" si="218"/>
        <v>7.1487046539154093</v>
      </c>
      <c r="H569" s="365">
        <f t="shared" si="219"/>
        <v>-1.4304505676492141</v>
      </c>
      <c r="I569" s="363">
        <f t="shared" si="220"/>
        <v>144499.45009746301</v>
      </c>
      <c r="J569" s="366">
        <f t="shared" si="221"/>
        <v>1.5707894063533356</v>
      </c>
      <c r="K569" s="374">
        <f t="shared" si="237"/>
        <v>490.35200215147023</v>
      </c>
      <c r="L569" s="375">
        <f t="shared" si="238"/>
        <v>1.5687569740671161</v>
      </c>
      <c r="M569" s="363">
        <f t="shared" si="222"/>
        <v>1.8217725085823548</v>
      </c>
      <c r="N569" s="366">
        <f t="shared" si="223"/>
        <v>0.98972953412437248</v>
      </c>
      <c r="O569" s="367">
        <f t="shared" si="224"/>
        <v>1.0082427082572838</v>
      </c>
      <c r="P569" s="368">
        <f t="shared" si="225"/>
        <v>0.47054986398480081</v>
      </c>
      <c r="Q569" s="369">
        <f t="shared" si="226"/>
        <v>-10.229383529602917</v>
      </c>
      <c r="R569" s="370">
        <f t="shared" si="227"/>
        <v>-219.90663446934522</v>
      </c>
      <c r="S569" s="372">
        <f t="shared" si="228"/>
        <v>-39.906634469345221</v>
      </c>
      <c r="U569" s="345">
        <f t="shared" si="234"/>
        <v>95499</v>
      </c>
      <c r="V569" s="345">
        <f t="shared" si="235"/>
        <v>9120059001</v>
      </c>
      <c r="X569" s="371">
        <f t="shared" si="229"/>
        <v>33.499626621750203</v>
      </c>
      <c r="Y569" s="372">
        <f t="shared" si="230"/>
        <v>-56.823775021852867</v>
      </c>
      <c r="AA569" s="371">
        <f t="shared" si="231"/>
        <v>28.312189675206128</v>
      </c>
      <c r="AB569" s="372">
        <f t="shared" si="232"/>
        <v>-163.08285944749238</v>
      </c>
      <c r="AD569">
        <f t="shared" si="236"/>
        <v>0</v>
      </c>
      <c r="AE569">
        <f t="shared" si="239"/>
        <v>0</v>
      </c>
    </row>
    <row r="570" spans="1:31" x14ac:dyDescent="0.3">
      <c r="A570" s="373">
        <v>96611.5</v>
      </c>
      <c r="B570" s="390">
        <f t="shared" si="233"/>
        <v>96.611500000000007</v>
      </c>
      <c r="C570" s="363">
        <f t="shared" si="214"/>
        <v>717.02658306923354</v>
      </c>
      <c r="D570" s="364">
        <f t="shared" si="215"/>
        <v>1.5694016779104802</v>
      </c>
      <c r="E570" s="364">
        <f t="shared" si="216"/>
        <v>1.2371804370238249</v>
      </c>
      <c r="F570" s="365">
        <f t="shared" si="217"/>
        <v>0.62955510672771764</v>
      </c>
      <c r="G570" s="364">
        <f t="shared" si="218"/>
        <v>7.2303619488038882</v>
      </c>
      <c r="H570" s="365">
        <f t="shared" si="219"/>
        <v>-1.4320458960314773</v>
      </c>
      <c r="I570" s="363">
        <f t="shared" si="220"/>
        <v>146182.77283619088</v>
      </c>
      <c r="J570" s="366">
        <f t="shared" si="221"/>
        <v>1.570789486043551</v>
      </c>
      <c r="K570" s="374">
        <f t="shared" si="237"/>
        <v>496.06425407743626</v>
      </c>
      <c r="L570" s="375">
        <f t="shared" si="238"/>
        <v>1.5687804575419342</v>
      </c>
      <c r="M570" s="363">
        <f t="shared" si="222"/>
        <v>1.8366262561378623</v>
      </c>
      <c r="N570" s="366">
        <f t="shared" si="223"/>
        <v>0.99503135560982681</v>
      </c>
      <c r="O570" s="367">
        <f t="shared" si="224"/>
        <v>1.0085571641712907</v>
      </c>
      <c r="P570" s="368">
        <f t="shared" si="225"/>
        <v>0.47632345943981569</v>
      </c>
      <c r="Q570" s="369">
        <f t="shared" si="226"/>
        <v>-10.269960015220443</v>
      </c>
      <c r="R570" s="370">
        <f t="shared" si="227"/>
        <v>-220.31695800465724</v>
      </c>
      <c r="S570" s="372">
        <f t="shared" si="228"/>
        <v>-40.316958004657238</v>
      </c>
      <c r="U570" s="345">
        <f t="shared" si="234"/>
        <v>96611.5</v>
      </c>
      <c r="V570" s="345">
        <f t="shared" si="235"/>
        <v>9333781932.25</v>
      </c>
      <c r="X570" s="371">
        <f t="shared" si="229"/>
        <v>33.429093317015138</v>
      </c>
      <c r="Y570" s="372">
        <f t="shared" si="230"/>
        <v>-57.126206078964373</v>
      </c>
      <c r="AA570" s="371">
        <f t="shared" si="231"/>
        <v>28.342146494323668</v>
      </c>
      <c r="AB570" s="372">
        <f t="shared" si="232"/>
        <v>-163.19075192569281</v>
      </c>
      <c r="AD570">
        <f t="shared" si="236"/>
        <v>0</v>
      </c>
      <c r="AE570">
        <f t="shared" si="239"/>
        <v>0</v>
      </c>
    </row>
    <row r="571" spans="1:31" x14ac:dyDescent="0.3">
      <c r="A571" s="373">
        <v>97724</v>
      </c>
      <c r="B571" s="390">
        <f t="shared" si="233"/>
        <v>97.724000000000004</v>
      </c>
      <c r="C571" s="363">
        <f t="shared" si="214"/>
        <v>725.28326608263887</v>
      </c>
      <c r="D571" s="364">
        <f t="shared" si="215"/>
        <v>1.5694175547156279</v>
      </c>
      <c r="E571" s="364">
        <f t="shared" si="216"/>
        <v>1.2421377019804951</v>
      </c>
      <c r="F571" s="365">
        <f t="shared" si="217"/>
        <v>0.63501344569360507</v>
      </c>
      <c r="G571" s="364">
        <f t="shared" si="218"/>
        <v>7.3120372344571098</v>
      </c>
      <c r="H571" s="365">
        <f t="shared" si="219"/>
        <v>-1.4336055887479424</v>
      </c>
      <c r="I571" s="363">
        <f t="shared" si="220"/>
        <v>147866.09557491966</v>
      </c>
      <c r="J571" s="366">
        <f t="shared" si="221"/>
        <v>1.570789563919363</v>
      </c>
      <c r="K571" s="374">
        <f t="shared" si="237"/>
        <v>501.77650627073996</v>
      </c>
      <c r="L571" s="375">
        <f t="shared" si="238"/>
        <v>1.5688034063423475</v>
      </c>
      <c r="M571" s="363">
        <f t="shared" si="222"/>
        <v>1.8515308008184241</v>
      </c>
      <c r="N571" s="366">
        <f t="shared" si="223"/>
        <v>1.0002479640402548</v>
      </c>
      <c r="O571" s="367">
        <f t="shared" si="224"/>
        <v>1.0088808494064487</v>
      </c>
      <c r="P571" s="368">
        <f t="shared" si="225"/>
        <v>0.48210590287218319</v>
      </c>
      <c r="Q571" s="369">
        <f t="shared" si="226"/>
        <v>-10.310097551680892</v>
      </c>
      <c r="R571" s="370">
        <f t="shared" si="227"/>
        <v>-220.72338054607278</v>
      </c>
      <c r="S571" s="372">
        <f t="shared" si="228"/>
        <v>-40.723380546072775</v>
      </c>
      <c r="U571" s="345">
        <f t="shared" si="234"/>
        <v>97724</v>
      </c>
      <c r="V571" s="345">
        <f t="shared" si="235"/>
        <v>9549980176</v>
      </c>
      <c r="X571" s="371">
        <f t="shared" si="229"/>
        <v>33.35888986866842</v>
      </c>
      <c r="Y571" s="372">
        <f t="shared" si="230"/>
        <v>-57.423785318287088</v>
      </c>
      <c r="AA571" s="371">
        <f t="shared" si="231"/>
        <v>28.37221240620994</v>
      </c>
      <c r="AB571" s="372">
        <f t="shared" si="232"/>
        <v>-163.29959522778572</v>
      </c>
      <c r="AD571">
        <f t="shared" si="236"/>
        <v>0</v>
      </c>
      <c r="AE571">
        <f t="shared" si="239"/>
        <v>0</v>
      </c>
    </row>
    <row r="572" spans="1:31" x14ac:dyDescent="0.3">
      <c r="A572" s="373">
        <v>98862</v>
      </c>
      <c r="B572" s="390">
        <f t="shared" si="233"/>
        <v>98.861999999999995</v>
      </c>
      <c r="C572" s="363">
        <f t="shared" si="214"/>
        <v>733.72920358816987</v>
      </c>
      <c r="D572" s="364">
        <f t="shared" si="215"/>
        <v>1.5694334257345421</v>
      </c>
      <c r="E572" s="364">
        <f t="shared" si="216"/>
        <v>1.2472465752962161</v>
      </c>
      <c r="F572" s="365">
        <f t="shared" si="217"/>
        <v>0.64055183566470952</v>
      </c>
      <c r="G572" s="364">
        <f t="shared" si="218"/>
        <v>7.3956026204110108</v>
      </c>
      <c r="H572" s="365">
        <f t="shared" si="219"/>
        <v>-1.4351653845862733</v>
      </c>
      <c r="I572" s="363">
        <f t="shared" si="220"/>
        <v>149588.00234046965</v>
      </c>
      <c r="J572" s="366">
        <f t="shared" si="221"/>
        <v>1.5707896417667904</v>
      </c>
      <c r="K572" s="374">
        <f t="shared" si="237"/>
        <v>507.61969125341784</v>
      </c>
      <c r="L572" s="375">
        <f t="shared" si="238"/>
        <v>1.5688263467802628</v>
      </c>
      <c r="M572" s="363">
        <f t="shared" si="222"/>
        <v>1.8668282662669979</v>
      </c>
      <c r="N572" s="366">
        <f t="shared" si="223"/>
        <v>1.0054978144299922</v>
      </c>
      <c r="O572" s="367">
        <f t="shared" si="224"/>
        <v>1.0092216985180373</v>
      </c>
      <c r="P572" s="368">
        <f t="shared" si="225"/>
        <v>0.48803006772744933</v>
      </c>
      <c r="Q572" s="369">
        <f t="shared" si="226"/>
        <v>-10.35070846693422</v>
      </c>
      <c r="R572" s="370">
        <f t="shared" si="227"/>
        <v>-221.13524722055021</v>
      </c>
      <c r="S572" s="372">
        <f t="shared" si="228"/>
        <v>-41.135247220550212</v>
      </c>
      <c r="U572" s="345">
        <f t="shared" si="234"/>
        <v>98862</v>
      </c>
      <c r="V572" s="345">
        <f t="shared" si="235"/>
        <v>9773695044</v>
      </c>
      <c r="X572" s="371">
        <f t="shared" si="229"/>
        <v>33.287420934170235</v>
      </c>
      <c r="Y572" s="372">
        <f t="shared" si="230"/>
        <v>-57.723269659092658</v>
      </c>
      <c r="AA572" s="371">
        <f t="shared" si="231"/>
        <v>28.403070425454796</v>
      </c>
      <c r="AB572" s="372">
        <f t="shared" si="232"/>
        <v>-163.41197756145752</v>
      </c>
      <c r="AD572">
        <f t="shared" si="236"/>
        <v>0</v>
      </c>
      <c r="AE572">
        <f t="shared" si="239"/>
        <v>0</v>
      </c>
    </row>
    <row r="573" spans="1:31" x14ac:dyDescent="0.3">
      <c r="A573" s="373">
        <v>100000</v>
      </c>
      <c r="B573" s="390">
        <f t="shared" si="233"/>
        <v>100</v>
      </c>
      <c r="C573" s="363">
        <f t="shared" si="214"/>
        <v>742.17514127431286</v>
      </c>
      <c r="D573" s="364">
        <f t="shared" si="215"/>
        <v>1.5694489355297294</v>
      </c>
      <c r="E573" s="364">
        <f t="shared" si="216"/>
        <v>1.2523933935483529</v>
      </c>
      <c r="F573" s="365">
        <f t="shared" si="217"/>
        <v>0.64604487200071159</v>
      </c>
      <c r="G573" s="364">
        <f t="shared" si="218"/>
        <v>7.4791855974888586</v>
      </c>
      <c r="H573" s="365">
        <f t="shared" si="219"/>
        <v>-1.4366903213450901</v>
      </c>
      <c r="I573" s="363">
        <f t="shared" si="220"/>
        <v>151309.90910602052</v>
      </c>
      <c r="J573" s="366">
        <f t="shared" si="221"/>
        <v>1.5707897178424102</v>
      </c>
      <c r="K573" s="374">
        <f t="shared" si="237"/>
        <v>513.46287649715737</v>
      </c>
      <c r="L573" s="375">
        <f t="shared" si="238"/>
        <v>1.5688487650958145</v>
      </c>
      <c r="M573" s="363">
        <f t="shared" si="222"/>
        <v>1.8821763460690799</v>
      </c>
      <c r="N573" s="366">
        <f t="shared" si="223"/>
        <v>1.010662186128974</v>
      </c>
      <c r="O573" s="367">
        <f t="shared" si="224"/>
        <v>1.0095726037082366</v>
      </c>
      <c r="P573" s="368">
        <f t="shared" si="225"/>
        <v>0.49396353959274059</v>
      </c>
      <c r="Q573" s="369">
        <f t="shared" si="226"/>
        <v>-10.390875421304695</v>
      </c>
      <c r="R573" s="370">
        <f t="shared" si="227"/>
        <v>-221.5433599902378</v>
      </c>
      <c r="S573" s="372">
        <f t="shared" si="228"/>
        <v>-41.543359990237803</v>
      </c>
      <c r="U573" s="345">
        <f t="shared" si="234"/>
        <v>100000</v>
      </c>
      <c r="V573" s="345">
        <f t="shared" si="235"/>
        <v>10000000000</v>
      </c>
      <c r="X573" s="371">
        <f t="shared" si="229"/>
        <v>33.216301690081323</v>
      </c>
      <c r="Y573" s="372">
        <f t="shared" si="230"/>
        <v>-58.017886245564824</v>
      </c>
      <c r="AA573" s="371">
        <f t="shared" si="231"/>
        <v>28.434022715173231</v>
      </c>
      <c r="AB573" s="372">
        <f t="shared" si="232"/>
        <v>-163.52547374467301</v>
      </c>
      <c r="AD573">
        <f t="shared" si="236"/>
        <v>0</v>
      </c>
      <c r="AE573">
        <f t="shared" si="239"/>
        <v>0</v>
      </c>
    </row>
    <row r="574" spans="1:31" x14ac:dyDescent="0.3">
      <c r="A574" s="373">
        <v>101165</v>
      </c>
      <c r="B574" s="390">
        <f t="shared" si="233"/>
        <v>101.16500000000001</v>
      </c>
      <c r="C574" s="363">
        <f t="shared" si="214"/>
        <v>750.8214660634377</v>
      </c>
      <c r="D574" s="364">
        <f t="shared" si="215"/>
        <v>1.5694644518541181</v>
      </c>
      <c r="E574" s="364">
        <f t="shared" si="216"/>
        <v>1.2577011440024239</v>
      </c>
      <c r="F574" s="365">
        <f t="shared" si="217"/>
        <v>0.65162149218480703</v>
      </c>
      <c r="G574" s="364">
        <f t="shared" si="218"/>
        <v>7.5647692638089223</v>
      </c>
      <c r="H574" s="365">
        <f t="shared" si="219"/>
        <v>-1.438216528125194</v>
      </c>
      <c r="I574" s="363">
        <f t="shared" si="220"/>
        <v>153072.66954702907</v>
      </c>
      <c r="J574" s="366">
        <f t="shared" si="221"/>
        <v>1.5707897939500526</v>
      </c>
      <c r="K574" s="374">
        <f t="shared" si="237"/>
        <v>519.44469644991125</v>
      </c>
      <c r="L574" s="375">
        <f t="shared" si="238"/>
        <v>1.568871192849888</v>
      </c>
      <c r="M574" s="363">
        <f t="shared" si="222"/>
        <v>1.8979397197384278</v>
      </c>
      <c r="N574" s="366">
        <f t="shared" si="223"/>
        <v>1.015862423117645</v>
      </c>
      <c r="O574" s="367">
        <f t="shared" si="224"/>
        <v>1.0099424647056154</v>
      </c>
      <c r="P574" s="368">
        <f t="shared" si="225"/>
        <v>0.50004744978912319</v>
      </c>
      <c r="Q574" s="369">
        <f t="shared" si="226"/>
        <v>-10.431543665302064</v>
      </c>
      <c r="R574" s="370">
        <f t="shared" si="227"/>
        <v>-221.95743077138235</v>
      </c>
      <c r="S574" s="372">
        <f t="shared" si="228"/>
        <v>-41.957430771382349</v>
      </c>
      <c r="U574" s="345">
        <f t="shared" si="234"/>
        <v>101165</v>
      </c>
      <c r="V574" s="345">
        <f t="shared" si="235"/>
        <v>10234357225</v>
      </c>
      <c r="X574" s="371">
        <f t="shared" si="229"/>
        <v>33.143859242159394</v>
      </c>
      <c r="Y574" s="372">
        <f t="shared" si="230"/>
        <v>-58.314557222816809</v>
      </c>
      <c r="AA574" s="371">
        <f t="shared" si="231"/>
        <v>28.465796919097791</v>
      </c>
      <c r="AB574" s="372">
        <f t="shared" si="232"/>
        <v>-163.64287354856557</v>
      </c>
      <c r="AD574">
        <f t="shared" si="236"/>
        <v>0</v>
      </c>
      <c r="AE574">
        <f t="shared" si="239"/>
        <v>0</v>
      </c>
    </row>
    <row r="575" spans="1:31" x14ac:dyDescent="0.3">
      <c r="A575" s="373">
        <v>102330</v>
      </c>
      <c r="B575" s="390">
        <f t="shared" si="233"/>
        <v>102.33</v>
      </c>
      <c r="C575" s="363">
        <f t="shared" si="214"/>
        <v>759.46779102921153</v>
      </c>
      <c r="D575" s="364">
        <f t="shared" si="215"/>
        <v>1.5694796148806232</v>
      </c>
      <c r="E575" s="364">
        <f t="shared" si="216"/>
        <v>1.2630476778810287</v>
      </c>
      <c r="F575" s="365">
        <f t="shared" si="217"/>
        <v>0.65715107098935532</v>
      </c>
      <c r="G575" s="364">
        <f t="shared" si="218"/>
        <v>7.6503701565362121</v>
      </c>
      <c r="H575" s="365">
        <f t="shared" si="219"/>
        <v>-1.4397085845014066</v>
      </c>
      <c r="I575" s="363">
        <f t="shared" si="220"/>
        <v>154835.42998803855</v>
      </c>
      <c r="J575" s="366">
        <f t="shared" si="221"/>
        <v>1.5707898683247643</v>
      </c>
      <c r="K575" s="374">
        <f t="shared" si="237"/>
        <v>525.42651665799872</v>
      </c>
      <c r="L575" s="375">
        <f t="shared" si="238"/>
        <v>1.5688931099377297</v>
      </c>
      <c r="M575" s="363">
        <f t="shared" si="222"/>
        <v>1.9137535720578964</v>
      </c>
      <c r="N575" s="366">
        <f t="shared" si="223"/>
        <v>1.02097685464799</v>
      </c>
      <c r="O575" s="367">
        <f t="shared" si="224"/>
        <v>1.0103233003151344</v>
      </c>
      <c r="P575" s="368">
        <f t="shared" si="225"/>
        <v>0.5061411529273574</v>
      </c>
      <c r="Q575" s="369">
        <f t="shared" si="226"/>
        <v>-10.471763297381646</v>
      </c>
      <c r="R575" s="370">
        <f t="shared" si="227"/>
        <v>-222.36789387189015</v>
      </c>
      <c r="S575" s="372">
        <f t="shared" si="228"/>
        <v>-42.367893871890146</v>
      </c>
      <c r="U575" s="345">
        <f t="shared" si="234"/>
        <v>102330</v>
      </c>
      <c r="V575" s="345">
        <f t="shared" si="235"/>
        <v>10471428900</v>
      </c>
      <c r="X575" s="371">
        <f t="shared" si="229"/>
        <v>33.071786885830349</v>
      </c>
      <c r="Y575" s="372">
        <f t="shared" si="230"/>
        <v>-58.606341069172167</v>
      </c>
      <c r="AA575" s="371">
        <f t="shared" si="231"/>
        <v>28.497649643347252</v>
      </c>
      <c r="AB575" s="372">
        <f t="shared" si="232"/>
        <v>-163.76155280271797</v>
      </c>
      <c r="AD575">
        <f t="shared" si="236"/>
        <v>0</v>
      </c>
      <c r="AE575">
        <f t="shared" si="239"/>
        <v>0</v>
      </c>
    </row>
    <row r="576" spans="1:31" x14ac:dyDescent="0.3">
      <c r="A576" s="373">
        <v>103520</v>
      </c>
      <c r="B576" s="390">
        <f t="shared" si="233"/>
        <v>103.52</v>
      </c>
      <c r="C576" s="363">
        <f t="shared" si="214"/>
        <v>768.29965962536119</v>
      </c>
      <c r="D576" s="364">
        <f t="shared" si="215"/>
        <v>1.5694947509451329</v>
      </c>
      <c r="E576" s="364">
        <f t="shared" si="216"/>
        <v>1.2685484750754221</v>
      </c>
      <c r="F576" s="365">
        <f t="shared" si="217"/>
        <v>0.66275101303990447</v>
      </c>
      <c r="G576" s="364">
        <f t="shared" si="218"/>
        <v>7.7378251686972712</v>
      </c>
      <c r="H576" s="365">
        <f t="shared" si="219"/>
        <v>-1.4411985734307176</v>
      </c>
      <c r="I576" s="363">
        <f t="shared" si="220"/>
        <v>156636.01790632374</v>
      </c>
      <c r="J576" s="366">
        <f t="shared" si="221"/>
        <v>1.5707899425672243</v>
      </c>
      <c r="K576" s="374">
        <f t="shared" si="237"/>
        <v>531.53670236125083</v>
      </c>
      <c r="L576" s="375">
        <f t="shared" si="238"/>
        <v>1.568914988054855</v>
      </c>
      <c r="M576" s="363">
        <f t="shared" si="222"/>
        <v>1.9299576022920906</v>
      </c>
      <c r="N576" s="366">
        <f t="shared" si="223"/>
        <v>1.0261143692386991</v>
      </c>
      <c r="O576" s="367">
        <f t="shared" si="224"/>
        <v>1.0107238710733739</v>
      </c>
      <c r="P576" s="368">
        <f t="shared" si="225"/>
        <v>0.51237574776572703</v>
      </c>
      <c r="Q576" s="369">
        <f t="shared" si="226"/>
        <v>-10.512391688899406</v>
      </c>
      <c r="R576" s="370">
        <f t="shared" si="227"/>
        <v>-222.7836027415882</v>
      </c>
      <c r="S576" s="372">
        <f t="shared" si="228"/>
        <v>-42.783602741588197</v>
      </c>
      <c r="U576" s="345">
        <f t="shared" si="234"/>
        <v>103520</v>
      </c>
      <c r="V576" s="345">
        <f t="shared" si="235"/>
        <v>10716390400</v>
      </c>
      <c r="X576" s="371">
        <f t="shared" si="229"/>
        <v>32.998551443933842</v>
      </c>
      <c r="Y576" s="372">
        <f t="shared" si="230"/>
        <v>-58.89944970274626</v>
      </c>
      <c r="AA576" s="371">
        <f t="shared" si="231"/>
        <v>28.530256693726006</v>
      </c>
      <c r="AB576" s="372">
        <f t="shared" si="232"/>
        <v>-163.88415303884199</v>
      </c>
      <c r="AD576">
        <f t="shared" si="236"/>
        <v>0</v>
      </c>
      <c r="AE576">
        <f t="shared" si="239"/>
        <v>0</v>
      </c>
    </row>
    <row r="577" spans="1:31" x14ac:dyDescent="0.3">
      <c r="A577" s="373">
        <v>104710</v>
      </c>
      <c r="B577" s="390">
        <f t="shared" si="233"/>
        <v>104.71</v>
      </c>
      <c r="C577" s="363">
        <f t="shared" si="214"/>
        <v>777.13152839352767</v>
      </c>
      <c r="D577" s="364">
        <f t="shared" si="215"/>
        <v>1.5695095429759001</v>
      </c>
      <c r="E577" s="364">
        <f t="shared" si="216"/>
        <v>1.2740887088999648</v>
      </c>
      <c r="F577" s="365">
        <f t="shared" si="217"/>
        <v>0.66830242646651195</v>
      </c>
      <c r="G577" s="364">
        <f t="shared" si="218"/>
        <v>7.8252969753553687</v>
      </c>
      <c r="H577" s="365">
        <f t="shared" si="219"/>
        <v>-1.442655255098878</v>
      </c>
      <c r="I577" s="363">
        <f t="shared" si="220"/>
        <v>158436.60582460981</v>
      </c>
      <c r="J577" s="366">
        <f t="shared" si="221"/>
        <v>1.5707900151221945</v>
      </c>
      <c r="K577" s="374">
        <f t="shared" si="237"/>
        <v>537.64688831314106</v>
      </c>
      <c r="L577" s="375">
        <f t="shared" si="238"/>
        <v>1.5689363688962996</v>
      </c>
      <c r="M577" s="363">
        <f t="shared" si="222"/>
        <v>1.9462117229227083</v>
      </c>
      <c r="N577" s="366">
        <f t="shared" si="223"/>
        <v>1.0311662016539724</v>
      </c>
      <c r="O577" s="367">
        <f t="shared" si="224"/>
        <v>1.0111363658572721</v>
      </c>
      <c r="P577" s="368">
        <f t="shared" si="225"/>
        <v>0.51862058721697368</v>
      </c>
      <c r="Q577" s="369">
        <f t="shared" si="226"/>
        <v>-10.55256996037977</v>
      </c>
      <c r="R577" s="370">
        <f t="shared" si="227"/>
        <v>-223.19587016060765</v>
      </c>
      <c r="S577" s="372">
        <f t="shared" si="228"/>
        <v>-43.195870160607654</v>
      </c>
      <c r="U577" s="345">
        <f t="shared" si="234"/>
        <v>104710</v>
      </c>
      <c r="V577" s="345">
        <f t="shared" si="235"/>
        <v>10964184100</v>
      </c>
      <c r="X577" s="371">
        <f t="shared" si="229"/>
        <v>32.92570478171163</v>
      </c>
      <c r="Y577" s="372">
        <f t="shared" si="230"/>
        <v>-59.187677504394507</v>
      </c>
      <c r="AA577" s="371">
        <f t="shared" si="231"/>
        <v>28.56292508446785</v>
      </c>
      <c r="AB577" s="372">
        <f t="shared" si="232"/>
        <v>-164.00819265621314</v>
      </c>
      <c r="AD577">
        <f t="shared" si="236"/>
        <v>0</v>
      </c>
      <c r="AE577">
        <f t="shared" si="239"/>
        <v>0</v>
      </c>
    </row>
    <row r="578" spans="1:31" x14ac:dyDescent="0.3">
      <c r="A578" s="373">
        <v>105930</v>
      </c>
      <c r="B578" s="390">
        <f t="shared" si="233"/>
        <v>105.93</v>
      </c>
      <c r="C578" s="363">
        <f t="shared" si="214"/>
        <v>786.18604948802147</v>
      </c>
      <c r="D578" s="364">
        <f t="shared" si="215"/>
        <v>1.5695243628999636</v>
      </c>
      <c r="E578" s="364">
        <f t="shared" si="216"/>
        <v>1.2798090167680189</v>
      </c>
      <c r="F578" s="365">
        <f t="shared" si="217"/>
        <v>0.67394371633101224</v>
      </c>
      <c r="G578" s="364">
        <f t="shared" si="218"/>
        <v>7.9149908056302971</v>
      </c>
      <c r="H578" s="365">
        <f t="shared" si="219"/>
        <v>-1.4441152321286823</v>
      </c>
      <c r="I578" s="363">
        <f t="shared" si="220"/>
        <v>160282.58671562659</v>
      </c>
      <c r="J578" s="366">
        <f t="shared" si="221"/>
        <v>1.5707900878139787</v>
      </c>
      <c r="K578" s="374">
        <f t="shared" si="237"/>
        <v>543.91111281568703</v>
      </c>
      <c r="L578" s="375">
        <f t="shared" si="238"/>
        <v>1.568957790056434</v>
      </c>
      <c r="M578" s="363">
        <f t="shared" si="222"/>
        <v>1.9629263091298526</v>
      </c>
      <c r="N578" s="366">
        <f t="shared" si="223"/>
        <v>1.0362584034612856</v>
      </c>
      <c r="O578" s="367">
        <f t="shared" si="224"/>
        <v>1.0115718921317591</v>
      </c>
      <c r="P578" s="368">
        <f t="shared" si="225"/>
        <v>0.52503350297446361</v>
      </c>
      <c r="Q578" s="369">
        <f t="shared" si="226"/>
        <v>-10.593303390534727</v>
      </c>
      <c r="R578" s="370">
        <f t="shared" si="227"/>
        <v>-223.61511920406573</v>
      </c>
      <c r="S578" s="372">
        <f t="shared" si="228"/>
        <v>-43.615119204065735</v>
      </c>
      <c r="U578" s="345">
        <f t="shared" si="234"/>
        <v>105930</v>
      </c>
      <c r="V578" s="345">
        <f t="shared" si="235"/>
        <v>11221164900</v>
      </c>
      <c r="X578" s="371">
        <f t="shared" si="229"/>
        <v>32.851426203050465</v>
      </c>
      <c r="Y578" s="372">
        <f t="shared" si="230"/>
        <v>-59.478215999578886</v>
      </c>
      <c r="AA578" s="371">
        <f t="shared" si="231"/>
        <v>28.596470232974053</v>
      </c>
      <c r="AB578" s="372">
        <f t="shared" si="232"/>
        <v>-164.13690320448688</v>
      </c>
      <c r="AD578">
        <f t="shared" si="236"/>
        <v>0</v>
      </c>
      <c r="AE578">
        <f t="shared" si="239"/>
        <v>0</v>
      </c>
    </row>
    <row r="579" spans="1:31" x14ac:dyDescent="0.3">
      <c r="A579" s="373">
        <v>107150</v>
      </c>
      <c r="B579" s="390">
        <f t="shared" si="233"/>
        <v>107.15</v>
      </c>
      <c r="C579" s="363">
        <f t="shared" si="214"/>
        <v>795.24057075125313</v>
      </c>
      <c r="D579" s="364">
        <f t="shared" si="215"/>
        <v>1.5695388453479948</v>
      </c>
      <c r="E579" s="364">
        <f t="shared" si="216"/>
        <v>1.2855696902633309</v>
      </c>
      <c r="F579" s="365">
        <f t="shared" si="217"/>
        <v>0.6795346252459773</v>
      </c>
      <c r="G579" s="364">
        <f t="shared" si="218"/>
        <v>8.0047011288626511</v>
      </c>
      <c r="H579" s="365">
        <f t="shared" si="219"/>
        <v>-1.4455424876216241</v>
      </c>
      <c r="I579" s="363">
        <f t="shared" si="220"/>
        <v>162128.56760664418</v>
      </c>
      <c r="J579" s="366">
        <f t="shared" si="221"/>
        <v>1.5707901588504389</v>
      </c>
      <c r="K579" s="374">
        <f t="shared" si="237"/>
        <v>550.17533756213197</v>
      </c>
      <c r="L579" s="375">
        <f t="shared" si="238"/>
        <v>1.5689787234194983</v>
      </c>
      <c r="M579" s="363">
        <f t="shared" si="222"/>
        <v>1.9796909347779856</v>
      </c>
      <c r="N579" s="366">
        <f t="shared" si="223"/>
        <v>1.0412644886245628</v>
      </c>
      <c r="O579" s="367">
        <f t="shared" si="224"/>
        <v>1.0120204694252228</v>
      </c>
      <c r="P579" s="368">
        <f t="shared" si="225"/>
        <v>0.53145719859229845</v>
      </c>
      <c r="Q579" s="369">
        <f t="shared" si="226"/>
        <v>-10.633583151753898</v>
      </c>
      <c r="R579" s="370">
        <f t="shared" si="227"/>
        <v>-224.03107209550541</v>
      </c>
      <c r="S579" s="372">
        <f t="shared" si="228"/>
        <v>-44.031072095505408</v>
      </c>
      <c r="U579" s="345">
        <f t="shared" si="234"/>
        <v>107150</v>
      </c>
      <c r="V579" s="345">
        <f t="shared" si="235"/>
        <v>11481122500</v>
      </c>
      <c r="X579" s="371">
        <f t="shared" si="229"/>
        <v>32.777557900826011</v>
      </c>
      <c r="Y579" s="372">
        <f t="shared" si="230"/>
        <v>-59.763848228378876</v>
      </c>
      <c r="AA579" s="371">
        <f t="shared" si="231"/>
        <v>28.630058773979343</v>
      </c>
      <c r="AB579" s="372">
        <f t="shared" si="232"/>
        <v>-164.26722386712649</v>
      </c>
      <c r="AD579">
        <f t="shared" si="236"/>
        <v>0</v>
      </c>
      <c r="AE579">
        <f t="shared" si="239"/>
        <v>0</v>
      </c>
    </row>
    <row r="580" spans="1:31" x14ac:dyDescent="0.3">
      <c r="A580" s="373">
        <v>108400</v>
      </c>
      <c r="B580" s="390">
        <f t="shared" si="233"/>
        <v>108.4</v>
      </c>
      <c r="C580" s="363">
        <f t="shared" si="214"/>
        <v>804.51774434575111</v>
      </c>
      <c r="D580" s="364">
        <f t="shared" si="215"/>
        <v>1.5695533458109114</v>
      </c>
      <c r="E580" s="364">
        <f t="shared" si="216"/>
        <v>1.2915133215476586</v>
      </c>
      <c r="F580" s="365">
        <f t="shared" si="217"/>
        <v>0.68521110305682353</v>
      </c>
      <c r="G580" s="364">
        <f t="shared" si="218"/>
        <v>8.0966339766685085</v>
      </c>
      <c r="H580" s="365">
        <f t="shared" si="219"/>
        <v>-1.4469720325660571</v>
      </c>
      <c r="I580" s="363">
        <f t="shared" si="220"/>
        <v>164019.9414703926</v>
      </c>
      <c r="J580" s="366">
        <f t="shared" si="221"/>
        <v>1.5707902299752596</v>
      </c>
      <c r="K580" s="374">
        <f t="shared" si="237"/>
        <v>556.59360086637184</v>
      </c>
      <c r="L580" s="375">
        <f t="shared" si="238"/>
        <v>1.5689996828226485</v>
      </c>
      <c r="M580" s="363">
        <f t="shared" si="222"/>
        <v>1.9969183877205563</v>
      </c>
      <c r="N580" s="366">
        <f t="shared" si="223"/>
        <v>1.046306364176198</v>
      </c>
      <c r="O580" s="367">
        <f t="shared" si="224"/>
        <v>1.0124938915460391</v>
      </c>
      <c r="P580" s="368">
        <f t="shared" si="225"/>
        <v>0.53805003425478026</v>
      </c>
      <c r="Q580" s="369">
        <f t="shared" si="226"/>
        <v>-10.674393174046017</v>
      </c>
      <c r="R580" s="370">
        <f t="shared" si="227"/>
        <v>-224.45399462042673</v>
      </c>
      <c r="S580" s="372">
        <f t="shared" si="228"/>
        <v>-44.453994620426727</v>
      </c>
      <c r="U580" s="345">
        <f t="shared" si="234"/>
        <v>108400</v>
      </c>
      <c r="V580" s="345">
        <f t="shared" si="235"/>
        <v>11750560000</v>
      </c>
      <c r="X580" s="371">
        <f t="shared" si="229"/>
        <v>32.702299139846502</v>
      </c>
      <c r="Y580" s="372">
        <f t="shared" si="230"/>
        <v>-60.051529608456931</v>
      </c>
      <c r="AA580" s="371">
        <f t="shared" si="231"/>
        <v>28.664507512666727</v>
      </c>
      <c r="AB580" s="372">
        <f t="shared" si="232"/>
        <v>-164.40246501196984</v>
      </c>
      <c r="AD580">
        <f t="shared" si="236"/>
        <v>0</v>
      </c>
      <c r="AE580">
        <f t="shared" si="239"/>
        <v>0</v>
      </c>
    </row>
    <row r="581" spans="1:31" x14ac:dyDescent="0.3">
      <c r="A581" s="373">
        <v>109650</v>
      </c>
      <c r="B581" s="390">
        <f t="shared" si="233"/>
        <v>109.65</v>
      </c>
      <c r="C581" s="363">
        <f t="shared" si="214"/>
        <v>813.79491810555282</v>
      </c>
      <c r="D581" s="364">
        <f t="shared" si="215"/>
        <v>1.5695675156664237</v>
      </c>
      <c r="E581" s="364">
        <f t="shared" si="216"/>
        <v>1.2974981864438921</v>
      </c>
      <c r="F581" s="365">
        <f t="shared" si="217"/>
        <v>0.69083539384969705</v>
      </c>
      <c r="G581" s="364">
        <f t="shared" si="218"/>
        <v>8.1885829991975001</v>
      </c>
      <c r="H581" s="365">
        <f t="shared" si="219"/>
        <v>-1.4483694757938421</v>
      </c>
      <c r="I581" s="363">
        <f t="shared" si="220"/>
        <v>165911.31533414178</v>
      </c>
      <c r="J581" s="366">
        <f t="shared" si="221"/>
        <v>1.5707902994784475</v>
      </c>
      <c r="K581" s="374">
        <f t="shared" si="237"/>
        <v>563.01186440954666</v>
      </c>
      <c r="L581" s="375">
        <f t="shared" si="238"/>
        <v>1.569020164356755</v>
      </c>
      <c r="M581" s="363">
        <f t="shared" si="222"/>
        <v>2.014195734251659</v>
      </c>
      <c r="N581" s="366">
        <f t="shared" si="223"/>
        <v>1.0512618676149352</v>
      </c>
      <c r="O581" s="367">
        <f t="shared" si="224"/>
        <v>1.0129815816499852</v>
      </c>
      <c r="P581" s="368">
        <f t="shared" si="225"/>
        <v>0.54465418076223604</v>
      </c>
      <c r="Q581" s="369">
        <f t="shared" si="226"/>
        <v>-10.714747915080192</v>
      </c>
      <c r="R581" s="370">
        <f t="shared" si="227"/>
        <v>-224.87377559904135</v>
      </c>
      <c r="S581" s="372">
        <f t="shared" si="228"/>
        <v>-44.873775599041352</v>
      </c>
      <c r="U581" s="345">
        <f t="shared" si="234"/>
        <v>109650</v>
      </c>
      <c r="V581" s="345">
        <f t="shared" si="235"/>
        <v>12023122500</v>
      </c>
      <c r="X581" s="371">
        <f t="shared" si="229"/>
        <v>32.627471704816635</v>
      </c>
      <c r="Y581" s="372">
        <f t="shared" si="230"/>
        <v>-60.334289517959299</v>
      </c>
      <c r="AA581" s="371">
        <f t="shared" si="231"/>
        <v>28.698980206662419</v>
      </c>
      <c r="AB581" s="372">
        <f t="shared" si="232"/>
        <v>-164.53948608108209</v>
      </c>
      <c r="AD581">
        <f t="shared" si="236"/>
        <v>0</v>
      </c>
      <c r="AE581">
        <f t="shared" si="239"/>
        <v>0</v>
      </c>
    </row>
    <row r="582" spans="1:31" x14ac:dyDescent="0.3">
      <c r="A582" s="373">
        <v>110925</v>
      </c>
      <c r="B582" s="390">
        <f t="shared" si="233"/>
        <v>110.925</v>
      </c>
      <c r="C582" s="363">
        <f t="shared" si="214"/>
        <v>823.2576355050511</v>
      </c>
      <c r="D582" s="364">
        <f t="shared" si="215"/>
        <v>1.5695816399182942</v>
      </c>
      <c r="E582" s="364">
        <f t="shared" si="216"/>
        <v>1.3036446385395328</v>
      </c>
      <c r="F582" s="365">
        <f t="shared" si="217"/>
        <v>0.69651878640863796</v>
      </c>
      <c r="G582" s="364">
        <f t="shared" si="218"/>
        <v>8.2823871067043342</v>
      </c>
      <c r="H582" s="365">
        <f t="shared" si="219"/>
        <v>-1.4497628999208072</v>
      </c>
      <c r="I582" s="363">
        <f t="shared" si="220"/>
        <v>167840.51667516676</v>
      </c>
      <c r="J582" s="366">
        <f t="shared" si="221"/>
        <v>1.570790368757947</v>
      </c>
      <c r="K582" s="374">
        <f t="shared" si="237"/>
        <v>569.55849346135858</v>
      </c>
      <c r="L582" s="375">
        <f t="shared" si="238"/>
        <v>1.5690405799747633</v>
      </c>
      <c r="M582" s="363">
        <f t="shared" si="222"/>
        <v>2.0318687081283175</v>
      </c>
      <c r="N582" s="366">
        <f t="shared" si="223"/>
        <v>1.0562295364503653</v>
      </c>
      <c r="O582" s="367">
        <f t="shared" si="224"/>
        <v>1.0134940258906622</v>
      </c>
      <c r="P582" s="368">
        <f t="shared" si="225"/>
        <v>0.55140205196113468</v>
      </c>
      <c r="Q582" s="369">
        <f t="shared" si="226"/>
        <v>-10.755451732140495</v>
      </c>
      <c r="R582" s="370">
        <f t="shared" si="227"/>
        <v>-225.29887301350996</v>
      </c>
      <c r="S582" s="372">
        <f t="shared" si="228"/>
        <v>-45.298873013509962</v>
      </c>
      <c r="U582" s="345">
        <f t="shared" si="234"/>
        <v>110925</v>
      </c>
      <c r="V582" s="345">
        <f t="shared" si="235"/>
        <v>12304355625</v>
      </c>
      <c r="X582" s="371">
        <f t="shared" si="229"/>
        <v>32.551591988802471</v>
      </c>
      <c r="Y582" s="372">
        <f t="shared" si="230"/>
        <v>-60.617750217246922</v>
      </c>
      <c r="AA582" s="371">
        <f t="shared" si="231"/>
        <v>28.734156105616286</v>
      </c>
      <c r="AB582" s="372">
        <f t="shared" si="232"/>
        <v>-164.68112279626311</v>
      </c>
      <c r="AD582">
        <f t="shared" si="236"/>
        <v>0</v>
      </c>
      <c r="AE582">
        <f t="shared" si="239"/>
        <v>0</v>
      </c>
    </row>
    <row r="583" spans="1:31" x14ac:dyDescent="0.3">
      <c r="A583" s="373">
        <v>112200</v>
      </c>
      <c r="B583" s="390">
        <f t="shared" si="233"/>
        <v>112.2</v>
      </c>
      <c r="C583" s="363">
        <f t="shared" si="214"/>
        <v>832.72035306505222</v>
      </c>
      <c r="D583" s="364">
        <f t="shared" si="215"/>
        <v>1.5695954431649086</v>
      </c>
      <c r="E583" s="364">
        <f t="shared" si="216"/>
        <v>1.3098328036110816</v>
      </c>
      <c r="F583" s="365">
        <f t="shared" si="217"/>
        <v>0.70214865823164563</v>
      </c>
      <c r="G583" s="364">
        <f t="shared" si="218"/>
        <v>8.3762069353452429</v>
      </c>
      <c r="H583" s="365">
        <f t="shared" si="219"/>
        <v>-1.4511251118433692</v>
      </c>
      <c r="I583" s="363">
        <f t="shared" si="220"/>
        <v>169769.71801619255</v>
      </c>
      <c r="J583" s="366">
        <f t="shared" si="221"/>
        <v>1.5707904364629122</v>
      </c>
      <c r="K583" s="374">
        <f t="shared" si="237"/>
        <v>576.105122745166</v>
      </c>
      <c r="L583" s="375">
        <f t="shared" si="238"/>
        <v>1.5690605316028676</v>
      </c>
      <c r="M583" s="363">
        <f t="shared" si="222"/>
        <v>2.0495909584895777</v>
      </c>
      <c r="N583" s="366">
        <f t="shared" si="223"/>
        <v>1.0611114158941222</v>
      </c>
      <c r="O583" s="367">
        <f t="shared" si="224"/>
        <v>1.0140219279688882</v>
      </c>
      <c r="P583" s="368">
        <f t="shared" si="225"/>
        <v>0.55816166397026679</v>
      </c>
      <c r="Q583" s="369">
        <f t="shared" si="226"/>
        <v>-10.795704181590784</v>
      </c>
      <c r="R583" s="370">
        <f t="shared" si="227"/>
        <v>-225.72101404368635</v>
      </c>
      <c r="S583" s="372">
        <f t="shared" si="228"/>
        <v>-45.721014043686353</v>
      </c>
      <c r="U583" s="345">
        <f t="shared" si="234"/>
        <v>112200</v>
      </c>
      <c r="V583" s="345">
        <f t="shared" si="235"/>
        <v>12588840000</v>
      </c>
      <c r="X583" s="371">
        <f t="shared" si="229"/>
        <v>32.476160595046046</v>
      </c>
      <c r="Y583" s="372">
        <f t="shared" si="230"/>
        <v>-60.896322040908132</v>
      </c>
      <c r="AA583" s="371">
        <f t="shared" si="231"/>
        <v>28.769335049922418</v>
      </c>
      <c r="AB583" s="372">
        <f t="shared" si="232"/>
        <v>-164.82469200277819</v>
      </c>
      <c r="AD583">
        <f t="shared" si="236"/>
        <v>0</v>
      </c>
      <c r="AE583">
        <f t="shared" si="239"/>
        <v>0</v>
      </c>
    </row>
    <row r="584" spans="1:31" x14ac:dyDescent="0.3">
      <c r="A584" s="373">
        <v>113510</v>
      </c>
      <c r="B584" s="390">
        <f t="shared" si="233"/>
        <v>113.51</v>
      </c>
      <c r="C584" s="363">
        <f t="shared" si="214"/>
        <v>842.44283166073672</v>
      </c>
      <c r="D584" s="364">
        <f t="shared" si="215"/>
        <v>1.5696093023497286</v>
      </c>
      <c r="E584" s="364">
        <f t="shared" si="216"/>
        <v>1.3162336677531816</v>
      </c>
      <c r="F584" s="365">
        <f t="shared" si="217"/>
        <v>0.70787775195777369</v>
      </c>
      <c r="G584" s="364">
        <f t="shared" si="218"/>
        <v>8.4726180357270522</v>
      </c>
      <c r="H584" s="365">
        <f t="shared" si="219"/>
        <v>-1.4524932932563888</v>
      </c>
      <c r="I584" s="363">
        <f t="shared" si="220"/>
        <v>171751.87782540414</v>
      </c>
      <c r="J584" s="366">
        <f t="shared" si="221"/>
        <v>1.5707905044422523</v>
      </c>
      <c r="K584" s="374">
        <f t="shared" si="237"/>
        <v>582.83146365449636</v>
      </c>
      <c r="L584" s="375">
        <f t="shared" si="238"/>
        <v>1.5690805640864625</v>
      </c>
      <c r="M584" s="363">
        <f t="shared" si="222"/>
        <v>2.0678496943807483</v>
      </c>
      <c r="N584" s="366">
        <f t="shared" si="223"/>
        <v>1.0660400305996418</v>
      </c>
      <c r="O584" s="367">
        <f t="shared" si="224"/>
        <v>1.0145807511905913</v>
      </c>
      <c r="P584" s="368">
        <f t="shared" si="225"/>
        <v>0.56511903967189059</v>
      </c>
      <c r="Q584" s="369">
        <f t="shared" si="226"/>
        <v>-10.836603293474363</v>
      </c>
      <c r="R584" s="370">
        <f t="shared" si="227"/>
        <v>-226.15181945043702</v>
      </c>
      <c r="S584" s="372">
        <f t="shared" si="228"/>
        <v>-46.151819450437017</v>
      </c>
      <c r="U584" s="345">
        <f t="shared" si="234"/>
        <v>113510</v>
      </c>
      <c r="V584" s="345">
        <f t="shared" si="235"/>
        <v>12884520100</v>
      </c>
      <c r="X584" s="371">
        <f t="shared" si="229"/>
        <v>32.399124865317965</v>
      </c>
      <c r="Y584" s="372">
        <f t="shared" si="230"/>
        <v>-61.177566980868022</v>
      </c>
      <c r="AA584" s="371">
        <f t="shared" si="231"/>
        <v>28.80547166776692</v>
      </c>
      <c r="AB584" s="372">
        <f t="shared" si="232"/>
        <v>-164.97425246956894</v>
      </c>
      <c r="AD584">
        <f t="shared" si="236"/>
        <v>0</v>
      </c>
      <c r="AE584">
        <f t="shared" si="239"/>
        <v>0</v>
      </c>
    </row>
    <row r="585" spans="1:31" x14ac:dyDescent="0.3">
      <c r="A585" s="373">
        <v>114820</v>
      </c>
      <c r="B585" s="390">
        <f t="shared" si="233"/>
        <v>114.82</v>
      </c>
      <c r="C585" s="363">
        <f t="shared" si="214"/>
        <v>852.16531041454277</v>
      </c>
      <c r="D585" s="364">
        <f t="shared" si="215"/>
        <v>1.5696228452916148</v>
      </c>
      <c r="E585" s="364">
        <f t="shared" si="216"/>
        <v>1.3226773150340685</v>
      </c>
      <c r="F585" s="365">
        <f t="shared" si="217"/>
        <v>0.7135512098894411</v>
      </c>
      <c r="G585" s="364">
        <f t="shared" si="218"/>
        <v>8.5690446392720396</v>
      </c>
      <c r="H585" s="365">
        <f t="shared" si="219"/>
        <v>-1.4538306851085578</v>
      </c>
      <c r="I585" s="363">
        <f t="shared" si="220"/>
        <v>173734.03763461651</v>
      </c>
      <c r="J585" s="366">
        <f t="shared" si="221"/>
        <v>1.570790570870418</v>
      </c>
      <c r="K585" s="374">
        <f t="shared" si="237"/>
        <v>589.55780479238024</v>
      </c>
      <c r="L585" s="375">
        <f t="shared" si="238"/>
        <v>1.5691001394636799</v>
      </c>
      <c r="M585" s="363">
        <f t="shared" si="222"/>
        <v>2.086157780936718</v>
      </c>
      <c r="N585" s="366">
        <f t="shared" si="223"/>
        <v>1.0708822543324124</v>
      </c>
      <c r="O585" s="367">
        <f t="shared" si="224"/>
        <v>1.0151565663017217</v>
      </c>
      <c r="P585" s="368">
        <f t="shared" si="225"/>
        <v>0.57208875679578963</v>
      </c>
      <c r="Q585" s="369">
        <f t="shared" si="226"/>
        <v>-10.877049950822395</v>
      </c>
      <c r="R585" s="370">
        <f t="shared" si="227"/>
        <v>-226.57981369679504</v>
      </c>
      <c r="S585" s="372">
        <f t="shared" si="228"/>
        <v>-46.579813696795043</v>
      </c>
      <c r="U585" s="345">
        <f t="shared" si="234"/>
        <v>114820</v>
      </c>
      <c r="V585" s="345">
        <f t="shared" si="235"/>
        <v>13183632400</v>
      </c>
      <c r="X585" s="371">
        <f t="shared" si="229"/>
        <v>32.322560895525868</v>
      </c>
      <c r="Y585" s="372">
        <f t="shared" si="230"/>
        <v>-61.453888184086203</v>
      </c>
      <c r="AA585" s="371">
        <f t="shared" si="231"/>
        <v>28.841588980210989</v>
      </c>
      <c r="AB585" s="372">
        <f t="shared" si="232"/>
        <v>-165.12592551270887</v>
      </c>
      <c r="AD585">
        <f t="shared" si="236"/>
        <v>0</v>
      </c>
      <c r="AE585">
        <f t="shared" si="239"/>
        <v>0</v>
      </c>
    </row>
    <row r="586" spans="1:31" x14ac:dyDescent="0.3">
      <c r="A586" s="373">
        <v>116155</v>
      </c>
      <c r="B586" s="390">
        <f t="shared" si="233"/>
        <v>116.155</v>
      </c>
      <c r="C586" s="363">
        <f t="shared" si="214"/>
        <v>862.07333281315471</v>
      </c>
      <c r="D586" s="364">
        <f t="shared" si="215"/>
        <v>1.5696363324113547</v>
      </c>
      <c r="E586" s="364">
        <f t="shared" si="216"/>
        <v>1.3292873041383966</v>
      </c>
      <c r="F586" s="365">
        <f t="shared" si="217"/>
        <v>0.71927616373772862</v>
      </c>
      <c r="G586" s="364">
        <f t="shared" si="218"/>
        <v>8.6673268592289237</v>
      </c>
      <c r="H586" s="365">
        <f t="shared" si="219"/>
        <v>-1.4551629822470864</v>
      </c>
      <c r="I586" s="363">
        <f t="shared" si="220"/>
        <v>175754.02492110469</v>
      </c>
      <c r="J586" s="366">
        <f t="shared" si="221"/>
        <v>1.5707906370247735</v>
      </c>
      <c r="K586" s="374">
        <f t="shared" si="237"/>
        <v>596.41251144628654</v>
      </c>
      <c r="L586" s="375">
        <f t="shared" si="238"/>
        <v>1.5691196341545546</v>
      </c>
      <c r="M586" s="363">
        <f t="shared" si="222"/>
        <v>2.1048646975222582</v>
      </c>
      <c r="N586" s="366">
        <f t="shared" si="223"/>
        <v>1.0757301092005611</v>
      </c>
      <c r="O586" s="367">
        <f t="shared" si="224"/>
        <v>1.0157612093026327</v>
      </c>
      <c r="P586" s="368">
        <f t="shared" si="225"/>
        <v>0.57920414339145498</v>
      </c>
      <c r="Q586" s="369">
        <f t="shared" si="226"/>
        <v>-10.91781555981032</v>
      </c>
      <c r="R586" s="370">
        <f t="shared" si="227"/>
        <v>-227.01323583403806</v>
      </c>
      <c r="S586" s="372">
        <f t="shared" si="228"/>
        <v>-47.013235834038056</v>
      </c>
      <c r="U586" s="345">
        <f t="shared" si="234"/>
        <v>116155</v>
      </c>
      <c r="V586" s="345">
        <f t="shared" si="235"/>
        <v>13491984025</v>
      </c>
      <c r="X586" s="371">
        <f t="shared" si="229"/>
        <v>32.245019965470149</v>
      </c>
      <c r="Y586" s="372">
        <f t="shared" si="230"/>
        <v>-61.730536634894527</v>
      </c>
      <c r="AA586" s="371">
        <f t="shared" si="231"/>
        <v>28.878364301278779</v>
      </c>
      <c r="AB586" s="372">
        <f t="shared" si="232"/>
        <v>-165.28269919914348</v>
      </c>
      <c r="AD586">
        <f t="shared" si="236"/>
        <v>0</v>
      </c>
      <c r="AE586">
        <f t="shared" si="239"/>
        <v>0</v>
      </c>
    </row>
    <row r="587" spans="1:31" x14ac:dyDescent="0.3">
      <c r="A587" s="373">
        <v>117490</v>
      </c>
      <c r="B587" s="390">
        <f t="shared" si="233"/>
        <v>117.49</v>
      </c>
      <c r="C587" s="363">
        <f t="shared" si="214"/>
        <v>871.98135536501604</v>
      </c>
      <c r="D587" s="364">
        <f t="shared" si="215"/>
        <v>1.5696495130321433</v>
      </c>
      <c r="E587" s="364">
        <f t="shared" si="216"/>
        <v>1.3359404288060766</v>
      </c>
      <c r="F587" s="365">
        <f t="shared" si="217"/>
        <v>0.7249442800730288</v>
      </c>
      <c r="G587" s="364">
        <f t="shared" si="218"/>
        <v>8.7656241188186836</v>
      </c>
      <c r="H587" s="365">
        <f t="shared" si="219"/>
        <v>-1.4564654010307678</v>
      </c>
      <c r="I587" s="363">
        <f t="shared" si="220"/>
        <v>177774.01220759362</v>
      </c>
      <c r="J587" s="366">
        <f t="shared" si="221"/>
        <v>1.570790701675749</v>
      </c>
      <c r="K587" s="374">
        <f t="shared" si="237"/>
        <v>603.26721832170404</v>
      </c>
      <c r="L587" s="375">
        <f t="shared" si="238"/>
        <v>1.569138685823215</v>
      </c>
      <c r="M587" s="363">
        <f t="shared" si="222"/>
        <v>2.1236202098058108</v>
      </c>
      <c r="N587" s="366">
        <f t="shared" si="223"/>
        <v>1.0804924432196208</v>
      </c>
      <c r="O587" s="367">
        <f t="shared" si="224"/>
        <v>1.016384226059452</v>
      </c>
      <c r="P587" s="368">
        <f t="shared" si="225"/>
        <v>0.58633226458468113</v>
      </c>
      <c r="Q587" s="369">
        <f t="shared" si="226"/>
        <v>-10.958136665084115</v>
      </c>
      <c r="R587" s="370">
        <f t="shared" si="227"/>
        <v>-227.44404000830889</v>
      </c>
      <c r="S587" s="372">
        <f t="shared" si="228"/>
        <v>-47.444040008308889</v>
      </c>
      <c r="U587" s="345">
        <f t="shared" si="234"/>
        <v>117490</v>
      </c>
      <c r="V587" s="345">
        <f t="shared" si="235"/>
        <v>13803900100</v>
      </c>
      <c r="X587" s="371">
        <f t="shared" si="229"/>
        <v>32.167966380082227</v>
      </c>
      <c r="Y587" s="372">
        <f t="shared" si="230"/>
        <v>-62.002310399149877</v>
      </c>
      <c r="AA587" s="371">
        <f t="shared" si="231"/>
        <v>28.915096781392904</v>
      </c>
      <c r="AB587" s="372">
        <f t="shared" si="232"/>
        <v>-165.44172960915904</v>
      </c>
      <c r="AD587">
        <f t="shared" si="236"/>
        <v>0</v>
      </c>
      <c r="AE587">
        <f t="shared" si="239"/>
        <v>0</v>
      </c>
    </row>
    <row r="588" spans="1:31" x14ac:dyDescent="0.3">
      <c r="A588" s="373">
        <v>118860</v>
      </c>
      <c r="B588" s="390">
        <f t="shared" si="233"/>
        <v>118.86</v>
      </c>
      <c r="C588" s="363">
        <f t="shared" si="214"/>
        <v>882.14913896166377</v>
      </c>
      <c r="D588" s="364">
        <f t="shared" si="215"/>
        <v>1.5696627313856779</v>
      </c>
      <c r="E588" s="364">
        <f t="shared" si="216"/>
        <v>1.3428121542439413</v>
      </c>
      <c r="F588" s="365">
        <f t="shared" si="217"/>
        <v>0.73070241350660659</v>
      </c>
      <c r="G588" s="364">
        <f t="shared" si="218"/>
        <v>8.8665135717764247</v>
      </c>
      <c r="H588" s="365">
        <f t="shared" si="219"/>
        <v>-1.4577719396308484</v>
      </c>
      <c r="I588" s="363">
        <f t="shared" si="220"/>
        <v>179846.95796226841</v>
      </c>
      <c r="J588" s="366">
        <f t="shared" si="221"/>
        <v>1.5707907665118019</v>
      </c>
      <c r="K588" s="374">
        <f t="shared" si="237"/>
        <v>610.30163683580213</v>
      </c>
      <c r="L588" s="375">
        <f t="shared" si="238"/>
        <v>1.5691577920325603</v>
      </c>
      <c r="M588" s="363">
        <f t="shared" si="222"/>
        <v>2.1429166248960496</v>
      </c>
      <c r="N588" s="366">
        <f t="shared" si="223"/>
        <v>1.0852928505522788</v>
      </c>
      <c r="O588" s="367">
        <f t="shared" si="224"/>
        <v>1.0170430684564327</v>
      </c>
      <c r="P588" s="368">
        <f t="shared" si="225"/>
        <v>0.5936604507631682</v>
      </c>
      <c r="Q588" s="369">
        <f t="shared" si="226"/>
        <v>-10.99906609242006</v>
      </c>
      <c r="R588" s="370">
        <f t="shared" si="227"/>
        <v>-227.88356599791169</v>
      </c>
      <c r="S588" s="372">
        <f t="shared" si="228"/>
        <v>-47.883565997911688</v>
      </c>
      <c r="U588" s="345">
        <f t="shared" si="234"/>
        <v>118860</v>
      </c>
      <c r="V588" s="345">
        <f t="shared" si="235"/>
        <v>14127699600</v>
      </c>
      <c r="X588" s="371">
        <f t="shared" si="229"/>
        <v>32.089397618271441</v>
      </c>
      <c r="Y588" s="372">
        <f t="shared" si="230"/>
        <v>-62.276262489242072</v>
      </c>
      <c r="AA588" s="371">
        <f t="shared" si="231"/>
        <v>28.952736115867751</v>
      </c>
      <c r="AB588" s="372">
        <f t="shared" si="232"/>
        <v>-165.60730350866964</v>
      </c>
      <c r="AD588">
        <f t="shared" si="236"/>
        <v>0</v>
      </c>
      <c r="AE588">
        <f t="shared" si="239"/>
        <v>0</v>
      </c>
    </row>
    <row r="589" spans="1:31" x14ac:dyDescent="0.3">
      <c r="A589" s="373">
        <v>120230</v>
      </c>
      <c r="B589" s="390">
        <f t="shared" si="233"/>
        <v>120.23</v>
      </c>
      <c r="C589" s="363">
        <f t="shared" ref="C589:C613" si="240">SQRT(1+(A589/pole1)^2)</f>
        <v>892.316922708932</v>
      </c>
      <c r="D589" s="364">
        <f t="shared" ref="D589:D613" si="241">ATAN(A589/pole1)</f>
        <v>1.5696756484979031</v>
      </c>
      <c r="E589" s="364">
        <f t="shared" ref="E589:E613" si="242">SQRT(1+(A589/Zero1)^2)</f>
        <v>1.3497279478963242</v>
      </c>
      <c r="F589" s="365">
        <f t="shared" ref="F589:F613" si="243">ATAN(A589/Zero1)</f>
        <v>0.73640172676179128</v>
      </c>
      <c r="G589" s="364">
        <f t="shared" ref="G589:G613" si="244">IF(VIN_nom&gt;Vout, 1, SQRT(1+(A589/z_RHP)^2))</f>
        <v>8.967417819670743</v>
      </c>
      <c r="H589" s="365">
        <f t="shared" ref="H589:H613" si="245">IF(VIN_nom&gt;Vout, 0, -ATAN(A589/z_RHP))</f>
        <v>-1.4590490771915539</v>
      </c>
      <c r="I589" s="363">
        <f t="shared" ref="I589:I613" si="246">SQRT(1+(A589/Pole2)^2)</f>
        <v>181919.90371694393</v>
      </c>
      <c r="J589" s="366">
        <f t="shared" ref="J589:J613" si="247">ATAN(A589/Pole2)</f>
        <v>1.5707908298702635</v>
      </c>
      <c r="K589" s="374">
        <f t="shared" si="237"/>
        <v>617.33605556761188</v>
      </c>
      <c r="L589" s="375">
        <f t="shared" si="238"/>
        <v>1.5691764628191771</v>
      </c>
      <c r="M589" s="363">
        <f t="shared" ref="M589:M613" si="248">SQRT(1+(A589/pole4)^2)</f>
        <v>2.1622615391352586</v>
      </c>
      <c r="N589" s="366">
        <f t="shared" ref="N589:N613" si="249">ATAN(A589/pole4)</f>
        <v>1.0900074701556628</v>
      </c>
      <c r="O589" s="367">
        <f t="shared" ref="O589:O613" si="250">SQRT((1-(V589/pterm2))^2+(A589/pterm1)^2)</f>
        <v>1.017722055504142</v>
      </c>
      <c r="P589" s="368">
        <f t="shared" ref="P589:P613" si="251">IF((ATAN((A589/pterm1)/(1-A589^2/pterm2))&gt;0),ATAN((A589/pterm1)/(1-A589^2/pterm2)),PI()+ATAN((A589/pterm1)/(1-A589^2/pterm2)))</f>
        <v>0.6010019298590763</v>
      </c>
      <c r="Q589" s="369">
        <f t="shared" ref="Q589:Q613" si="252">20*LOG10(((E589*K589*G589)/(C589*I589*O589*M589))*Adc)</f>
        <v>-11.039554497494251</v>
      </c>
      <c r="R589" s="370">
        <f t="shared" ref="R589:R613" si="253">((F589+L589+H589)-(D589+J589+P589+N589))*radconv</f>
        <v>-228.32063153662784</v>
      </c>
      <c r="S589" s="372">
        <f t="shared" ref="S589:S613" si="254">IF(R589&gt;0,R589,R589+180)</f>
        <v>-48.320631536627843</v>
      </c>
      <c r="U589" s="345">
        <f t="shared" si="234"/>
        <v>120230</v>
      </c>
      <c r="V589" s="345">
        <f t="shared" si="235"/>
        <v>14455252900</v>
      </c>
      <c r="X589" s="371">
        <f t="shared" ref="X589:X613" si="255">20*LOG10((K589/(I589*M589))*AEA)</f>
        <v>32.011338368061843</v>
      </c>
      <c r="Y589" s="372">
        <f t="shared" ref="Y589:Y613" si="256">(L589-(J589+N589))*radconv</f>
        <v>-62.545324167732211</v>
      </c>
      <c r="AA589" s="371">
        <f t="shared" ref="AA589:AA613" si="257">20*LOG10((E589*G589/(C589*O589))*Acs*Am)</f>
        <v>28.990306961003153</v>
      </c>
      <c r="AB589" s="372">
        <f t="shared" ref="AB589:AB613" si="258">(F589+H589-(D589+P589))*radconv</f>
        <v>-165.77530736889571</v>
      </c>
      <c r="AD589">
        <f t="shared" si="236"/>
        <v>0</v>
      </c>
      <c r="AE589">
        <f t="shared" si="239"/>
        <v>0</v>
      </c>
    </row>
    <row r="590" spans="1:31" x14ac:dyDescent="0.3">
      <c r="A590" s="373">
        <v>126030</v>
      </c>
      <c r="B590" s="390">
        <f t="shared" ref="B590:B613" si="259">A590/1000</f>
        <v>126.03</v>
      </c>
      <c r="C590" s="363">
        <f t="shared" si="240"/>
        <v>935.36301604125242</v>
      </c>
      <c r="D590" s="364">
        <f t="shared" si="241"/>
        <v>1.5697272229567638</v>
      </c>
      <c r="E590" s="364">
        <f t="shared" si="242"/>
        <v>1.3794793591434511</v>
      </c>
      <c r="F590" s="365">
        <f t="shared" si="243"/>
        <v>0.75989089277326494</v>
      </c>
      <c r="G590" s="364">
        <f t="shared" si="244"/>
        <v>9.3947566155829065</v>
      </c>
      <c r="H590" s="365">
        <f t="shared" si="245"/>
        <v>-1.4641519438545774</v>
      </c>
      <c r="I590" s="363">
        <f t="shared" si="246"/>
        <v>190695.87844477501</v>
      </c>
      <c r="J590" s="366">
        <f t="shared" si="247"/>
        <v>1.5707910828430705</v>
      </c>
      <c r="K590" s="374">
        <f t="shared" si="237"/>
        <v>647.11680865146832</v>
      </c>
      <c r="L590" s="375">
        <f t="shared" si="238"/>
        <v>1.569251010115386</v>
      </c>
      <c r="M590" s="363">
        <f t="shared" si="248"/>
        <v>2.2446680852276546</v>
      </c>
      <c r="N590" s="366">
        <f t="shared" si="249"/>
        <v>1.1090634770900043</v>
      </c>
      <c r="O590" s="367">
        <f t="shared" si="250"/>
        <v>1.020829185875691</v>
      </c>
      <c r="P590" s="368">
        <f t="shared" si="251"/>
        <v>0.63222811948768531</v>
      </c>
      <c r="Q590" s="369">
        <f t="shared" si="252"/>
        <v>-11.206390933194093</v>
      </c>
      <c r="R590" s="370">
        <f t="shared" si="253"/>
        <v>-230.1468300805393</v>
      </c>
      <c r="S590" s="372">
        <f t="shared" si="254"/>
        <v>-50.146830080539303</v>
      </c>
      <c r="U590" s="345">
        <f t="shared" ref="U590:U613" si="260">IF(Q590&lt;0,A590,1000000000)</f>
        <v>126030</v>
      </c>
      <c r="V590" s="345">
        <f t="shared" ref="V590:V613" si="261">A590^2</f>
        <v>15883560900</v>
      </c>
      <c r="X590" s="371">
        <f t="shared" si="255"/>
        <v>31.686459176348155</v>
      </c>
      <c r="Y590" s="372">
        <f t="shared" si="256"/>
        <v>-63.63289618951201</v>
      </c>
      <c r="AA590" s="371">
        <f t="shared" si="257"/>
        <v>29.148349717017005</v>
      </c>
      <c r="AB590" s="372">
        <f t="shared" si="258"/>
        <v>-166.51393389102722</v>
      </c>
      <c r="AD590">
        <f t="shared" ref="AD590:AD613" si="262">SUM((Q591&lt;0)*(Q590&gt;0))*A590</f>
        <v>0</v>
      </c>
      <c r="AE590">
        <f t="shared" si="239"/>
        <v>0</v>
      </c>
    </row>
    <row r="591" spans="1:31" x14ac:dyDescent="0.3">
      <c r="A591" s="373">
        <v>131830</v>
      </c>
      <c r="B591" s="390">
        <f t="shared" si="259"/>
        <v>131.83000000000001</v>
      </c>
      <c r="C591" s="363">
        <f t="shared" si="240"/>
        <v>978.40911164264435</v>
      </c>
      <c r="D591" s="364">
        <f t="shared" si="241"/>
        <v>1.569774259275079</v>
      </c>
      <c r="E591" s="364">
        <f t="shared" si="242"/>
        <v>1.4099595266151919</v>
      </c>
      <c r="F591" s="365">
        <f t="shared" si="243"/>
        <v>0.78237646021529406</v>
      </c>
      <c r="G591" s="364">
        <f t="shared" si="244"/>
        <v>9.8223187539838133</v>
      </c>
      <c r="H591" s="365">
        <f t="shared" si="245"/>
        <v>-1.4688106711394824</v>
      </c>
      <c r="I591" s="363">
        <f t="shared" si="246"/>
        <v>199471.85317261718</v>
      </c>
      <c r="J591" s="366">
        <f t="shared" si="247"/>
        <v>1.5707913135562661</v>
      </c>
      <c r="K591" s="374">
        <f t="shared" si="237"/>
        <v>676.8975650151084</v>
      </c>
      <c r="L591" s="375">
        <f t="shared" si="238"/>
        <v>1.5693189978526247</v>
      </c>
      <c r="M591" s="363">
        <f t="shared" si="248"/>
        <v>2.3278318652253498</v>
      </c>
      <c r="N591" s="366">
        <f t="shared" si="249"/>
        <v>1.1267639516518171</v>
      </c>
      <c r="O591" s="367">
        <f t="shared" si="250"/>
        <v>1.0243361284216381</v>
      </c>
      <c r="P591" s="368">
        <f t="shared" si="251"/>
        <v>0.66368409705639408</v>
      </c>
      <c r="Q591" s="369">
        <f t="shared" si="252"/>
        <v>-11.366576907654872</v>
      </c>
      <c r="R591" s="370">
        <f t="shared" si="253"/>
        <v>-231.94069741346044</v>
      </c>
      <c r="S591" s="372">
        <f t="shared" si="254"/>
        <v>-51.940697413460441</v>
      </c>
      <c r="U591" s="345">
        <f t="shared" si="260"/>
        <v>131830</v>
      </c>
      <c r="V591" s="345">
        <f t="shared" si="261"/>
        <v>17379148900</v>
      </c>
      <c r="X591" s="371">
        <f t="shared" si="255"/>
        <v>31.370468742461213</v>
      </c>
      <c r="Y591" s="372">
        <f t="shared" si="256"/>
        <v>-64.643176486926947</v>
      </c>
      <c r="AA591" s="371">
        <f t="shared" si="257"/>
        <v>29.304154176443159</v>
      </c>
      <c r="AB591" s="372">
        <f t="shared" si="258"/>
        <v>-167.29752092653354</v>
      </c>
      <c r="AD591">
        <f t="shared" si="262"/>
        <v>0</v>
      </c>
      <c r="AE591">
        <f t="shared" si="239"/>
        <v>0</v>
      </c>
    </row>
    <row r="592" spans="1:31" x14ac:dyDescent="0.3">
      <c r="A592" s="373">
        <v>144540</v>
      </c>
      <c r="B592" s="390">
        <f t="shared" si="259"/>
        <v>144.54</v>
      </c>
      <c r="C592" s="363">
        <f t="shared" si="240"/>
        <v>1072.7394415345861</v>
      </c>
      <c r="D592" s="364">
        <f t="shared" si="241"/>
        <v>1.5698641338446682</v>
      </c>
      <c r="E592" s="364">
        <f t="shared" si="242"/>
        <v>1.479079765191492</v>
      </c>
      <c r="F592" s="365">
        <f t="shared" si="243"/>
        <v>0.82834507167700566</v>
      </c>
      <c r="G592" s="364">
        <f t="shared" si="244"/>
        <v>10.759920461683151</v>
      </c>
      <c r="H592" s="365">
        <f t="shared" si="245"/>
        <v>-1.4777245247620538</v>
      </c>
      <c r="I592" s="363">
        <f t="shared" si="246"/>
        <v>218703.34261935196</v>
      </c>
      <c r="J592" s="366">
        <f t="shared" si="247"/>
        <v>1.5707917543910732</v>
      </c>
      <c r="K592" s="374">
        <f t="shared" si="237"/>
        <v>742.15850789653996</v>
      </c>
      <c r="L592" s="375">
        <f t="shared" si="238"/>
        <v>1.569448905331758</v>
      </c>
      <c r="M592" s="363">
        <f t="shared" si="248"/>
        <v>2.5123547768189129</v>
      </c>
      <c r="N592" s="366">
        <f t="shared" si="249"/>
        <v>1.161424698380022</v>
      </c>
      <c r="O592" s="367">
        <f t="shared" si="250"/>
        <v>1.0335771866671604</v>
      </c>
      <c r="P592" s="368">
        <f t="shared" si="251"/>
        <v>0.73336902125754733</v>
      </c>
      <c r="Q592" s="369">
        <f t="shared" si="252"/>
        <v>-11.699049628116684</v>
      </c>
      <c r="R592" s="370">
        <f t="shared" si="253"/>
        <v>-235.79391427872994</v>
      </c>
      <c r="S592" s="372">
        <f t="shared" si="254"/>
        <v>-55.793914278729943</v>
      </c>
      <c r="U592" s="345">
        <f t="shared" si="260"/>
        <v>144540</v>
      </c>
      <c r="V592" s="345">
        <f t="shared" si="261"/>
        <v>20891811600</v>
      </c>
      <c r="X592" s="371">
        <f t="shared" si="255"/>
        <v>30.707879978795734</v>
      </c>
      <c r="Y592" s="372">
        <f t="shared" si="256"/>
        <v>-66.621673099178125</v>
      </c>
      <c r="AA592" s="371">
        <f t="shared" si="257"/>
        <v>29.63427021964683</v>
      </c>
      <c r="AB592" s="372">
        <f t="shared" si="258"/>
        <v>-169.17224117955186</v>
      </c>
      <c r="AD592">
        <f t="shared" si="262"/>
        <v>0</v>
      </c>
      <c r="AE592">
        <f t="shared" si="239"/>
        <v>0</v>
      </c>
    </row>
    <row r="593" spans="1:31" x14ac:dyDescent="0.3">
      <c r="A593" s="373">
        <v>158490</v>
      </c>
      <c r="B593" s="390">
        <f t="shared" si="259"/>
        <v>158.49</v>
      </c>
      <c r="C593" s="363">
        <f t="shared" si="240"/>
        <v>1176.2727387368509</v>
      </c>
      <c r="D593" s="364">
        <f t="shared" si="241"/>
        <v>1.5699461837221844</v>
      </c>
      <c r="E593" s="364">
        <f t="shared" si="242"/>
        <v>1.5582017217718349</v>
      </c>
      <c r="F593" s="365">
        <f t="shared" si="243"/>
        <v>0.87399823935091303</v>
      </c>
      <c r="G593" s="364">
        <f t="shared" si="244"/>
        <v>11.789815428751705</v>
      </c>
      <c r="H593" s="365">
        <f t="shared" si="245"/>
        <v>-1.4858753246385359</v>
      </c>
      <c r="I593" s="363">
        <f t="shared" si="246"/>
        <v>239811.07493897961</v>
      </c>
      <c r="J593" s="366">
        <f t="shared" si="247"/>
        <v>1.5707921568456971</v>
      </c>
      <c r="K593" s="374">
        <f t="shared" si="237"/>
        <v>813.7863840266732</v>
      </c>
      <c r="L593" s="375">
        <f t="shared" si="238"/>
        <v>1.5695675027800242</v>
      </c>
      <c r="M593" s="363">
        <f t="shared" si="248"/>
        <v>2.7178569968222748</v>
      </c>
      <c r="N593" s="366">
        <f t="shared" si="249"/>
        <v>1.1940069776356246</v>
      </c>
      <c r="O593" s="367">
        <f t="shared" si="250"/>
        <v>1.0465215118205413</v>
      </c>
      <c r="P593" s="368">
        <f t="shared" si="251"/>
        <v>0.8108912426215803</v>
      </c>
      <c r="Q593" s="369">
        <f t="shared" si="252"/>
        <v>-12.043743626362195</v>
      </c>
      <c r="R593" s="370">
        <f t="shared" si="253"/>
        <v>-239.9516391152377</v>
      </c>
      <c r="S593" s="372">
        <f t="shared" si="254"/>
        <v>-59.951639115237697</v>
      </c>
      <c r="U593" s="345">
        <f t="shared" si="260"/>
        <v>158490</v>
      </c>
      <c r="V593" s="345">
        <f t="shared" si="261"/>
        <v>25119080100</v>
      </c>
      <c r="X593" s="371">
        <f t="shared" si="255"/>
        <v>30.024965957309028</v>
      </c>
      <c r="Y593" s="372">
        <f t="shared" si="256"/>
        <v>-68.481728115270926</v>
      </c>
      <c r="AA593" s="371">
        <f t="shared" si="257"/>
        <v>29.972490242888025</v>
      </c>
      <c r="AB593" s="372">
        <f t="shared" si="258"/>
        <v>-171.46991099996677</v>
      </c>
      <c r="AD593">
        <f t="shared" si="262"/>
        <v>0</v>
      </c>
      <c r="AE593">
        <f t="shared" si="239"/>
        <v>0</v>
      </c>
    </row>
    <row r="594" spans="1:31" x14ac:dyDescent="0.3">
      <c r="A594" s="373">
        <v>173780</v>
      </c>
      <c r="B594" s="390">
        <f t="shared" si="259"/>
        <v>173.78</v>
      </c>
      <c r="C594" s="363">
        <f t="shared" si="240"/>
        <v>1289.7511774297875</v>
      </c>
      <c r="D594" s="364">
        <f t="shared" si="241"/>
        <v>1.5700209833661076</v>
      </c>
      <c r="E594" s="364">
        <f t="shared" si="242"/>
        <v>1.6482743512372733</v>
      </c>
      <c r="F594" s="365">
        <f t="shared" si="243"/>
        <v>0.91889979237733255</v>
      </c>
      <c r="G594" s="364">
        <f t="shared" si="244"/>
        <v>12.919388735923073</v>
      </c>
      <c r="H594" s="365">
        <f t="shared" si="245"/>
        <v>-1.4933157848960719</v>
      </c>
      <c r="I594" s="363">
        <f t="shared" si="246"/>
        <v>262946.36004060146</v>
      </c>
      <c r="J594" s="366">
        <f t="shared" si="247"/>
        <v>1.5707925237378784</v>
      </c>
      <c r="K594" s="374">
        <f t="shared" si="237"/>
        <v>892.29465489305574</v>
      </c>
      <c r="L594" s="375">
        <f t="shared" si="238"/>
        <v>1.5696756205306073</v>
      </c>
      <c r="M594" s="363">
        <f t="shared" si="248"/>
        <v>2.9459268609841907</v>
      </c>
      <c r="N594" s="366">
        <f t="shared" si="249"/>
        <v>1.2244623589299932</v>
      </c>
      <c r="O594" s="367">
        <f t="shared" si="250"/>
        <v>1.0646148017716748</v>
      </c>
      <c r="P594" s="368">
        <f t="shared" si="251"/>
        <v>0.89678829544995142</v>
      </c>
      <c r="Q594" s="369">
        <f t="shared" si="252"/>
        <v>-12.40968110662944</v>
      </c>
      <c r="R594" s="370">
        <f t="shared" si="253"/>
        <v>-244.46989205458294</v>
      </c>
      <c r="S594" s="372">
        <f t="shared" si="254"/>
        <v>-64.469892054582942</v>
      </c>
      <c r="U594" s="345">
        <f t="shared" si="260"/>
        <v>173780</v>
      </c>
      <c r="V594" s="345">
        <f t="shared" si="261"/>
        <v>30199488400</v>
      </c>
      <c r="X594" s="371">
        <f t="shared" si="255"/>
        <v>29.325057689177324</v>
      </c>
      <c r="Y594" s="372">
        <f t="shared" si="256"/>
        <v>-70.220519259461454</v>
      </c>
      <c r="AA594" s="371">
        <f t="shared" si="257"/>
        <v>30.306461030752484</v>
      </c>
      <c r="AB594" s="372">
        <f t="shared" si="258"/>
        <v>-174.2493727951215</v>
      </c>
      <c r="AD594">
        <f t="shared" si="262"/>
        <v>0</v>
      </c>
      <c r="AE594">
        <f t="shared" si="239"/>
        <v>0</v>
      </c>
    </row>
    <row r="595" spans="1:31" x14ac:dyDescent="0.3">
      <c r="A595" s="373">
        <v>190550</v>
      </c>
      <c r="B595" s="390">
        <f t="shared" si="259"/>
        <v>190.55</v>
      </c>
      <c r="C595" s="363">
        <f t="shared" si="240"/>
        <v>1414.2138015243561</v>
      </c>
      <c r="D595" s="364">
        <f t="shared" si="241"/>
        <v>1.5700892200743601</v>
      </c>
      <c r="E595" s="364">
        <f t="shared" si="242"/>
        <v>1.7504698447527092</v>
      </c>
      <c r="F595" s="365">
        <f t="shared" si="243"/>
        <v>0.96273763291478054</v>
      </c>
      <c r="G595" s="364">
        <f t="shared" si="244"/>
        <v>14.158984240356638</v>
      </c>
      <c r="H595" s="365">
        <f t="shared" si="245"/>
        <v>-1.500110943867091</v>
      </c>
      <c r="I595" s="363">
        <f t="shared" si="246"/>
        <v>288321.03179695958</v>
      </c>
      <c r="J595" s="366">
        <f t="shared" si="247"/>
        <v>1.5707928584388291</v>
      </c>
      <c r="K595" s="374">
        <f t="shared" si="237"/>
        <v>978.4021666627699</v>
      </c>
      <c r="L595" s="375">
        <f t="shared" si="238"/>
        <v>1.5697742520201472</v>
      </c>
      <c r="M595" s="363">
        <f t="shared" si="248"/>
        <v>3.1987433388687037</v>
      </c>
      <c r="N595" s="366">
        <f t="shared" si="249"/>
        <v>1.2528433783772344</v>
      </c>
      <c r="O595" s="367">
        <f t="shared" si="250"/>
        <v>1.0898543476760234</v>
      </c>
      <c r="P595" s="368">
        <f t="shared" si="251"/>
        <v>0.99156724590763756</v>
      </c>
      <c r="Q595" s="369">
        <f t="shared" si="252"/>
        <v>-12.810227387424334</v>
      </c>
      <c r="R595" s="370">
        <f t="shared" si="253"/>
        <v>-249.40232690939115</v>
      </c>
      <c r="S595" s="372">
        <f t="shared" si="254"/>
        <v>-69.402326909391149</v>
      </c>
      <c r="U595" s="345">
        <f t="shared" si="260"/>
        <v>190550</v>
      </c>
      <c r="V595" s="345">
        <f t="shared" si="261"/>
        <v>36309302500</v>
      </c>
      <c r="X595" s="371">
        <f t="shared" si="255"/>
        <v>28.609908087866348</v>
      </c>
      <c r="Y595" s="372">
        <f t="shared" si="256"/>
        <v>-71.840999902792888</v>
      </c>
      <c r="AA595" s="371">
        <f t="shared" si="257"/>
        <v>30.621064351268569</v>
      </c>
      <c r="AB595" s="372">
        <f t="shared" si="258"/>
        <v>-177.56132700659819</v>
      </c>
      <c r="AD595">
        <f t="shared" si="262"/>
        <v>0</v>
      </c>
      <c r="AE595">
        <f t="shared" si="239"/>
        <v>0</v>
      </c>
    </row>
    <row r="596" spans="1:31" x14ac:dyDescent="0.3">
      <c r="A596" s="373">
        <v>208930</v>
      </c>
      <c r="B596" s="390">
        <f t="shared" si="259"/>
        <v>208.93</v>
      </c>
      <c r="C596" s="363">
        <f t="shared" si="240"/>
        <v>1550.6254375624912</v>
      </c>
      <c r="D596" s="364">
        <f t="shared" si="241"/>
        <v>1.5701514256826794</v>
      </c>
      <c r="E596" s="364">
        <f t="shared" si="242"/>
        <v>1.8658924424926469</v>
      </c>
      <c r="F596" s="365">
        <f t="shared" si="243"/>
        <v>1.0051796263275456</v>
      </c>
      <c r="G596" s="364">
        <f t="shared" si="244"/>
        <v>15.518212018621011</v>
      </c>
      <c r="H596" s="365">
        <f t="shared" si="245"/>
        <v>-1.5063112308460911</v>
      </c>
      <c r="I596" s="363">
        <f t="shared" si="246"/>
        <v>316131.79308988625</v>
      </c>
      <c r="J596" s="366">
        <f t="shared" si="247"/>
        <v>1.5707931635572159</v>
      </c>
      <c r="K596" s="374">
        <f t="shared" si="237"/>
        <v>1072.7764194249817</v>
      </c>
      <c r="L596" s="375">
        <f t="shared" si="238"/>
        <v>1.5698641659767489</v>
      </c>
      <c r="M596" s="363">
        <f t="shared" si="248"/>
        <v>3.4783385966742579</v>
      </c>
      <c r="N596" s="366">
        <f t="shared" si="249"/>
        <v>1.2791874240768979</v>
      </c>
      <c r="O596" s="367">
        <f t="shared" si="250"/>
        <v>1.1248666303572019</v>
      </c>
      <c r="P596" s="368">
        <f t="shared" si="251"/>
        <v>1.095260578582995</v>
      </c>
      <c r="Q596" s="369">
        <f t="shared" si="252"/>
        <v>-13.261734386269161</v>
      </c>
      <c r="R596" s="370">
        <f t="shared" si="253"/>
        <v>-254.77485296493967</v>
      </c>
      <c r="S596" s="372">
        <f t="shared" si="254"/>
        <v>-74.774852964939669</v>
      </c>
      <c r="U596" s="345">
        <f t="shared" si="260"/>
        <v>208930</v>
      </c>
      <c r="V596" s="345">
        <f t="shared" si="261"/>
        <v>43651744900</v>
      </c>
      <c r="X596" s="371">
        <f t="shared" si="255"/>
        <v>27.882058098072797</v>
      </c>
      <c r="Y596" s="372">
        <f t="shared" si="256"/>
        <v>-73.345268330165482</v>
      </c>
      <c r="AA596" s="371">
        <f t="shared" si="257"/>
        <v>30.897407342217292</v>
      </c>
      <c r="AB596" s="372">
        <f t="shared" si="258"/>
        <v>-181.42958463477419</v>
      </c>
      <c r="AD596">
        <f t="shared" si="262"/>
        <v>0</v>
      </c>
      <c r="AE596">
        <f t="shared" si="239"/>
        <v>0</v>
      </c>
    </row>
    <row r="597" spans="1:31" x14ac:dyDescent="0.3">
      <c r="A597" s="373">
        <v>229090</v>
      </c>
      <c r="B597" s="390">
        <f t="shared" si="259"/>
        <v>229.09</v>
      </c>
      <c r="C597" s="363">
        <f t="shared" si="240"/>
        <v>1700.2477818505754</v>
      </c>
      <c r="D597" s="364">
        <f t="shared" si="241"/>
        <v>1.57020817719204</v>
      </c>
      <c r="E597" s="364">
        <f t="shared" si="242"/>
        <v>1.9958852799511428</v>
      </c>
      <c r="F597" s="365">
        <f t="shared" si="243"/>
        <v>1.046006875488114</v>
      </c>
      <c r="G597" s="364">
        <f t="shared" si="244"/>
        <v>17.009644460088413</v>
      </c>
      <c r="H597" s="365">
        <f t="shared" si="245"/>
        <v>-1.5119722315815198</v>
      </c>
      <c r="I597" s="363">
        <f t="shared" si="246"/>
        <v>346635.8707648546</v>
      </c>
      <c r="J597" s="366">
        <f t="shared" si="247"/>
        <v>1.5707934419232363</v>
      </c>
      <c r="K597" s="374">
        <f t="shared" si="237"/>
        <v>1176.2902979973012</v>
      </c>
      <c r="L597" s="375">
        <f t="shared" si="238"/>
        <v>1.5699461964128334</v>
      </c>
      <c r="M597" s="363">
        <f t="shared" si="248"/>
        <v>3.7873562383709105</v>
      </c>
      <c r="N597" s="366">
        <f t="shared" si="249"/>
        <v>1.3035915694559979</v>
      </c>
      <c r="O597" s="367">
        <f t="shared" si="250"/>
        <v>1.1731213917999257</v>
      </c>
      <c r="P597" s="368">
        <f t="shared" si="251"/>
        <v>1.2075120011367666</v>
      </c>
      <c r="Q597" s="369">
        <f t="shared" si="252"/>
        <v>-13.783915222932423</v>
      </c>
      <c r="R597" s="370">
        <f t="shared" si="253"/>
        <v>-260.58833021841656</v>
      </c>
      <c r="S597" s="372">
        <f t="shared" si="254"/>
        <v>-80.588330218416559</v>
      </c>
      <c r="U597" s="345">
        <f t="shared" si="260"/>
        <v>229090</v>
      </c>
      <c r="V597" s="345">
        <f t="shared" si="261"/>
        <v>52482228100</v>
      </c>
      <c r="X597" s="371">
        <f t="shared" si="255"/>
        <v>27.142771445261129</v>
      </c>
      <c r="Y597" s="372">
        <f t="shared" si="256"/>
        <v>-74.738838816022863</v>
      </c>
      <c r="AA597" s="371">
        <f t="shared" si="257"/>
        <v>31.114513158365696</v>
      </c>
      <c r="AB597" s="372">
        <f t="shared" si="258"/>
        <v>-185.84949140239368</v>
      </c>
      <c r="AD597">
        <f t="shared" si="262"/>
        <v>0</v>
      </c>
      <c r="AE597">
        <f t="shared" si="239"/>
        <v>0</v>
      </c>
    </row>
    <row r="598" spans="1:31" x14ac:dyDescent="0.3">
      <c r="A598" s="373">
        <v>251190</v>
      </c>
      <c r="B598" s="390">
        <f t="shared" si="259"/>
        <v>251.19</v>
      </c>
      <c r="C598" s="363">
        <f t="shared" si="240"/>
        <v>1864.2683133123876</v>
      </c>
      <c r="D598" s="364">
        <f t="shared" si="241"/>
        <v>1.5702599232950281</v>
      </c>
      <c r="E598" s="364">
        <f t="shared" si="242"/>
        <v>2.1417196801065495</v>
      </c>
      <c r="F598" s="365">
        <f t="shared" si="243"/>
        <v>1.0849979527195703</v>
      </c>
      <c r="G598" s="364">
        <f t="shared" si="244"/>
        <v>18.645118965428139</v>
      </c>
      <c r="H598" s="365">
        <f t="shared" si="245"/>
        <v>-1.5171372406809485</v>
      </c>
      <c r="I598" s="363">
        <f t="shared" si="246"/>
        <v>380075.3606764279</v>
      </c>
      <c r="J598" s="366">
        <f t="shared" si="247"/>
        <v>1.5707936957377342</v>
      </c>
      <c r="K598" s="374">
        <f t="shared" si="237"/>
        <v>1289.7653410997973</v>
      </c>
      <c r="L598" s="375">
        <f t="shared" si="238"/>
        <v>1.5700209918806105</v>
      </c>
      <c r="M598" s="363">
        <f t="shared" si="248"/>
        <v>4.1282947769579756</v>
      </c>
      <c r="N598" s="366">
        <f t="shared" si="249"/>
        <v>1.326131894354686</v>
      </c>
      <c r="O598" s="367">
        <f t="shared" si="250"/>
        <v>1.2389437934744352</v>
      </c>
      <c r="P598" s="368">
        <f t="shared" si="251"/>
        <v>1.3271147578580083</v>
      </c>
      <c r="Q598" s="369">
        <f t="shared" si="252"/>
        <v>-14.396764144205259</v>
      </c>
      <c r="R598" s="370">
        <f t="shared" si="253"/>
        <v>-266.79313185900156</v>
      </c>
      <c r="S598" s="372">
        <f t="shared" si="254"/>
        <v>-86.793131859001562</v>
      </c>
      <c r="U598" s="345">
        <f t="shared" si="260"/>
        <v>251190</v>
      </c>
      <c r="V598" s="345">
        <f t="shared" si="261"/>
        <v>63096416100</v>
      </c>
      <c r="X598" s="371">
        <f t="shared" si="255"/>
        <v>26.39408004985949</v>
      </c>
      <c r="Y598" s="372">
        <f t="shared" si="256"/>
        <v>-76.026033380911343</v>
      </c>
      <c r="AA598" s="371">
        <f t="shared" si="257"/>
        <v>31.250355632494504</v>
      </c>
      <c r="AB598" s="372">
        <f t="shared" si="258"/>
        <v>-190.76709847809025</v>
      </c>
      <c r="AD598">
        <f t="shared" si="262"/>
        <v>0</v>
      </c>
      <c r="AE598">
        <f t="shared" si="239"/>
        <v>0</v>
      </c>
    </row>
    <row r="599" spans="1:31" x14ac:dyDescent="0.3">
      <c r="A599" s="373">
        <v>275420</v>
      </c>
      <c r="B599" s="390">
        <f t="shared" si="259"/>
        <v>275.42</v>
      </c>
      <c r="C599" s="363">
        <f t="shared" si="240"/>
        <v>2044.0971632117032</v>
      </c>
      <c r="D599" s="364">
        <f t="shared" si="241"/>
        <v>1.5703071132399415</v>
      </c>
      <c r="E599" s="364">
        <f t="shared" si="242"/>
        <v>2.3048517948538527</v>
      </c>
      <c r="F599" s="365">
        <f t="shared" si="243"/>
        <v>1.1220155380384502</v>
      </c>
      <c r="G599" s="364">
        <f t="shared" si="244"/>
        <v>20.438696375142214</v>
      </c>
      <c r="H599" s="365">
        <f t="shared" si="245"/>
        <v>-1.5218499857961505</v>
      </c>
      <c r="I599" s="363">
        <f t="shared" si="246"/>
        <v>416737.7516519003</v>
      </c>
      <c r="J599" s="366">
        <f t="shared" si="247"/>
        <v>1.5707939272042764</v>
      </c>
      <c r="K599" s="374">
        <f t="shared" ref="K599:K613" si="263">SQRT(1+(A599/Zero2)^2)</f>
        <v>1414.1771260229514</v>
      </c>
      <c r="L599" s="375">
        <f t="shared" ref="L599:L613" si="264">ATAN(A599/Zero2)</f>
        <v>1.5700892017361354</v>
      </c>
      <c r="M599" s="363">
        <f t="shared" si="248"/>
        <v>4.5041202081534957</v>
      </c>
      <c r="N599" s="366">
        <f t="shared" si="249"/>
        <v>1.3469117236644119</v>
      </c>
      <c r="O599" s="367">
        <f t="shared" si="250"/>
        <v>1.3276534902618431</v>
      </c>
      <c r="P599" s="368">
        <f t="shared" si="251"/>
        <v>1.4521487139933822</v>
      </c>
      <c r="Q599" s="369">
        <f t="shared" si="252"/>
        <v>-15.118706909772172</v>
      </c>
      <c r="R599" s="370">
        <f t="shared" si="253"/>
        <v>-273.29552427563885</v>
      </c>
      <c r="S599" s="372">
        <f t="shared" si="254"/>
        <v>-93.295524275638854</v>
      </c>
      <c r="U599" s="345">
        <f t="shared" si="260"/>
        <v>275420</v>
      </c>
      <c r="V599" s="345">
        <f t="shared" si="261"/>
        <v>75856176400</v>
      </c>
      <c r="X599" s="371">
        <f t="shared" si="255"/>
        <v>25.637294159707785</v>
      </c>
      <c r="Y599" s="372">
        <f t="shared" si="256"/>
        <v>-77.212735025930087</v>
      </c>
      <c r="AA599" s="371">
        <f t="shared" si="257"/>
        <v>31.285198757079293</v>
      </c>
      <c r="AB599" s="372">
        <f t="shared" si="258"/>
        <v>-196.08278924970881</v>
      </c>
      <c r="AD599">
        <f t="shared" si="262"/>
        <v>0</v>
      </c>
      <c r="AE599">
        <f t="shared" si="239"/>
        <v>0</v>
      </c>
    </row>
    <row r="600" spans="1:31" x14ac:dyDescent="0.3">
      <c r="A600" s="373">
        <v>302000</v>
      </c>
      <c r="B600" s="390">
        <f t="shared" si="259"/>
        <v>302</v>
      </c>
      <c r="C600" s="363">
        <f t="shared" si="240"/>
        <v>2241.3671151654548</v>
      </c>
      <c r="D600" s="364">
        <f t="shared" si="241"/>
        <v>1.5703501705064378</v>
      </c>
      <c r="E600" s="364">
        <f t="shared" si="242"/>
        <v>2.4869356668360658</v>
      </c>
      <c r="F600" s="365">
        <f t="shared" si="243"/>
        <v>1.156985652631314</v>
      </c>
      <c r="G600" s="364">
        <f t="shared" si="244"/>
        <v>22.406662316513046</v>
      </c>
      <c r="H600" s="365">
        <f t="shared" si="245"/>
        <v>-1.5261519147720928</v>
      </c>
      <c r="I600" s="363">
        <f t="shared" si="246"/>
        <v>456955.92549129663</v>
      </c>
      <c r="J600" s="366">
        <f t="shared" si="247"/>
        <v>1.5707941384000335</v>
      </c>
      <c r="K600" s="374">
        <f t="shared" si="263"/>
        <v>1550.6552686466841</v>
      </c>
      <c r="L600" s="375">
        <f t="shared" si="264"/>
        <v>1.5701514380891133</v>
      </c>
      <c r="M600" s="363">
        <f t="shared" si="248"/>
        <v>4.9182738588005535</v>
      </c>
      <c r="N600" s="366">
        <f t="shared" si="249"/>
        <v>1.3660453273811495</v>
      </c>
      <c r="O600" s="367">
        <f t="shared" si="250"/>
        <v>1.4456087592601032</v>
      </c>
      <c r="P600" s="368">
        <f t="shared" si="251"/>
        <v>1.58005053796401</v>
      </c>
      <c r="Q600" s="369">
        <f t="shared" si="252"/>
        <v>-15.963401305828695</v>
      </c>
      <c r="R600" s="370">
        <f t="shared" si="253"/>
        <v>-279.96178934738498</v>
      </c>
      <c r="S600" s="372">
        <f t="shared" si="254"/>
        <v>-99.961789347384979</v>
      </c>
      <c r="U600" s="345">
        <f t="shared" si="260"/>
        <v>302000</v>
      </c>
      <c r="V600" s="345">
        <f t="shared" si="261"/>
        <v>91204000000</v>
      </c>
      <c r="X600" s="371">
        <f t="shared" si="255"/>
        <v>24.873239099188822</v>
      </c>
      <c r="Y600" s="372">
        <f t="shared" si="256"/>
        <v>-78.305455987291197</v>
      </c>
      <c r="AA600" s="371">
        <f t="shared" si="257"/>
        <v>31.204559421541727</v>
      </c>
      <c r="AB600" s="372">
        <f t="shared" si="258"/>
        <v>-201.65633336009387</v>
      </c>
      <c r="AD600">
        <f t="shared" si="262"/>
        <v>0</v>
      </c>
      <c r="AE600">
        <f t="shared" si="239"/>
        <v>0</v>
      </c>
    </row>
    <row r="601" spans="1:31" x14ac:dyDescent="0.3">
      <c r="A601" s="373">
        <v>331130</v>
      </c>
      <c r="B601" s="390">
        <f t="shared" si="259"/>
        <v>331.13</v>
      </c>
      <c r="C601" s="363">
        <f t="shared" si="240"/>
        <v>2457.5625179465792</v>
      </c>
      <c r="D601" s="364">
        <f t="shared" si="241"/>
        <v>1.5703894195360606</v>
      </c>
      <c r="E601" s="364">
        <f t="shared" si="242"/>
        <v>2.6894828567459608</v>
      </c>
      <c r="F601" s="365">
        <f t="shared" si="243"/>
        <v>1.1898289193775138</v>
      </c>
      <c r="G601" s="364">
        <f t="shared" si="244"/>
        <v>24.563824877779183</v>
      </c>
      <c r="H601" s="365">
        <f t="shared" si="245"/>
        <v>-1.5300748010459284</v>
      </c>
      <c r="I601" s="363">
        <f t="shared" si="246"/>
        <v>501032.5020128215</v>
      </c>
      <c r="J601" s="366">
        <f t="shared" si="247"/>
        <v>1.5707943309163939</v>
      </c>
      <c r="K601" s="374">
        <f t="shared" si="263"/>
        <v>1700.2266925419485</v>
      </c>
      <c r="L601" s="375">
        <f t="shared" si="264"/>
        <v>1.5702081698967363</v>
      </c>
      <c r="M601" s="363">
        <f t="shared" si="248"/>
        <v>5.3738935584883674</v>
      </c>
      <c r="N601" s="366">
        <f t="shared" si="249"/>
        <v>1.383620477955561</v>
      </c>
      <c r="O601" s="367">
        <f t="shared" si="250"/>
        <v>1.5999426744351712</v>
      </c>
      <c r="P601" s="368">
        <f t="shared" si="251"/>
        <v>1.7076661879742758</v>
      </c>
      <c r="Q601" s="369">
        <f t="shared" si="252"/>
        <v>-16.935372206842619</v>
      </c>
      <c r="R601" s="370">
        <f t="shared" si="253"/>
        <v>-286.62260305062608</v>
      </c>
      <c r="S601" s="372">
        <f t="shared" si="254"/>
        <v>-106.62260305062608</v>
      </c>
      <c r="U601" s="345">
        <f t="shared" si="260"/>
        <v>331130</v>
      </c>
      <c r="V601" s="345">
        <f t="shared" si="261"/>
        <v>109647076900</v>
      </c>
      <c r="X601" s="371">
        <f t="shared" si="255"/>
        <v>24.103711742756353</v>
      </c>
      <c r="Y601" s="372">
        <f t="shared" si="256"/>
        <v>-79.309198477892849</v>
      </c>
      <c r="AA601" s="371">
        <f t="shared" si="257"/>
        <v>31.002115876960275</v>
      </c>
      <c r="AB601" s="372">
        <f t="shared" si="258"/>
        <v>-207.31340457273322</v>
      </c>
      <c r="AD601">
        <f t="shared" si="262"/>
        <v>0</v>
      </c>
      <c r="AE601">
        <f t="shared" si="239"/>
        <v>0</v>
      </c>
    </row>
    <row r="602" spans="1:31" x14ac:dyDescent="0.3">
      <c r="A602" s="373">
        <v>363080</v>
      </c>
      <c r="B602" s="390">
        <f t="shared" si="259"/>
        <v>363.08</v>
      </c>
      <c r="C602" s="363">
        <f t="shared" si="240"/>
        <v>2694.6872424345993</v>
      </c>
      <c r="D602" s="364">
        <f t="shared" si="241"/>
        <v>1.5704252262058542</v>
      </c>
      <c r="E602" s="364">
        <f t="shared" si="242"/>
        <v>2.9144858293466891</v>
      </c>
      <c r="F602" s="365">
        <f t="shared" si="243"/>
        <v>1.2205664968916632</v>
      </c>
      <c r="G602" s="364">
        <f t="shared" si="244"/>
        <v>26.930178435555277</v>
      </c>
      <c r="H602" s="365">
        <f t="shared" si="245"/>
        <v>-1.5336547253818953</v>
      </c>
      <c r="I602" s="363">
        <f t="shared" si="246"/>
        <v>549376.01797105151</v>
      </c>
      <c r="J602" s="366">
        <f t="shared" si="247"/>
        <v>1.5707945065479851</v>
      </c>
      <c r="K602" s="374">
        <f t="shared" si="263"/>
        <v>1864.2777445816525</v>
      </c>
      <c r="L602" s="375">
        <f t="shared" si="264"/>
        <v>1.5702599260086614</v>
      </c>
      <c r="M602" s="363">
        <f t="shared" si="248"/>
        <v>5.8752186451845434</v>
      </c>
      <c r="N602" s="366">
        <f t="shared" si="249"/>
        <v>1.3997571731703329</v>
      </c>
      <c r="O602" s="367">
        <f t="shared" si="250"/>
        <v>1.798978403367866</v>
      </c>
      <c r="P602" s="368">
        <f t="shared" si="251"/>
        <v>1.832098263595892</v>
      </c>
      <c r="Q602" s="369">
        <f t="shared" si="252"/>
        <v>-18.031850184435651</v>
      </c>
      <c r="R602" s="370">
        <f t="shared" si="253"/>
        <v>-293.11967767695603</v>
      </c>
      <c r="S602" s="372">
        <f t="shared" si="254"/>
        <v>-113.11967767695603</v>
      </c>
      <c r="U602" s="345">
        <f t="shared" si="260"/>
        <v>363080</v>
      </c>
      <c r="V602" s="345">
        <f t="shared" si="261"/>
        <v>131827086400</v>
      </c>
      <c r="X602" s="371">
        <f t="shared" si="255"/>
        <v>23.329012022242065</v>
      </c>
      <c r="Y602" s="372">
        <f t="shared" si="256"/>
        <v>-80.230807666212925</v>
      </c>
      <c r="AA602" s="371">
        <f t="shared" si="257"/>
        <v>30.680337619881534</v>
      </c>
      <c r="AB602" s="372">
        <f t="shared" si="258"/>
        <v>-212.88887001074312</v>
      </c>
      <c r="AD602">
        <f t="shared" si="262"/>
        <v>0</v>
      </c>
      <c r="AE602">
        <f t="shared" ref="AE602:AE613" si="265">IF(AD602&gt;0,S602,0)</f>
        <v>0</v>
      </c>
    </row>
    <row r="603" spans="1:31" x14ac:dyDescent="0.3">
      <c r="A603" s="373">
        <v>398110</v>
      </c>
      <c r="B603" s="390">
        <f t="shared" si="259"/>
        <v>398.11</v>
      </c>
      <c r="C603" s="363">
        <f t="shared" si="240"/>
        <v>2954.6709421006653</v>
      </c>
      <c r="D603" s="364">
        <f t="shared" si="241"/>
        <v>1.5704578796247424</v>
      </c>
      <c r="E603" s="364">
        <f t="shared" si="242"/>
        <v>3.1638702401336358</v>
      </c>
      <c r="F603" s="365">
        <f t="shared" si="243"/>
        <v>1.2492135558742228</v>
      </c>
      <c r="G603" s="364">
        <f t="shared" si="244"/>
        <v>29.524979953704086</v>
      </c>
      <c r="H603" s="365">
        <f t="shared" si="245"/>
        <v>-1.5369202228229681</v>
      </c>
      <c r="I603" s="363">
        <f t="shared" si="246"/>
        <v>602379.87912965287</v>
      </c>
      <c r="J603" s="366">
        <f t="shared" si="247"/>
        <v>1.5707946667128876</v>
      </c>
      <c r="K603" s="374">
        <f t="shared" si="263"/>
        <v>2044.1434255039144</v>
      </c>
      <c r="L603" s="375">
        <f t="shared" si="264"/>
        <v>1.5703071243116413</v>
      </c>
      <c r="M603" s="363">
        <f t="shared" si="248"/>
        <v>6.4263421731188526</v>
      </c>
      <c r="N603" s="366">
        <f t="shared" si="249"/>
        <v>1.414551870353429</v>
      </c>
      <c r="O603" s="367">
        <f t="shared" si="250"/>
        <v>2.0519263266202588</v>
      </c>
      <c r="P603" s="368">
        <f t="shared" si="251"/>
        <v>1.950752240997558</v>
      </c>
      <c r="Q603" s="369">
        <f t="shared" si="252"/>
        <v>-19.241236104102029</v>
      </c>
      <c r="R603" s="370">
        <f t="shared" si="253"/>
        <v>-299.31064298187408</v>
      </c>
      <c r="S603" s="372">
        <f t="shared" si="254"/>
        <v>-119.31064298187408</v>
      </c>
      <c r="U603" s="345">
        <f t="shared" si="260"/>
        <v>398110</v>
      </c>
      <c r="V603" s="345">
        <f t="shared" si="261"/>
        <v>158491572100</v>
      </c>
      <c r="X603" s="371">
        <f t="shared" si="255"/>
        <v>22.550215560461083</v>
      </c>
      <c r="Y603" s="372">
        <f t="shared" si="256"/>
        <v>-81.075786288155953</v>
      </c>
      <c r="AA603" s="371">
        <f t="shared" si="257"/>
        <v>30.249748161996138</v>
      </c>
      <c r="AB603" s="372">
        <f t="shared" si="258"/>
        <v>-218.23485669371811</v>
      </c>
      <c r="AD603">
        <f t="shared" si="262"/>
        <v>0</v>
      </c>
      <c r="AE603">
        <f t="shared" si="265"/>
        <v>0</v>
      </c>
    </row>
    <row r="604" spans="1:31" x14ac:dyDescent="0.3">
      <c r="A604" s="373">
        <v>436520</v>
      </c>
      <c r="B604" s="390">
        <f t="shared" si="259"/>
        <v>436.52</v>
      </c>
      <c r="C604" s="363">
        <f t="shared" si="240"/>
        <v>3239.7401402073801</v>
      </c>
      <c r="D604" s="364">
        <f t="shared" si="241"/>
        <v>1.5704876600584914</v>
      </c>
      <c r="E604" s="364">
        <f t="shared" si="242"/>
        <v>3.4398467226158846</v>
      </c>
      <c r="F604" s="365">
        <f t="shared" si="243"/>
        <v>1.2758268683922676</v>
      </c>
      <c r="G604" s="364">
        <f t="shared" si="244"/>
        <v>32.370451615127848</v>
      </c>
      <c r="H604" s="365">
        <f t="shared" si="245"/>
        <v>-1.539899040075877</v>
      </c>
      <c r="I604" s="363">
        <f t="shared" si="246"/>
        <v>660498.01521593309</v>
      </c>
      <c r="J604" s="366">
        <f t="shared" si="247"/>
        <v>1.5707948127858051</v>
      </c>
      <c r="K604" s="374">
        <f t="shared" si="263"/>
        <v>2241.3641208143295</v>
      </c>
      <c r="L604" s="375">
        <f t="shared" si="264"/>
        <v>1.570350169910395</v>
      </c>
      <c r="M604" s="363">
        <f t="shared" si="248"/>
        <v>7.0319938034577429</v>
      </c>
      <c r="N604" s="366">
        <f t="shared" si="249"/>
        <v>1.4281054264509438</v>
      </c>
      <c r="O604" s="367">
        <f t="shared" si="250"/>
        <v>2.3693727496865988</v>
      </c>
      <c r="P604" s="368">
        <f t="shared" si="251"/>
        <v>2.0618158688788832</v>
      </c>
      <c r="Q604" s="369">
        <f t="shared" si="252"/>
        <v>-20.547391080068657</v>
      </c>
      <c r="R604" s="370">
        <f t="shared" si="253"/>
        <v>-305.09577318705561</v>
      </c>
      <c r="S604" s="372">
        <f t="shared" si="254"/>
        <v>-125.09577318705561</v>
      </c>
      <c r="U604" s="345">
        <f t="shared" si="260"/>
        <v>436520</v>
      </c>
      <c r="V604" s="345">
        <f t="shared" si="261"/>
        <v>190549710400</v>
      </c>
      <c r="X604" s="371">
        <f t="shared" si="255"/>
        <v>21.767922718464426</v>
      </c>
      <c r="Y604" s="372">
        <f t="shared" si="256"/>
        <v>-81.84988988904837</v>
      </c>
      <c r="AA604" s="371">
        <f t="shared" si="257"/>
        <v>29.725886028026167</v>
      </c>
      <c r="AB604" s="372">
        <f t="shared" si="258"/>
        <v>-223.24588329800716</v>
      </c>
      <c r="AD604">
        <f t="shared" si="262"/>
        <v>0</v>
      </c>
      <c r="AE604">
        <f t="shared" si="265"/>
        <v>0</v>
      </c>
    </row>
    <row r="605" spans="1:31" x14ac:dyDescent="0.3">
      <c r="A605" s="373">
        <v>478630</v>
      </c>
      <c r="B605" s="390">
        <f t="shared" si="259"/>
        <v>478.63</v>
      </c>
      <c r="C605" s="363">
        <f t="shared" si="240"/>
        <v>3552.269794926427</v>
      </c>
      <c r="D605" s="364">
        <f t="shared" si="241"/>
        <v>1.5705148166419696</v>
      </c>
      <c r="E605" s="364">
        <f t="shared" si="242"/>
        <v>3.7447737512059711</v>
      </c>
      <c r="F605" s="365">
        <f t="shared" si="243"/>
        <v>1.3004773644956571</v>
      </c>
      <c r="G605" s="364">
        <f t="shared" si="244"/>
        <v>35.49029953880973</v>
      </c>
      <c r="H605" s="365">
        <f t="shared" si="245"/>
        <v>-1.5426158836459336</v>
      </c>
      <c r="I605" s="363">
        <f t="shared" si="246"/>
        <v>724214.61793902004</v>
      </c>
      <c r="J605" s="366">
        <f t="shared" si="247"/>
        <v>1.5707949459887445</v>
      </c>
      <c r="K605" s="374">
        <f t="shared" si="263"/>
        <v>2457.5829084215356</v>
      </c>
      <c r="L605" s="375">
        <f t="shared" si="264"/>
        <v>1.5703894229121553</v>
      </c>
      <c r="M605" s="363">
        <f t="shared" si="248"/>
        <v>7.6972267038332047</v>
      </c>
      <c r="N605" s="366">
        <f t="shared" si="249"/>
        <v>1.4405111358359712</v>
      </c>
      <c r="O605" s="367">
        <f t="shared" si="250"/>
        <v>2.7635062538441293</v>
      </c>
      <c r="P605" s="368">
        <f t="shared" si="251"/>
        <v>2.1642407624069744</v>
      </c>
      <c r="Q605" s="369">
        <f t="shared" si="252"/>
        <v>-21.932015785111805</v>
      </c>
      <c r="R605" s="370">
        <f t="shared" si="253"/>
        <v>-310.41769093778612</v>
      </c>
      <c r="S605" s="372">
        <f t="shared" si="254"/>
        <v>-130.41769093778612</v>
      </c>
      <c r="U605" s="345">
        <f t="shared" si="260"/>
        <v>478630</v>
      </c>
      <c r="V605" s="345">
        <f t="shared" si="261"/>
        <v>229086676900</v>
      </c>
      <c r="X605" s="371">
        <f t="shared" si="255"/>
        <v>20.982806602868486</v>
      </c>
      <c r="Y605" s="372">
        <f t="shared" si="256"/>
        <v>-82.55844328011807</v>
      </c>
      <c r="AA605" s="371">
        <f t="shared" si="257"/>
        <v>29.126377438578963</v>
      </c>
      <c r="AB605" s="372">
        <f t="shared" si="258"/>
        <v>-227.85924765766799</v>
      </c>
      <c r="AD605">
        <f t="shared" si="262"/>
        <v>0</v>
      </c>
      <c r="AE605">
        <f t="shared" si="265"/>
        <v>0</v>
      </c>
    </row>
    <row r="606" spans="1:31" x14ac:dyDescent="0.3">
      <c r="A606" s="373">
        <v>524810</v>
      </c>
      <c r="B606" s="390">
        <f t="shared" si="259"/>
        <v>524.80999999999995</v>
      </c>
      <c r="C606" s="363">
        <f t="shared" si="240"/>
        <v>3895.0059516686483</v>
      </c>
      <c r="D606" s="364">
        <f t="shared" si="241"/>
        <v>1.5705395877748811</v>
      </c>
      <c r="E606" s="364">
        <f t="shared" si="242"/>
        <v>4.0813777825414803</v>
      </c>
      <c r="F606" s="365">
        <f t="shared" si="243"/>
        <v>1.3232608537302757</v>
      </c>
      <c r="G606" s="364">
        <f t="shared" si="244"/>
        <v>38.91193637581182</v>
      </c>
      <c r="H606" s="365">
        <f t="shared" si="245"/>
        <v>-1.5450944419891561</v>
      </c>
      <c r="I606" s="363">
        <f t="shared" si="246"/>
        <v>794089.53396259376</v>
      </c>
      <c r="J606" s="366">
        <f t="shared" si="247"/>
        <v>1.5707950674910558</v>
      </c>
      <c r="K606" s="374">
        <f t="shared" si="263"/>
        <v>2694.6995971932861</v>
      </c>
      <c r="L606" s="375">
        <f t="shared" si="264"/>
        <v>1.5704252279072901</v>
      </c>
      <c r="M606" s="363">
        <f t="shared" si="248"/>
        <v>8.4278918316704718</v>
      </c>
      <c r="N606" s="366">
        <f t="shared" si="249"/>
        <v>1.4518624986185209</v>
      </c>
      <c r="O606" s="367">
        <f t="shared" si="250"/>
        <v>3.2488669972293365</v>
      </c>
      <c r="P606" s="368">
        <f t="shared" si="251"/>
        <v>2.2577109004027398</v>
      </c>
      <c r="Q606" s="369">
        <f t="shared" si="252"/>
        <v>-23.378094867341559</v>
      </c>
      <c r="R606" s="370">
        <f t="shared" si="253"/>
        <v>-315.25950846459409</v>
      </c>
      <c r="S606" s="372">
        <f t="shared" si="254"/>
        <v>-135.25950846459409</v>
      </c>
      <c r="U606" s="345">
        <f t="shared" si="260"/>
        <v>524810</v>
      </c>
      <c r="V606" s="345">
        <f t="shared" si="261"/>
        <v>275425536100</v>
      </c>
      <c r="X606" s="371">
        <f t="shared" si="255"/>
        <v>20.195112979621335</v>
      </c>
      <c r="Y606" s="372">
        <f t="shared" si="256"/>
        <v>-83.20678394648381</v>
      </c>
      <c r="AA606" s="371">
        <f t="shared" si="257"/>
        <v>28.467991979596349</v>
      </c>
      <c r="AB606" s="372">
        <f t="shared" si="258"/>
        <v>-232.05272451811032</v>
      </c>
      <c r="AD606">
        <f t="shared" si="262"/>
        <v>0</v>
      </c>
      <c r="AE606">
        <f t="shared" si="265"/>
        <v>0</v>
      </c>
    </row>
    <row r="607" spans="1:31" x14ac:dyDescent="0.3">
      <c r="A607" s="373">
        <v>575440</v>
      </c>
      <c r="B607" s="390">
        <f t="shared" si="259"/>
        <v>575.44000000000005</v>
      </c>
      <c r="C607" s="363">
        <f t="shared" si="240"/>
        <v>4270.7688733091109</v>
      </c>
      <c r="D607" s="364">
        <f t="shared" si="241"/>
        <v>1.5705621769172511</v>
      </c>
      <c r="E607" s="364">
        <f t="shared" si="242"/>
        <v>4.4524657369337319</v>
      </c>
      <c r="F607" s="365">
        <f t="shared" si="243"/>
        <v>1.3442692841144159</v>
      </c>
      <c r="G607" s="364">
        <f t="shared" si="244"/>
        <v>42.663517712736642</v>
      </c>
      <c r="H607" s="365">
        <f t="shared" si="245"/>
        <v>-1.5473549501220027</v>
      </c>
      <c r="I607" s="363">
        <f t="shared" si="246"/>
        <v>870697.74094124348</v>
      </c>
      <c r="J607" s="366">
        <f t="shared" si="247"/>
        <v>1.5707951782907108</v>
      </c>
      <c r="K607" s="374">
        <f t="shared" si="263"/>
        <v>2954.6653422128584</v>
      </c>
      <c r="L607" s="375">
        <f t="shared" si="264"/>
        <v>1.5704578789832937</v>
      </c>
      <c r="M607" s="363">
        <f t="shared" si="248"/>
        <v>9.2300061337240891</v>
      </c>
      <c r="N607" s="366">
        <f t="shared" si="249"/>
        <v>1.4622409549059212</v>
      </c>
      <c r="O607" s="367">
        <f t="shared" si="250"/>
        <v>3.8425202221685173</v>
      </c>
      <c r="P607" s="368">
        <f t="shared" si="251"/>
        <v>2.3423641741169021</v>
      </c>
      <c r="Q607" s="369">
        <f t="shared" si="252"/>
        <v>-24.870046985791955</v>
      </c>
      <c r="R607" s="370">
        <f t="shared" si="253"/>
        <v>-319.6296785408872</v>
      </c>
      <c r="S607" s="372">
        <f t="shared" si="254"/>
        <v>-139.6296785408872</v>
      </c>
      <c r="U607" s="345">
        <f t="shared" si="260"/>
        <v>575440</v>
      </c>
      <c r="V607" s="345">
        <f t="shared" si="261"/>
        <v>331131193600</v>
      </c>
      <c r="X607" s="371">
        <f t="shared" si="255"/>
        <v>19.405452146168713</v>
      </c>
      <c r="Y607" s="372">
        <f t="shared" si="256"/>
        <v>-83.799561269791255</v>
      </c>
      <c r="AA607" s="371">
        <f t="shared" si="257"/>
        <v>27.765700694598582</v>
      </c>
      <c r="AB607" s="372">
        <f t="shared" si="258"/>
        <v>-235.83011727109596</v>
      </c>
      <c r="AD607">
        <f t="shared" si="262"/>
        <v>0</v>
      </c>
      <c r="AE607">
        <f t="shared" si="265"/>
        <v>0</v>
      </c>
    </row>
    <row r="608" spans="1:31" x14ac:dyDescent="0.3">
      <c r="A608" s="373">
        <v>630960</v>
      </c>
      <c r="B608" s="390">
        <f t="shared" si="259"/>
        <v>630.96</v>
      </c>
      <c r="C608" s="363">
        <f t="shared" si="240"/>
        <v>4682.8241274069751</v>
      </c>
      <c r="D608" s="364">
        <f t="shared" si="241"/>
        <v>1.5705827804432948</v>
      </c>
      <c r="E608" s="364">
        <f t="shared" si="242"/>
        <v>4.8612913592412079</v>
      </c>
      <c r="F608" s="365">
        <f t="shared" si="243"/>
        <v>1.3636105729997627</v>
      </c>
      <c r="G608" s="364">
        <f t="shared" si="244"/>
        <v>46.777646697901353</v>
      </c>
      <c r="H608" s="365">
        <f t="shared" si="245"/>
        <v>-1.5494169660495352</v>
      </c>
      <c r="I608" s="363">
        <f t="shared" si="246"/>
        <v>954705.00247502082</v>
      </c>
      <c r="J608" s="366">
        <f t="shared" si="247"/>
        <v>1.5707952793509246</v>
      </c>
      <c r="K608" s="374">
        <f t="shared" si="263"/>
        <v>3239.73937571028</v>
      </c>
      <c r="L608" s="375">
        <f t="shared" si="264"/>
        <v>1.5704876599856537</v>
      </c>
      <c r="M608" s="363">
        <f t="shared" si="248"/>
        <v>10.110543775469843</v>
      </c>
      <c r="N608" s="366">
        <f t="shared" si="249"/>
        <v>1.4717277047200426</v>
      </c>
      <c r="O608" s="367">
        <f t="shared" si="250"/>
        <v>4.5652225007331095</v>
      </c>
      <c r="P608" s="368">
        <f t="shared" si="251"/>
        <v>2.4187038843171575</v>
      </c>
      <c r="Q608" s="369">
        <f t="shared" si="252"/>
        <v>-26.395793409243606</v>
      </c>
      <c r="R608" s="370">
        <f t="shared" si="253"/>
        <v>-323.55662302087347</v>
      </c>
      <c r="S608" s="372">
        <f t="shared" si="254"/>
        <v>-143.55662302087347</v>
      </c>
      <c r="U608" s="345">
        <f t="shared" si="260"/>
        <v>630960</v>
      </c>
      <c r="V608" s="345">
        <f t="shared" si="261"/>
        <v>398110521600</v>
      </c>
      <c r="X608" s="371">
        <f t="shared" si="255"/>
        <v>18.614001577463732</v>
      </c>
      <c r="Y608" s="372">
        <f t="shared" si="256"/>
        <v>-84.341411460634902</v>
      </c>
      <c r="AA608" s="371">
        <f t="shared" si="257"/>
        <v>27.031404839851909</v>
      </c>
      <c r="AB608" s="372">
        <f t="shared" si="258"/>
        <v>-239.21521156023852</v>
      </c>
      <c r="AD608">
        <f t="shared" si="262"/>
        <v>0</v>
      </c>
      <c r="AE608">
        <f t="shared" si="265"/>
        <v>0</v>
      </c>
    </row>
    <row r="609" spans="1:31" x14ac:dyDescent="0.3">
      <c r="A609" s="373">
        <v>691830</v>
      </c>
      <c r="B609" s="390">
        <f t="shared" si="259"/>
        <v>691.83</v>
      </c>
      <c r="C609" s="363">
        <f t="shared" si="240"/>
        <v>5134.5857164277204</v>
      </c>
      <c r="D609" s="364">
        <f t="shared" si="241"/>
        <v>1.570601569114034</v>
      </c>
      <c r="E609" s="364">
        <f t="shared" si="242"/>
        <v>5.3112642600433313</v>
      </c>
      <c r="F609" s="365">
        <f t="shared" si="243"/>
        <v>1.3813867238433903</v>
      </c>
      <c r="G609" s="364">
        <f t="shared" si="244"/>
        <v>51.288410158669222</v>
      </c>
      <c r="H609" s="365">
        <f t="shared" si="245"/>
        <v>-1.5512975088936665</v>
      </c>
      <c r="I609" s="363">
        <f t="shared" si="246"/>
        <v>1046807.344145798</v>
      </c>
      <c r="J609" s="366">
        <f t="shared" si="247"/>
        <v>1.5707953715092793</v>
      </c>
      <c r="K609" s="374">
        <f t="shared" si="263"/>
        <v>3552.2836223146328</v>
      </c>
      <c r="L609" s="375">
        <f t="shared" si="264"/>
        <v>1.5705148177377577</v>
      </c>
      <c r="M609" s="363">
        <f t="shared" si="248"/>
        <v>11.076802862660742</v>
      </c>
      <c r="N609" s="366">
        <f t="shared" si="249"/>
        <v>1.4803944848197939</v>
      </c>
      <c r="O609" s="367">
        <f t="shared" si="250"/>
        <v>5.4416898859185041</v>
      </c>
      <c r="P609" s="368">
        <f t="shared" si="251"/>
        <v>2.4873702517140148</v>
      </c>
      <c r="Q609" s="369">
        <f t="shared" si="252"/>
        <v>-27.945437204154786</v>
      </c>
      <c r="R609" s="370">
        <f t="shared" si="253"/>
        <v>-327.07626050899216</v>
      </c>
      <c r="S609" s="372">
        <f t="shared" si="254"/>
        <v>-147.07626050899216</v>
      </c>
      <c r="U609" s="345">
        <f t="shared" si="260"/>
        <v>691830</v>
      </c>
      <c r="V609" s="345">
        <f t="shared" si="261"/>
        <v>478628748900</v>
      </c>
      <c r="X609" s="371">
        <f t="shared" si="255"/>
        <v>17.821203255415799</v>
      </c>
      <c r="Y609" s="372">
        <f t="shared" si="256"/>
        <v>-84.836430638592432</v>
      </c>
      <c r="AA609" s="371">
        <f t="shared" si="257"/>
        <v>26.274559366988669</v>
      </c>
      <c r="AB609" s="372">
        <f t="shared" si="258"/>
        <v>-242.2398298703998</v>
      </c>
      <c r="AD609">
        <f t="shared" si="262"/>
        <v>0</v>
      </c>
      <c r="AE609">
        <f t="shared" si="265"/>
        <v>0</v>
      </c>
    </row>
    <row r="610" spans="1:31" x14ac:dyDescent="0.3">
      <c r="A610" s="373">
        <v>758580</v>
      </c>
      <c r="B610" s="390">
        <f t="shared" si="259"/>
        <v>758.58</v>
      </c>
      <c r="C610" s="363">
        <f t="shared" si="240"/>
        <v>5629.9871649677307</v>
      </c>
      <c r="D610" s="364">
        <f t="shared" si="241"/>
        <v>1.5706187064956034</v>
      </c>
      <c r="E610" s="364">
        <f t="shared" si="242"/>
        <v>5.8063197307313636</v>
      </c>
      <c r="F610" s="365">
        <f t="shared" si="243"/>
        <v>1.3977071992969725</v>
      </c>
      <c r="G610" s="364">
        <f t="shared" si="244"/>
        <v>56.235083697907108</v>
      </c>
      <c r="H610" s="365">
        <f t="shared" si="245"/>
        <v>-1.55301289615722</v>
      </c>
      <c r="I610" s="363">
        <f t="shared" si="246"/>
        <v>1147806.7084718188</v>
      </c>
      <c r="J610" s="366">
        <f t="shared" si="247"/>
        <v>1.5707954555680668</v>
      </c>
      <c r="K610" s="374">
        <f t="shared" si="263"/>
        <v>3895.0194299920995</v>
      </c>
      <c r="L610" s="375">
        <f t="shared" si="264"/>
        <v>1.5705395886633007</v>
      </c>
      <c r="M610" s="363">
        <f t="shared" si="248"/>
        <v>12.13719867730657</v>
      </c>
      <c r="N610" s="366">
        <f t="shared" si="249"/>
        <v>1.4883114894422551</v>
      </c>
      <c r="O610" s="367">
        <f t="shared" si="250"/>
        <v>6.5021116331393047</v>
      </c>
      <c r="P610" s="368">
        <f t="shared" si="251"/>
        <v>2.5490952925823129</v>
      </c>
      <c r="Q610" s="369">
        <f t="shared" si="252"/>
        <v>-29.512147630807405</v>
      </c>
      <c r="R610" s="370">
        <f t="shared" si="253"/>
        <v>-330.2292133295299</v>
      </c>
      <c r="S610" s="372">
        <f t="shared" si="254"/>
        <v>-150.2292133295299</v>
      </c>
      <c r="U610" s="345">
        <f t="shared" si="260"/>
        <v>758580</v>
      </c>
      <c r="V610" s="345">
        <f t="shared" si="261"/>
        <v>575443616400</v>
      </c>
      <c r="X610" s="371">
        <f t="shared" si="255"/>
        <v>17.027122505808709</v>
      </c>
      <c r="Y610" s="372">
        <f t="shared" si="256"/>
        <v>-85.288627137087232</v>
      </c>
      <c r="AA610" s="371">
        <f t="shared" si="257"/>
        <v>25.501929689943132</v>
      </c>
      <c r="AB610" s="372">
        <f t="shared" si="258"/>
        <v>-244.94058619244271</v>
      </c>
      <c r="AD610">
        <f t="shared" si="262"/>
        <v>0</v>
      </c>
      <c r="AE610">
        <f t="shared" si="265"/>
        <v>0</v>
      </c>
    </row>
    <row r="611" spans="1:31" x14ac:dyDescent="0.3">
      <c r="A611" s="373">
        <v>831760</v>
      </c>
      <c r="B611" s="390">
        <f t="shared" si="259"/>
        <v>831.76</v>
      </c>
      <c r="C611" s="363">
        <f t="shared" si="240"/>
        <v>6173.1104325280294</v>
      </c>
      <c r="D611" s="364">
        <f t="shared" si="241"/>
        <v>1.5706343339040674</v>
      </c>
      <c r="E611" s="364">
        <f t="shared" si="242"/>
        <v>6.3505501912951603</v>
      </c>
      <c r="F611" s="365">
        <f t="shared" si="243"/>
        <v>1.4126715345059444</v>
      </c>
      <c r="G611" s="364">
        <f t="shared" si="244"/>
        <v>61.658426433244863</v>
      </c>
      <c r="H611" s="365">
        <f t="shared" si="245"/>
        <v>-1.554577232303419</v>
      </c>
      <c r="I611" s="363">
        <f t="shared" si="246"/>
        <v>1258535.299953148</v>
      </c>
      <c r="J611" s="366">
        <f t="shared" si="247"/>
        <v>1.5707955322204417</v>
      </c>
      <c r="K611" s="374">
        <f t="shared" si="263"/>
        <v>4270.7708391054875</v>
      </c>
      <c r="L611" s="375">
        <f t="shared" si="264"/>
        <v>1.5705621770250282</v>
      </c>
      <c r="M611" s="363">
        <f t="shared" si="248"/>
        <v>13.300470045327735</v>
      </c>
      <c r="N611" s="366">
        <f t="shared" si="249"/>
        <v>1.4955399982731525</v>
      </c>
      <c r="O611" s="367">
        <f t="shared" si="250"/>
        <v>7.782403929485489</v>
      </c>
      <c r="P611" s="368">
        <f t="shared" si="251"/>
        <v>2.6045755950341021</v>
      </c>
      <c r="Q611" s="369">
        <f t="shared" si="252"/>
        <v>-31.090328069971754</v>
      </c>
      <c r="R611" s="370">
        <f t="shared" si="253"/>
        <v>-333.05400572437605</v>
      </c>
      <c r="S611" s="372">
        <f t="shared" si="254"/>
        <v>-153.05400572437605</v>
      </c>
      <c r="U611" s="345">
        <f t="shared" si="260"/>
        <v>831760</v>
      </c>
      <c r="V611" s="345">
        <f t="shared" si="261"/>
        <v>691824697600</v>
      </c>
      <c r="X611" s="371">
        <f t="shared" si="255"/>
        <v>16.232151890971778</v>
      </c>
      <c r="Y611" s="372">
        <f t="shared" si="256"/>
        <v>-85.701500359806957</v>
      </c>
      <c r="AA611" s="371">
        <f t="shared" si="257"/>
        <v>24.718719865615718</v>
      </c>
      <c r="AB611" s="372">
        <f t="shared" si="258"/>
        <v>-247.35250536456908</v>
      </c>
      <c r="AD611">
        <f t="shared" si="262"/>
        <v>0</v>
      </c>
      <c r="AE611">
        <f t="shared" si="265"/>
        <v>0</v>
      </c>
    </row>
    <row r="612" spans="1:31" x14ac:dyDescent="0.3">
      <c r="A612" s="373">
        <v>912010</v>
      </c>
      <c r="B612" s="390">
        <f t="shared" si="259"/>
        <v>912.01</v>
      </c>
      <c r="C612" s="363">
        <f t="shared" si="240"/>
        <v>6768.7054356327635</v>
      </c>
      <c r="D612" s="364">
        <f t="shared" si="241"/>
        <v>1.5706485880562047</v>
      </c>
      <c r="E612" s="364">
        <f t="shared" si="242"/>
        <v>6.9487254990761942</v>
      </c>
      <c r="F612" s="365">
        <f t="shared" si="243"/>
        <v>1.4263836119031921</v>
      </c>
      <c r="G612" s="364">
        <f t="shared" si="244"/>
        <v>67.605868537260648</v>
      </c>
      <c r="H612" s="365">
        <f t="shared" si="245"/>
        <v>-1.5560041720523916</v>
      </c>
      <c r="I612" s="363">
        <f t="shared" si="246"/>
        <v>1379961.5020080428</v>
      </c>
      <c r="J612" s="366">
        <f t="shared" si="247"/>
        <v>1.5707956021369995</v>
      </c>
      <c r="K612" s="374">
        <f t="shared" si="263"/>
        <v>4682.8240057333715</v>
      </c>
      <c r="L612" s="375">
        <f t="shared" si="264"/>
        <v>1.5705827804377464</v>
      </c>
      <c r="M612" s="363">
        <f t="shared" si="248"/>
        <v>14.576791561477108</v>
      </c>
      <c r="N612" s="366">
        <f t="shared" si="249"/>
        <v>1.5021402004699413</v>
      </c>
      <c r="O612" s="367">
        <f t="shared" si="250"/>
        <v>9.3265265495604446</v>
      </c>
      <c r="P612" s="368">
        <f t="shared" si="251"/>
        <v>2.65449436558024</v>
      </c>
      <c r="Q612" s="369">
        <f t="shared" si="252"/>
        <v>-32.67666656657137</v>
      </c>
      <c r="R612" s="370">
        <f t="shared" si="253"/>
        <v>-335.5880580099622</v>
      </c>
      <c r="S612" s="372">
        <f t="shared" si="254"/>
        <v>-155.5880580099622</v>
      </c>
      <c r="U612" s="345">
        <f t="shared" si="260"/>
        <v>912010</v>
      </c>
      <c r="V612" s="345">
        <f t="shared" si="261"/>
        <v>831762240100</v>
      </c>
      <c r="X612" s="371">
        <f t="shared" si="255"/>
        <v>15.436252765366721</v>
      </c>
      <c r="Y612" s="372">
        <f t="shared" si="256"/>
        <v>-86.078487607378065</v>
      </c>
      <c r="AA612" s="371">
        <f t="shared" si="257"/>
        <v>23.928280494621159</v>
      </c>
      <c r="AB612" s="372">
        <f t="shared" si="258"/>
        <v>-249.5095704025841</v>
      </c>
      <c r="AD612">
        <f t="shared" si="262"/>
        <v>0</v>
      </c>
      <c r="AE612">
        <f t="shared" si="265"/>
        <v>0</v>
      </c>
    </row>
    <row r="613" spans="1:31" x14ac:dyDescent="0.3">
      <c r="A613" s="373">
        <v>1000000</v>
      </c>
      <c r="B613" s="390">
        <f t="shared" si="259"/>
        <v>1000</v>
      </c>
      <c r="C613" s="363">
        <f t="shared" si="240"/>
        <v>7421.7447431553883</v>
      </c>
      <c r="D613" s="364">
        <f t="shared" si="241"/>
        <v>1.5706615875876573</v>
      </c>
      <c r="E613" s="364">
        <f t="shared" si="242"/>
        <v>7.605847830475966</v>
      </c>
      <c r="F613" s="365">
        <f t="shared" si="243"/>
        <v>1.43893677148458</v>
      </c>
      <c r="G613" s="364">
        <f t="shared" si="244"/>
        <v>74.127064694135015</v>
      </c>
      <c r="H613" s="365">
        <f t="shared" si="245"/>
        <v>-1.5573055682143662</v>
      </c>
      <c r="I613" s="363">
        <f t="shared" si="246"/>
        <v>1513099.091027491</v>
      </c>
      <c r="J613" s="366">
        <f t="shared" si="247"/>
        <v>1.570795665899648</v>
      </c>
      <c r="K613" s="374">
        <f t="shared" si="263"/>
        <v>5134.6191245382079</v>
      </c>
      <c r="L613" s="375">
        <f t="shared" si="264"/>
        <v>1.570601570381214</v>
      </c>
      <c r="M613" s="363">
        <f t="shared" si="248"/>
        <v>15.976820076917537</v>
      </c>
      <c r="N613" s="366">
        <f t="shared" si="249"/>
        <v>1.5081647091701198</v>
      </c>
      <c r="O613" s="367">
        <f t="shared" si="250"/>
        <v>11.186863118767702</v>
      </c>
      <c r="P613" s="368">
        <f t="shared" si="251"/>
        <v>2.6994522794022724</v>
      </c>
      <c r="Q613" s="369">
        <f t="shared" si="252"/>
        <v>-34.268312795685432</v>
      </c>
      <c r="R613" s="370">
        <f t="shared" si="253"/>
        <v>-337.86412898358685</v>
      </c>
      <c r="S613" s="372">
        <f t="shared" si="254"/>
        <v>-157.86412898358685</v>
      </c>
      <c r="U613" s="345">
        <f t="shared" si="260"/>
        <v>1000000</v>
      </c>
      <c r="V613" s="345">
        <f t="shared" si="261"/>
        <v>1000000000000</v>
      </c>
      <c r="X613" s="371">
        <f t="shared" si="255"/>
        <v>14.639684717882407</v>
      </c>
      <c r="Y613" s="372">
        <f t="shared" si="256"/>
        <v>-86.422593598803971</v>
      </c>
      <c r="AA613" s="371">
        <f t="shared" si="257"/>
        <v>23.133202312991415</v>
      </c>
      <c r="AB613" s="372">
        <f t="shared" si="258"/>
        <v>-251.4415353847829</v>
      </c>
      <c r="AD613">
        <f t="shared" si="262"/>
        <v>0</v>
      </c>
      <c r="AE613">
        <f t="shared" si="265"/>
        <v>0</v>
      </c>
    </row>
    <row r="614" spans="1:31" x14ac:dyDescent="0.3">
      <c r="A614" s="376"/>
      <c r="B614" s="376"/>
      <c r="C614" s="377"/>
      <c r="D614" s="377"/>
      <c r="E614" s="377"/>
      <c r="F614" s="377"/>
      <c r="G614" s="364"/>
      <c r="H614" s="365"/>
      <c r="I614" s="377"/>
      <c r="J614" s="377"/>
      <c r="K614" s="377"/>
      <c r="L614" s="377"/>
      <c r="M614" s="377"/>
      <c r="N614" s="377"/>
      <c r="O614" s="377"/>
      <c r="P614" s="378"/>
      <c r="Q614" s="465"/>
      <c r="R614" s="370"/>
      <c r="S614" s="379"/>
      <c r="AA614" s="371"/>
      <c r="AB614" s="372"/>
    </row>
    <row r="615" spans="1:31" x14ac:dyDescent="0.3">
      <c r="A615" s="376"/>
      <c r="B615" s="376"/>
      <c r="C615" s="377"/>
      <c r="D615" s="377"/>
      <c r="E615" s="377"/>
      <c r="F615" s="377"/>
      <c r="G615" s="364"/>
      <c r="H615" s="365"/>
      <c r="I615" s="377"/>
      <c r="J615" s="377"/>
      <c r="K615" s="377"/>
      <c r="L615" s="377"/>
      <c r="M615" s="377"/>
      <c r="N615" s="377"/>
      <c r="O615" s="377"/>
      <c r="P615" s="378"/>
      <c r="Q615" s="379"/>
      <c r="R615" s="370"/>
      <c r="S615" s="379"/>
      <c r="AA615" s="371"/>
      <c r="AB615" s="372"/>
    </row>
    <row r="616" spans="1:31" x14ac:dyDescent="0.3">
      <c r="A616" s="345" t="s">
        <v>507</v>
      </c>
      <c r="G616" s="364"/>
      <c r="H616" s="365"/>
      <c r="Q616" s="369"/>
      <c r="R616" s="370"/>
      <c r="S616" s="379"/>
      <c r="AA616" s="371"/>
      <c r="AB616" s="372"/>
    </row>
    <row r="617" spans="1:31" x14ac:dyDescent="0.3">
      <c r="A617" s="380">
        <f>Q4*1000</f>
        <v>6839.55</v>
      </c>
      <c r="B617" s="380"/>
      <c r="C617" s="381">
        <f t="shared" ref="C617:C626" si="266">SQRT(1+(A617/pole1)^2)</f>
        <v>50.771242847123496</v>
      </c>
      <c r="D617" s="374">
        <f t="shared" ref="D617:D626" si="267">ATAN(A617/pole1)</f>
        <v>1.5510988639822298</v>
      </c>
      <c r="E617" s="374">
        <f t="shared" ref="E617:E626" si="268">SQRT(1+(A617/Zero1)^2)</f>
        <v>1.0013287976175458</v>
      </c>
      <c r="F617" s="375">
        <f t="shared" ref="F617:F626" si="269">ATAN(A617/Zero1)</f>
        <v>5.1523351304317962E-2</v>
      </c>
      <c r="G617" s="364">
        <f>IF(VIN_nom&gt;Vout, 1, SQRT(1+(A617/z_RHP)^2))</f>
        <v>1.121159188793948</v>
      </c>
      <c r="H617" s="365">
        <f>IF(VIN_nom&gt;Vout, 0, -ATAN(A617/z_RHP))</f>
        <v>-0.46919184330187647</v>
      </c>
      <c r="I617" s="381">
        <f t="shared" ref="I617:I626" si="270">SQRT(1+(A617/Pole2)^2)</f>
        <v>10348.916936349049</v>
      </c>
      <c r="J617" s="382">
        <f t="shared" ref="J617:J626" si="271">ATAN(A617/Pole2)</f>
        <v>1.5706996983256851</v>
      </c>
      <c r="K617" s="374">
        <f t="shared" ref="K617:K626" si="272">SQRT(1+(A617/Zero2)^2)</f>
        <v>35.132718199145252</v>
      </c>
      <c r="L617" s="375">
        <f t="shared" ref="L617:L626" si="273">ATAN(A617/Zero2)</f>
        <v>1.5423289855541398</v>
      </c>
      <c r="M617" s="381">
        <f t="shared" ref="M617:M626" si="274">SQRT(1+(A617/pole4)^2)</f>
        <v>1.0059294629352773</v>
      </c>
      <c r="N617" s="382">
        <f t="shared" ref="N617:N626" si="275">ATAN(A617/pole4)</f>
        <v>0.10863067379575293</v>
      </c>
      <c r="O617" s="381">
        <f t="shared" ref="O617:O626" si="276">SQRT((1-(A617^2/(pole3^2)))^2+(A617/(Q*pole3))^2)</f>
        <v>1.0000162531882697</v>
      </c>
      <c r="P617" s="456">
        <f t="shared" ref="P617:P626" si="277">ATAN((A617/(Q*pole3))/(1-A617^2/pole3^2))</f>
        <v>3.2743364852587775E-2</v>
      </c>
      <c r="Q617" s="369">
        <f>20*LOG10(((E617*K617*G617)/(C617*I617*O617*M617))*Adc)</f>
        <v>7.8439880919966565E-3</v>
      </c>
      <c r="R617" s="370">
        <f>((F617+L617+H617)-(D617+J617+P617+N617))*radconv</f>
        <v>-122.52771833163706</v>
      </c>
      <c r="S617" s="372">
        <f t="shared" ref="S617:S626" si="278">IF(R617&gt;0,R617,R617+180)</f>
        <v>57.472281668362939</v>
      </c>
      <c r="T617" s="345" t="s">
        <v>508</v>
      </c>
      <c r="X617" s="371">
        <f t="shared" ref="X617:X626" si="279">20*LOG10((K617/(I617*M617))*AEA)</f>
        <v>38.661660783201043</v>
      </c>
      <c r="Y617" s="372">
        <f t="shared" ref="Y617:Y626" si="280">(L617-(J617+N617))*radconv</f>
        <v>-7.8496012467159595</v>
      </c>
      <c r="AA617" s="371">
        <f>20*LOG10((E617*G617/(C617*O617))*Acs*Am)</f>
        <v>33.387383031450206</v>
      </c>
      <c r="AB617" s="372">
        <f>(F617+H617-(D617+P617))*radconv</f>
        <v>-114.67811708492114</v>
      </c>
    </row>
    <row r="618" spans="1:31" x14ac:dyDescent="0.3">
      <c r="A618" s="380">
        <f>A617</f>
        <v>6839.55</v>
      </c>
      <c r="B618" s="380"/>
      <c r="C618" s="381"/>
      <c r="D618" s="374"/>
      <c r="E618" s="374"/>
      <c r="F618" s="375"/>
      <c r="G618" s="364"/>
      <c r="H618" s="365"/>
      <c r="I618" s="381"/>
      <c r="J618" s="382"/>
      <c r="K618" s="374"/>
      <c r="L618" s="375"/>
      <c r="M618" s="363"/>
      <c r="N618" s="366"/>
      <c r="O618" s="381"/>
      <c r="P618" s="368"/>
      <c r="Q618" s="369"/>
      <c r="R618" s="370">
        <v>-90</v>
      </c>
      <c r="S618" s="372"/>
      <c r="X618" s="371"/>
      <c r="Y618" s="372"/>
      <c r="AA618" s="371"/>
      <c r="AB618" s="372"/>
    </row>
    <row r="619" spans="1:31" x14ac:dyDescent="0.3">
      <c r="A619" s="345">
        <f>A618</f>
        <v>6839.55</v>
      </c>
      <c r="B619" s="380"/>
      <c r="C619" s="381"/>
      <c r="D619" s="374"/>
      <c r="E619" s="374"/>
      <c r="F619" s="375"/>
      <c r="G619" s="364"/>
      <c r="H619" s="365"/>
      <c r="I619" s="381"/>
      <c r="J619" s="382"/>
      <c r="K619" s="374"/>
      <c r="L619" s="375"/>
      <c r="M619" s="363"/>
      <c r="N619" s="366"/>
      <c r="O619" s="381"/>
      <c r="P619" s="368"/>
      <c r="Q619" s="369"/>
      <c r="R619" s="370">
        <f>R617</f>
        <v>-122.52771833163706</v>
      </c>
      <c r="S619" s="372"/>
      <c r="X619" s="371"/>
      <c r="Y619" s="372"/>
      <c r="AA619" s="371"/>
      <c r="AB619" s="372"/>
    </row>
    <row r="620" spans="1:31" x14ac:dyDescent="0.3">
      <c r="A620" s="380">
        <v>1000000</v>
      </c>
      <c r="B620" s="380"/>
      <c r="C620" s="381"/>
      <c r="D620" s="374"/>
      <c r="E620" s="374"/>
      <c r="F620" s="375"/>
      <c r="G620" s="364"/>
      <c r="H620" s="365"/>
      <c r="I620" s="381"/>
      <c r="J620" s="382"/>
      <c r="K620" s="374"/>
      <c r="L620" s="375"/>
      <c r="M620" s="363"/>
      <c r="N620" s="366"/>
      <c r="O620" s="381"/>
      <c r="P620" s="368"/>
      <c r="Q620" s="369"/>
      <c r="R620" s="370">
        <f>R617</f>
        <v>-122.52771833163706</v>
      </c>
      <c r="S620" s="372"/>
      <c r="X620" s="371"/>
      <c r="Y620" s="372"/>
      <c r="AA620" s="371"/>
      <c r="AB620" s="372"/>
    </row>
    <row r="621" spans="1:31" x14ac:dyDescent="0.3">
      <c r="A621" s="380"/>
      <c r="B621" s="380"/>
      <c r="C621" s="381"/>
      <c r="D621" s="374"/>
      <c r="E621" s="374"/>
      <c r="F621" s="375"/>
      <c r="G621" s="364"/>
      <c r="H621" s="365"/>
      <c r="I621" s="381"/>
      <c r="J621" s="382"/>
      <c r="K621" s="374"/>
      <c r="L621" s="375"/>
      <c r="M621" s="363"/>
      <c r="N621" s="366"/>
      <c r="O621" s="381"/>
      <c r="P621" s="368"/>
      <c r="Q621" s="369"/>
      <c r="R621" s="370"/>
      <c r="S621" s="372"/>
      <c r="X621" s="371"/>
      <c r="Y621" s="372"/>
      <c r="AA621" s="371"/>
      <c r="AB621" s="372"/>
    </row>
    <row r="622" spans="1:31" x14ac:dyDescent="0.3">
      <c r="A622" s="466">
        <f>pole1</f>
        <v>134.7392080547589</v>
      </c>
      <c r="B622" s="380"/>
      <c r="C622" s="381">
        <f t="shared" si="266"/>
        <v>1.4142135623730951</v>
      </c>
      <c r="D622" s="374">
        <f t="shared" si="267"/>
        <v>0.78539816339744828</v>
      </c>
      <c r="E622" s="374">
        <f t="shared" si="268"/>
        <v>1.0000005160361196</v>
      </c>
      <c r="F622" s="375">
        <f t="shared" si="269"/>
        <v>1.015909344162692E-3</v>
      </c>
      <c r="G622" s="364">
        <f t="shared" ref="G622:G628" si="281">IF(VIN_nom&gt;Vout, 1, SQRT(1+(A622/z_RHP)^2))</f>
        <v>1.0000498679733405</v>
      </c>
      <c r="H622" s="365">
        <f t="shared" ref="H622:H628" si="282">IF(VIN_nom&gt;Vout, 0, -ATAN(A622/z_RHP))</f>
        <v>-9.986581104974912E-3</v>
      </c>
      <c r="I622" s="381">
        <f t="shared" si="270"/>
        <v>203.87622571652065</v>
      </c>
      <c r="J622" s="382">
        <f t="shared" si="271"/>
        <v>1.5658913703377959</v>
      </c>
      <c r="K622" s="374">
        <f t="shared" si="272"/>
        <v>1.21599135576824</v>
      </c>
      <c r="L622" s="375">
        <f t="shared" si="273"/>
        <v>0.60522471569687397</v>
      </c>
      <c r="M622" s="363">
        <f t="shared" si="274"/>
        <v>1.0000023079874469</v>
      </c>
      <c r="N622" s="366">
        <f t="shared" si="275"/>
        <v>2.1484799314852063E-3</v>
      </c>
      <c r="O622" s="381">
        <f t="shared" si="276"/>
        <v>1.0000000062553545</v>
      </c>
      <c r="P622" s="368">
        <f t="shared" si="277"/>
        <v>6.4493990461838592E-4</v>
      </c>
      <c r="Q622" s="369">
        <f t="shared" ref="Q622:Q628" si="283">20*LOG10(((E622*K622*G622)/(C622*I622*O622*M622))*Adc)</f>
        <v>35.051870476789333</v>
      </c>
      <c r="R622" s="370">
        <f t="shared" ref="R622:R628" si="284">((F622+L622+H622)-(D622+J622+P622+N622))*radconv</f>
        <v>-100.71617774327025</v>
      </c>
      <c r="S622" s="372">
        <f t="shared" si="278"/>
        <v>79.283822256729749</v>
      </c>
      <c r="T622" s="345" t="s">
        <v>482</v>
      </c>
      <c r="X622" s="371">
        <f t="shared" si="279"/>
        <v>43.607932337022255</v>
      </c>
      <c r="Y622" s="372">
        <f t="shared" si="280"/>
        <v>-55.165243725354806</v>
      </c>
      <c r="AA622" s="371">
        <f t="shared" ref="AA622:AA628" si="285">20*LOG10((E622*G622/(C622*O622))*Acs*Am)</f>
        <v>63.485137966326313</v>
      </c>
      <c r="AB622" s="372">
        <f t="shared" ref="AB622:AB628" si="286">(F622+H622-(D622+P622))*radconv</f>
        <v>-45.550934017915459</v>
      </c>
    </row>
    <row r="623" spans="1:31" x14ac:dyDescent="0.3">
      <c r="A623" s="466">
        <f>Zero1</f>
        <v>132629.11939479699</v>
      </c>
      <c r="B623" s="380"/>
      <c r="C623" s="381">
        <f t="shared" si="266"/>
        <v>984.33996867720748</v>
      </c>
      <c r="D623" s="374">
        <f t="shared" si="267"/>
        <v>1.5697804174507339</v>
      </c>
      <c r="E623" s="374">
        <f t="shared" si="268"/>
        <v>1.4142135623730951</v>
      </c>
      <c r="F623" s="375">
        <f t="shared" si="269"/>
        <v>0.78539816339744828</v>
      </c>
      <c r="G623" s="364">
        <f t="shared" si="281"/>
        <v>9.8812438126303945</v>
      </c>
      <c r="H623" s="365">
        <f t="shared" si="282"/>
        <v>-1.4694209429928264</v>
      </c>
      <c r="I623" s="381">
        <f t="shared" si="270"/>
        <v>200681.00000249158</v>
      </c>
      <c r="J623" s="382">
        <f t="shared" si="271"/>
        <v>1.5707913437621233</v>
      </c>
      <c r="K623" s="374">
        <f t="shared" si="272"/>
        <v>681.00073421399497</v>
      </c>
      <c r="L623" s="375">
        <f t="shared" si="273"/>
        <v>1.5693278990691406</v>
      </c>
      <c r="M623" s="363">
        <f t="shared" si="274"/>
        <v>2.3393449558230066</v>
      </c>
      <c r="N623" s="366">
        <f t="shared" si="275"/>
        <v>1.1291038886857885</v>
      </c>
      <c r="O623" s="381">
        <f t="shared" si="276"/>
        <v>1.0248524376940604</v>
      </c>
      <c r="P623" s="368">
        <f t="shared" si="277"/>
        <v>0.66803558477574121</v>
      </c>
      <c r="Q623" s="369">
        <f t="shared" si="283"/>
        <v>-11.388180901373964</v>
      </c>
      <c r="R623" s="370">
        <f t="shared" si="284"/>
        <v>-232.18576753931237</v>
      </c>
      <c r="S623" s="372">
        <f t="shared" si="278"/>
        <v>-52.185767539312366</v>
      </c>
      <c r="T623" s="345" t="s">
        <v>477</v>
      </c>
      <c r="X623" s="371">
        <f t="shared" si="279"/>
        <v>31.327615468742081</v>
      </c>
      <c r="Y623" s="372">
        <f t="shared" si="280"/>
        <v>-64.776736731981714</v>
      </c>
      <c r="AA623" s="371">
        <f t="shared" si="285"/>
        <v>29.325403456443205</v>
      </c>
      <c r="AB623" s="372">
        <f t="shared" si="286"/>
        <v>-167.40903080733065</v>
      </c>
    </row>
    <row r="624" spans="1:31" x14ac:dyDescent="0.3">
      <c r="A624" s="466">
        <f>Pole2</f>
        <v>0.66089524865232363</v>
      </c>
      <c r="B624" s="380"/>
      <c r="C624" s="381">
        <f t="shared" si="266"/>
        <v>1.000012029419511</v>
      </c>
      <c r="D624" s="374">
        <f t="shared" si="267"/>
        <v>4.9049564571006744E-3</v>
      </c>
      <c r="E624" s="374">
        <f t="shared" si="268"/>
        <v>1.0000000000124154</v>
      </c>
      <c r="F624" s="375">
        <f t="shared" si="269"/>
        <v>4.9830327733653056E-6</v>
      </c>
      <c r="G624" s="364">
        <f t="shared" si="281"/>
        <v>1.0000000011998027</v>
      </c>
      <c r="H624" s="365">
        <f t="shared" si="282"/>
        <v>-4.8985766756977497E-5</v>
      </c>
      <c r="I624" s="381">
        <f t="shared" si="270"/>
        <v>1.4142135623730951</v>
      </c>
      <c r="J624" s="382">
        <f t="shared" si="271"/>
        <v>0.78539816339744828</v>
      </c>
      <c r="K624" s="374">
        <f t="shared" si="272"/>
        <v>1.0000057577189898</v>
      </c>
      <c r="L624" s="375">
        <f t="shared" si="273"/>
        <v>3.3934322930726578E-3</v>
      </c>
      <c r="M624" s="363">
        <f t="shared" si="274"/>
        <v>1.000000000055528</v>
      </c>
      <c r="N624" s="366">
        <f t="shared" si="275"/>
        <v>1.0538301239573938E-5</v>
      </c>
      <c r="O624" s="381">
        <f t="shared" si="276"/>
        <v>1.0000000000001505</v>
      </c>
      <c r="P624" s="368">
        <f t="shared" si="277"/>
        <v>3.1634273193405781E-6</v>
      </c>
      <c r="Q624" s="369">
        <f t="shared" si="283"/>
        <v>79.540120442585831</v>
      </c>
      <c r="R624" s="370">
        <f t="shared" si="284"/>
        <v>-45.089910228916331</v>
      </c>
      <c r="S624" s="372">
        <f t="shared" si="278"/>
        <v>134.91008977108368</v>
      </c>
      <c r="T624" s="345" t="s">
        <v>485</v>
      </c>
      <c r="W624" s="345">
        <f>Pole2</f>
        <v>0.66089524865232363</v>
      </c>
      <c r="X624" s="371">
        <f t="shared" si="279"/>
        <v>85.086424386044385</v>
      </c>
      <c r="Y624" s="372">
        <f t="shared" si="280"/>
        <v>-44.806174502926311</v>
      </c>
      <c r="AA624" s="371">
        <f t="shared" si="285"/>
        <v>66.49489588310071</v>
      </c>
      <c r="AB624" s="372">
        <f t="shared" si="286"/>
        <v>-0.28373572599001745</v>
      </c>
    </row>
    <row r="625" spans="1:28" x14ac:dyDescent="0.3">
      <c r="A625" s="466">
        <f>Zero2</f>
        <v>194.75641614507632</v>
      </c>
      <c r="B625" s="380"/>
      <c r="C625" s="381">
        <f t="shared" si="266"/>
        <v>1.7576332971807942</v>
      </c>
      <c r="D625" s="374">
        <f t="shared" si="267"/>
        <v>0.96557161109802259</v>
      </c>
      <c r="E625" s="374">
        <f t="shared" si="268"/>
        <v>1.0000010781409616</v>
      </c>
      <c r="F625" s="375">
        <f t="shared" si="269"/>
        <v>1.4684277257560959E-3</v>
      </c>
      <c r="G625" s="364">
        <f t="shared" si="281"/>
        <v>1.0001041850709498</v>
      </c>
      <c r="H625" s="365">
        <f t="shared" si="282"/>
        <v>-1.4434405170493146E-2</v>
      </c>
      <c r="I625" s="381">
        <f t="shared" si="270"/>
        <v>294.68745295859708</v>
      </c>
      <c r="J625" s="382">
        <f t="shared" si="271"/>
        <v>1.5674028945018239</v>
      </c>
      <c r="K625" s="374">
        <f t="shared" si="272"/>
        <v>1.4142135623730951</v>
      </c>
      <c r="L625" s="375">
        <f t="shared" si="273"/>
        <v>0.78539816339744828</v>
      </c>
      <c r="M625" s="363">
        <f t="shared" si="274"/>
        <v>1.0000048220139675</v>
      </c>
      <c r="N625" s="366">
        <f t="shared" si="275"/>
        <v>3.1054772872907703E-3</v>
      </c>
      <c r="O625" s="381">
        <f t="shared" si="276"/>
        <v>1.0000000130692008</v>
      </c>
      <c r="P625" s="368">
        <f t="shared" si="277"/>
        <v>9.3221709474857481E-4</v>
      </c>
      <c r="Q625" s="369">
        <f t="shared" si="283"/>
        <v>31.275848751282901</v>
      </c>
      <c r="R625" s="370">
        <f t="shared" si="284"/>
        <v>-101.10298753253431</v>
      </c>
      <c r="S625" s="372">
        <f t="shared" si="278"/>
        <v>78.897012467465686</v>
      </c>
      <c r="T625" s="345" t="s">
        <v>480</v>
      </c>
      <c r="W625" s="345">
        <f>Zero2</f>
        <v>194.75641614507632</v>
      </c>
      <c r="X625" s="371">
        <f t="shared" si="279"/>
        <v>41.719699503851515</v>
      </c>
      <c r="Y625" s="372">
        <f t="shared" si="280"/>
        <v>-44.983501444880169</v>
      </c>
      <c r="AA625" s="371">
        <f t="shared" si="285"/>
        <v>61.597349073990635</v>
      </c>
      <c r="AB625" s="372">
        <f t="shared" si="286"/>
        <v>-56.119486087654124</v>
      </c>
    </row>
    <row r="626" spans="1:28" x14ac:dyDescent="0.3">
      <c r="A626" s="466">
        <f>pole3</f>
        <v>300000</v>
      </c>
      <c r="B626" s="380"/>
      <c r="C626" s="381">
        <f t="shared" si="266"/>
        <v>2226.523627301071</v>
      </c>
      <c r="D626" s="374">
        <f t="shared" si="267"/>
        <v>1.57034719613158</v>
      </c>
      <c r="E626" s="374">
        <f t="shared" si="268"/>
        <v>2.4731362497509184</v>
      </c>
      <c r="F626" s="375">
        <f t="shared" si="269"/>
        <v>1.1545338870123083</v>
      </c>
      <c r="G626" s="364">
        <f t="shared" si="281"/>
        <v>22.258570367729437</v>
      </c>
      <c r="H626" s="365">
        <f t="shared" si="282"/>
        <v>-1.5258546846313543</v>
      </c>
      <c r="I626" s="381">
        <f t="shared" si="270"/>
        <v>453929.72730924963</v>
      </c>
      <c r="J626" s="382">
        <f t="shared" si="271"/>
        <v>1.5707941238107344</v>
      </c>
      <c r="K626" s="374">
        <f t="shared" si="272"/>
        <v>1540.3860327419929</v>
      </c>
      <c r="L626" s="375">
        <f t="shared" si="273"/>
        <v>1.5701471388322787</v>
      </c>
      <c r="M626" s="363">
        <f t="shared" si="274"/>
        <v>4.887053322741381</v>
      </c>
      <c r="N626" s="366">
        <f t="shared" si="275"/>
        <v>1.3647185186607931</v>
      </c>
      <c r="O626" s="381">
        <f t="shared" si="276"/>
        <v>1.4359737004252355</v>
      </c>
      <c r="P626" s="368" t="e">
        <f t="shared" si="277"/>
        <v>#DIV/0!</v>
      </c>
      <c r="Q626" s="369">
        <f t="shared" si="283"/>
        <v>-15.898217431650316</v>
      </c>
      <c r="R626" s="370" t="e">
        <f t="shared" si="284"/>
        <v>#DIV/0!</v>
      </c>
      <c r="S626" s="372" t="e">
        <f t="shared" si="278"/>
        <v>#DIV/0!</v>
      </c>
      <c r="T626" s="345" t="s">
        <v>478</v>
      </c>
      <c r="X626" s="371">
        <f t="shared" si="279"/>
        <v>24.928551718646471</v>
      </c>
      <c r="Y626" s="372">
        <f t="shared" si="280"/>
        <v>-78.229680940673447</v>
      </c>
      <c r="AA626" s="371">
        <f t="shared" si="285"/>
        <v>31.214430676262459</v>
      </c>
      <c r="AB626" s="372" t="e">
        <f t="shared" si="286"/>
        <v>#DIV/0!</v>
      </c>
    </row>
    <row r="627" spans="1:28" ht="12.9" thickBot="1" x14ac:dyDescent="0.35">
      <c r="A627" s="441">
        <f>Fp2_u</f>
        <v>62713.6417533817</v>
      </c>
      <c r="C627" s="381">
        <f>SQRT(1+(A627/pole1)^2)</f>
        <v>465.44571102267668</v>
      </c>
      <c r="D627" s="374">
        <f>ATAN(A627/pole1)</f>
        <v>1.5686478468634115</v>
      </c>
      <c r="E627" s="374">
        <f>SQRT(1+(A627/Zero1)^2)</f>
        <v>1.1061586035292634</v>
      </c>
      <c r="F627" s="375">
        <f>ATAN(A627/Zero1)</f>
        <v>0.44169243810910808</v>
      </c>
      <c r="G627" s="364">
        <f t="shared" si="281"/>
        <v>4.7547035197728551</v>
      </c>
      <c r="H627" s="365">
        <f t="shared" si="282"/>
        <v>-1.3588960459479305</v>
      </c>
      <c r="I627" s="381">
        <f>SQRT(1+(A627/Pole2)^2)</f>
        <v>94891.95433731396</v>
      </c>
      <c r="J627" s="382">
        <f>ATAN(A627/Pole2)</f>
        <v>1.5707857884936571</v>
      </c>
      <c r="K627" s="374">
        <f>SQRT(1+(A627/Zero2)^2)</f>
        <v>322.01221094930111</v>
      </c>
      <c r="L627" s="375">
        <f>ATAN(A627/Zero2)</f>
        <v>1.5676908495076058</v>
      </c>
      <c r="M627" s="363">
        <f>SQRT(1+(A627/pole4)^2)</f>
        <v>1.4142135623730951</v>
      </c>
      <c r="N627" s="366">
        <f>ATAN(A627/pole4)</f>
        <v>0.78539816339744828</v>
      </c>
      <c r="O627" s="381">
        <f>SQRT((1-(A627^2/(pole3^2)))^2+(A627/(Q*pole3))^2)</f>
        <v>1.0023073310598622</v>
      </c>
      <c r="P627" s="368">
        <f>ATAN((A627/(Q*pole3))/(1-A627^2/pole3^2))</f>
        <v>0.30416097875071407</v>
      </c>
      <c r="Q627" s="369">
        <f t="shared" si="283"/>
        <v>-8.8055480293487847</v>
      </c>
      <c r="R627" s="370">
        <f t="shared" si="284"/>
        <v>-205.03326440191427</v>
      </c>
      <c r="S627" s="372">
        <f>IF(R627&gt;0,R627,R627+180)</f>
        <v>-25.033264401914266</v>
      </c>
      <c r="T627" s="345" t="s">
        <v>490</v>
      </c>
      <c r="X627" s="383"/>
      <c r="Y627" s="384"/>
      <c r="AA627" s="371">
        <f t="shared" si="285"/>
        <v>27.536418429592796</v>
      </c>
      <c r="AB627" s="372">
        <f t="shared" si="286"/>
        <v>-159.8559374085404</v>
      </c>
    </row>
    <row r="628" spans="1:28" x14ac:dyDescent="0.3">
      <c r="A628" s="441">
        <f>z_RHP</f>
        <v>13491.577082021624</v>
      </c>
      <c r="C628" s="381">
        <f>SQRT(1+(A628/pole1)^2)</f>
        <v>100.13603370849955</v>
      </c>
      <c r="D628" s="374">
        <f>ATAN(A628/pole1)</f>
        <v>1.5608097456899217</v>
      </c>
      <c r="E628" s="374">
        <f>SQRT(1+(A628/Zero1)^2)</f>
        <v>1.0051605799139616</v>
      </c>
      <c r="F628" s="375">
        <f>ATAN(A628/Zero1)</f>
        <v>0.10137538380207027</v>
      </c>
      <c r="G628" s="364">
        <f t="shared" si="281"/>
        <v>1.4142135623730951</v>
      </c>
      <c r="H628" s="365">
        <f t="shared" si="282"/>
        <v>-0.78539816339744828</v>
      </c>
      <c r="I628" s="381">
        <f>SQRT(1+(A628/Pole2)^2)</f>
        <v>20414.093043822671</v>
      </c>
      <c r="J628" s="382">
        <f>ATAN(A628/Pole2)</f>
        <v>1.5707473410281396</v>
      </c>
      <c r="K628" s="374">
        <f>SQRT(1+(A628/Zero2)^2)</f>
        <v>69.281325719641814</v>
      </c>
      <c r="L628" s="375">
        <f>ATAN(A628/Zero2)</f>
        <v>1.5563619216244036</v>
      </c>
      <c r="M628" s="363">
        <f>SQRT(1+(A628/pole4)^2)</f>
        <v>1.0228787110057427</v>
      </c>
      <c r="N628" s="366">
        <f>ATAN(A628/pole4)</f>
        <v>0.2119002808469661</v>
      </c>
      <c r="O628" s="381">
        <f>SQRT((1-(A628^2/(pole3^2)))^2+(A628/(Q*pole3))^2)</f>
        <v>1.0000647604930175</v>
      </c>
      <c r="P628" s="368">
        <f>ATAN((A628/(Q*pole3))/(1-A628^2/pole3^2))</f>
        <v>6.4619279566909993E-2</v>
      </c>
      <c r="Q628" s="369">
        <f t="shared" si="283"/>
        <v>-3.9896472122829314</v>
      </c>
      <c r="R628" s="370">
        <f t="shared" si="284"/>
        <v>-145.28705716144455</v>
      </c>
      <c r="S628" s="372">
        <f>IF(R628&gt;0,R628,R628+180)</f>
        <v>34.712942838555449</v>
      </c>
      <c r="T628" s="345" t="s">
        <v>612</v>
      </c>
      <c r="X628" s="379"/>
      <c r="Y628" s="379"/>
      <c r="AA628" s="371">
        <f t="shared" si="285"/>
        <v>29.537639086610142</v>
      </c>
      <c r="AB628" s="372">
        <f t="shared" si="286"/>
        <v>-132.32184155810199</v>
      </c>
    </row>
    <row r="629" spans="1:28" x14ac:dyDescent="0.3">
      <c r="A629" s="441">
        <f>Fp2_u</f>
        <v>62713.6417533817</v>
      </c>
      <c r="Q629" s="369">
        <v>-25</v>
      </c>
    </row>
    <row r="631" spans="1:28" x14ac:dyDescent="0.3">
      <c r="D631" s="345" t="s">
        <v>509</v>
      </c>
      <c r="E631" s="345" t="s">
        <v>510</v>
      </c>
    </row>
    <row r="632" spans="1:28" x14ac:dyDescent="0.3">
      <c r="A632" s="345" t="s">
        <v>482</v>
      </c>
      <c r="B632" s="345" t="s">
        <v>609</v>
      </c>
      <c r="C632" s="385">
        <f>pole1</f>
        <v>134.7392080547589</v>
      </c>
      <c r="D632" s="385">
        <f>Q622</f>
        <v>35.051870476789333</v>
      </c>
      <c r="E632" s="385">
        <f>AA622</f>
        <v>63.485137966326313</v>
      </c>
    </row>
    <row r="633" spans="1:28" x14ac:dyDescent="0.3">
      <c r="A633" s="345" t="s">
        <v>477</v>
      </c>
      <c r="B633" s="345" t="s">
        <v>621</v>
      </c>
      <c r="C633" s="385">
        <f>Zero1</f>
        <v>132629.11939479699</v>
      </c>
      <c r="D633" s="385">
        <f>Q623</f>
        <v>-11.388180901373964</v>
      </c>
      <c r="E633" s="385">
        <f>AA623</f>
        <v>29.325403456443205</v>
      </c>
    </row>
    <row r="634" spans="1:28" x14ac:dyDescent="0.3">
      <c r="A634" s="345" t="s">
        <v>485</v>
      </c>
      <c r="B634" s="345" t="s">
        <v>622</v>
      </c>
      <c r="C634" s="385">
        <f>Pole2</f>
        <v>0.66089524865232363</v>
      </c>
      <c r="D634" s="385">
        <f>Q624</f>
        <v>79.540120442585831</v>
      </c>
      <c r="E634" s="385">
        <f>AA624</f>
        <v>66.49489588310071</v>
      </c>
    </row>
    <row r="635" spans="1:28" x14ac:dyDescent="0.3">
      <c r="A635" s="345" t="s">
        <v>480</v>
      </c>
      <c r="B635" s="345" t="s">
        <v>623</v>
      </c>
      <c r="C635" s="385">
        <f>Zero2</f>
        <v>194.75641614507632</v>
      </c>
      <c r="D635" s="385">
        <f>Q625</f>
        <v>31.275848751282901</v>
      </c>
      <c r="E635" s="385">
        <f>AA625</f>
        <v>61.597349073990635</v>
      </c>
    </row>
    <row r="636" spans="1:28" x14ac:dyDescent="0.3">
      <c r="A636" s="345" t="s">
        <v>478</v>
      </c>
      <c r="B636" s="345" t="s">
        <v>620</v>
      </c>
      <c r="C636" s="345">
        <f>pole3</f>
        <v>300000</v>
      </c>
      <c r="D636" s="385">
        <f>Q626</f>
        <v>-15.898217431650316</v>
      </c>
      <c r="E636" s="385">
        <f>AA626</f>
        <v>31.214430676262459</v>
      </c>
    </row>
    <row r="637" spans="1:28" x14ac:dyDescent="0.3">
      <c r="A637" s="345" t="s">
        <v>608</v>
      </c>
      <c r="B637" s="345" t="s">
        <v>624</v>
      </c>
      <c r="C637" s="441">
        <f>z_RHP</f>
        <v>13491.577082021624</v>
      </c>
      <c r="D637" s="385">
        <f>Q628</f>
        <v>-3.9896472122829314</v>
      </c>
      <c r="E637" s="385">
        <f>AA628</f>
        <v>29.537639086610142</v>
      </c>
    </row>
    <row r="639" spans="1:28" x14ac:dyDescent="0.3">
      <c r="A639" s="385">
        <f>Q4*1000</f>
        <v>6839.55</v>
      </c>
    </row>
    <row r="640" spans="1:28" x14ac:dyDescent="0.3">
      <c r="A640" s="385">
        <f>Q4*1000</f>
        <v>6839.55</v>
      </c>
    </row>
    <row r="687" spans="30:31" x14ac:dyDescent="0.3">
      <c r="AD687" t="s">
        <v>48</v>
      </c>
      <c r="AE687" s="4">
        <f>SUM(AE689:AE1306)</f>
        <v>0</v>
      </c>
    </row>
  </sheetData>
  <mergeCells count="20">
    <mergeCell ref="B10:B11"/>
    <mergeCell ref="A2:D2"/>
    <mergeCell ref="J2:L2"/>
    <mergeCell ref="M2:O2"/>
    <mergeCell ref="A10:A12"/>
    <mergeCell ref="O10:P10"/>
    <mergeCell ref="P2:R2"/>
    <mergeCell ref="G11:H11"/>
    <mergeCell ref="E2:G2"/>
    <mergeCell ref="C10:H10"/>
    <mergeCell ref="I10:N10"/>
    <mergeCell ref="Q10:S10"/>
    <mergeCell ref="X10:Y10"/>
    <mergeCell ref="AA10:AB10"/>
    <mergeCell ref="C11:D11"/>
    <mergeCell ref="E11:F11"/>
    <mergeCell ref="I11:J11"/>
    <mergeCell ref="K11:L11"/>
    <mergeCell ref="M11:N11"/>
    <mergeCell ref="O11:P11"/>
  </mergeCells>
  <phoneticPr fontId="98" type="noConversion"/>
  <pageMargins left="0.75" right="0.75" top="1" bottom="1" header="0.5" footer="0.5"/>
  <pageSetup scale="48" orientation="portrait" horizontalDpi="300" verticalDpi="300" r:id="rId1"/>
  <headerFooter alignWithMargins="0"/>
  <colBreaks count="1" manualBreakCount="1">
    <brk id="19" max="1048575" man="1"/>
  </colBreaks>
  <ignoredErrors>
    <ignoredError sqref="F13 A628" 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159"/>
  <sheetViews>
    <sheetView workbookViewId="0">
      <selection activeCell="N19" sqref="N19"/>
    </sheetView>
  </sheetViews>
  <sheetFormatPr defaultRowHeight="12.45" x14ac:dyDescent="0.3"/>
  <cols>
    <col min="1" max="1" width="17.3046875" customWidth="1"/>
    <col min="2" max="2" width="12" bestFit="1" customWidth="1"/>
    <col min="3" max="4" width="12.3828125" bestFit="1" customWidth="1"/>
    <col min="7" max="8" width="12.3828125" bestFit="1" customWidth="1"/>
    <col min="13" max="13" width="12.15234375" customWidth="1"/>
    <col min="14" max="14" width="12.3828125" bestFit="1" customWidth="1"/>
    <col min="15" max="15" width="15.3828125" customWidth="1"/>
  </cols>
  <sheetData>
    <row r="2" spans="1:16" x14ac:dyDescent="0.3">
      <c r="A2" t="s">
        <v>193</v>
      </c>
      <c r="B2" t="s">
        <v>183</v>
      </c>
      <c r="C2" t="s">
        <v>33</v>
      </c>
      <c r="D2" t="s">
        <v>34</v>
      </c>
      <c r="E2" t="s">
        <v>27</v>
      </c>
      <c r="F2" t="s">
        <v>61</v>
      </c>
      <c r="G2" s="118" t="s">
        <v>438</v>
      </c>
      <c r="H2" s="118" t="s">
        <v>464</v>
      </c>
      <c r="I2" t="s">
        <v>191</v>
      </c>
      <c r="J2" t="s">
        <v>204</v>
      </c>
    </row>
    <row r="3" spans="1:16" x14ac:dyDescent="0.3">
      <c r="A3" t="s">
        <v>196</v>
      </c>
      <c r="B3">
        <f>Css</f>
        <v>3.1250000000000003E-7</v>
      </c>
      <c r="C3">
        <f>Cc1ea</f>
        <v>1.1452205811262976E-8</v>
      </c>
      <c r="D3">
        <f>Cc2ea</f>
        <v>1.3310681292533198E-11</v>
      </c>
      <c r="E3">
        <f>Cout</f>
        <v>5.9999999999999995E-4</v>
      </c>
      <c r="F3">
        <f>Cin</f>
        <v>1E-4</v>
      </c>
      <c r="G3">
        <f>Csideal*10^-12</f>
        <v>4.3999999999999993E-10</v>
      </c>
      <c r="H3">
        <f>N19</f>
        <v>1.0001600256040966E-8</v>
      </c>
      <c r="I3">
        <f>Csb</f>
        <v>4166</v>
      </c>
      <c r="J3">
        <f>Csby</f>
        <v>1.0001600256040966E-8</v>
      </c>
      <c r="M3" t="s">
        <v>198</v>
      </c>
      <c r="N3" t="s">
        <v>199</v>
      </c>
      <c r="O3" s="2" t="s">
        <v>195</v>
      </c>
    </row>
    <row r="4" spans="1:16" ht="12.9" x14ac:dyDescent="0.35">
      <c r="A4" s="7" t="s">
        <v>195</v>
      </c>
      <c r="B4" s="7">
        <f>SUM(B6:B158)/1000000000000</f>
        <v>3.3000000000000002E-7</v>
      </c>
      <c r="C4" s="7">
        <f>SUM(C6:C158)/1000000000000000</f>
        <v>1.2000000000000001E-11</v>
      </c>
      <c r="D4" s="7">
        <f>SUM(D6:D158)/1000000000000</f>
        <v>1.2000000000000001E-11</v>
      </c>
      <c r="E4" s="7">
        <f>SUM(E6:E158)/1000000000000</f>
        <v>5.5999999999999995E-4</v>
      </c>
      <c r="F4" s="7">
        <f>SUM(F6:F158)/1000000000000</f>
        <v>1E-4</v>
      </c>
      <c r="G4" s="7">
        <f>SUM(G6:G158)/1000000000000</f>
        <v>4.7000000000000003E-10</v>
      </c>
      <c r="H4" s="7">
        <f t="shared" ref="H4:J4" si="0">IF(H3="OPEN","OPEN",SUM(H6:H158)/1000000000000)</f>
        <v>1E-8</v>
      </c>
      <c r="I4" s="7">
        <f t="shared" si="0"/>
        <v>0</v>
      </c>
      <c r="J4" s="7">
        <f t="shared" si="0"/>
        <v>1E-8</v>
      </c>
      <c r="M4" s="118" t="s">
        <v>359</v>
      </c>
      <c r="N4">
        <f>Rfadj</f>
        <v>12729.885057471263</v>
      </c>
      <c r="O4" s="2">
        <f t="shared" ref="O4:O9" si="1">IF(N4&gt;(INT(0.5+100*POWER(10,IF(96*(LOG(N4)-INT(LOG(N4)))-ROUND(96*(LOG(N4)-INT(LOG(N4))),0)&lt;0,ROUND(96*(LOG(N4)-INT(LOG(N4))),0)-1,ROUND(96*(LOG(N4)-INT(LOG(N4))),0))/96))*POWER(10,INT(LOG(N4))-2)+INT(0.5+100*POWER(10,(IF(96*(LOG(N4)-INT(LOG(N4)))-ROUND(96*(LOG(N4)-INT(LOG(N4))),0)&lt;0,ROUND(96*(LOG(N4)-INT(LOG(N4))),0)-1,ROUND(96*(LOG(N4)-INT(LOG(N4))),0))+1)/96))*POWER(10,INT(LOG(N4))-2))/2,INT(0.5+100*POWER(10,(IF(96*(LOG(N4)-INT(LOG(N4)))-ROUND(96*(LOG(N4)-INT(LOG(N4))),0)&lt;0,ROUND(96*(LOG(N4)-INT(LOG(N4))),0)-1,ROUND(96*(LOG(N4)-INT(LOG(N4))),0))+1)/96))*POWER(10,INT(LOG(N4))-2),INT(0.5+100*POWER(10,IF(96*(LOG(N4)-INT(LOG(N4)))-ROUND(96*(LOG(N4)-INT(LOG(N4))),0)&lt;0,ROUND(96*(LOG(N4)-INT(LOG(N4))),0)-1,ROUND(96*(LOG(N4)-INT(LOG(N4))),0))/96))*POWER(10,INT(LOG(N4))-2))</f>
        <v>12700</v>
      </c>
      <c r="P4" s="45" t="s">
        <v>347</v>
      </c>
    </row>
    <row r="5" spans="1:16" ht="12.9" x14ac:dyDescent="0.35">
      <c r="A5" t="s">
        <v>194</v>
      </c>
      <c r="O5" s="2"/>
      <c r="P5" s="45"/>
    </row>
    <row r="6" spans="1:16" ht="12.9" x14ac:dyDescent="0.35">
      <c r="A6">
        <v>0.47</v>
      </c>
      <c r="B6">
        <f t="shared" ref="B6:J6" si="2">IF(IF((B$3*10^12-$A7)*(B$3*10^12-$A6)*-1&lt;0,0,1)*IF(ABS(B$3*10^12-$A7)&gt;(B$3*10^12-$A6),$A6,$A7)=B7,0,IF((B$3*10^12-$A7)*(B$3*10^12-$A6)*-1&lt;0,0,1)*IF(ABS(B$3*10^12-$A7)&gt;(B$3*10^12-$A6),$A6,$A7))</f>
        <v>0</v>
      </c>
      <c r="C6">
        <f t="shared" si="2"/>
        <v>0</v>
      </c>
      <c r="D6">
        <f t="shared" si="2"/>
        <v>0</v>
      </c>
      <c r="E6">
        <f t="shared" si="2"/>
        <v>0</v>
      </c>
      <c r="F6">
        <f t="shared" si="2"/>
        <v>0</v>
      </c>
      <c r="G6">
        <f t="shared" si="2"/>
        <v>0</v>
      </c>
      <c r="H6">
        <f t="shared" si="2"/>
        <v>0</v>
      </c>
      <c r="I6">
        <f t="shared" si="2"/>
        <v>0</v>
      </c>
      <c r="J6">
        <f t="shared" si="2"/>
        <v>0</v>
      </c>
      <c r="M6" s="118" t="s">
        <v>454</v>
      </c>
      <c r="N6" s="53">
        <f>Rshunt</f>
        <v>2.5</v>
      </c>
      <c r="O6" s="2">
        <f t="shared" si="1"/>
        <v>2.4900000000000002</v>
      </c>
      <c r="P6" s="45" t="s">
        <v>347</v>
      </c>
    </row>
    <row r="7" spans="1:16" ht="12.9" x14ac:dyDescent="0.35">
      <c r="A7">
        <v>0.56000000000000005</v>
      </c>
      <c r="B7">
        <f t="shared" ref="B7:B70" si="3">IF(IF((B$3*10^12-$A8)*(B$3*10^12-$A7)*-1&lt;0,0,1)*IF(ABS(B$3*10^12-$A8)&gt;(B$3*10^12-$A7),$A7,$A8)=B8,0,IF((B$3*10^12-$A8)*(B$3*10^12-$A7)*-1&lt;0,0,1)*IF(ABS(B$3*10^12-$A8)&gt;(B$3*10^12-$A7),$A7,$A8))</f>
        <v>0</v>
      </c>
      <c r="C7">
        <f t="shared" ref="C7:C38" si="4">IF(IF((C$3*10^12-$A8)*(C$3*10^12-$A7)*-1&lt;0,0,1)*IF(ABS(C$3*10^12-$A8)&gt;(C$3*10^12-$A7),$A7,$A8)=C8,0,IF((C$3*10^12-$A8)*(C$3*10^12-$A7)*-1&lt;0,0,1)*IF(ABS(C$3*10^12-$A8)&gt;(C$3*10^12-$A7),$A7,$A8))</f>
        <v>0</v>
      </c>
      <c r="D7">
        <f t="shared" ref="D7:D69" si="5">IF(IF((D$3*10^12-$A8)*(D$3*10^12-$A7)*-1&lt;0,0,1)*IF(ABS(D$3*10^12-$A8)&gt;(D$3*10^12-$A7),$A7,$A8)=D8,0,IF((D$3*10^12-$A8)*(D$3*10^12-$A7)*-1&lt;0,0,1)*IF(ABS(D$3*10^12-$A8)&gt;(D$3*10^12-$A7),$A7,$A8))</f>
        <v>0</v>
      </c>
      <c r="E7">
        <f t="shared" ref="E7:E69" si="6">IF(IF((E$3*10^12-$A8)*(E$3*10^12-$A7)*-1&lt;0,0,1)*IF(ABS(E$3*10^12-$A8)&gt;(E$3*10^12-$A7),$A7,$A8)=E8,0,IF((E$3*10^12-$A8)*(E$3*10^12-$A7)*-1&lt;0,0,1)*IF(ABS(E$3*10^12-$A8)&gt;(E$3*10^12-$A7),$A7,$A8))</f>
        <v>0</v>
      </c>
      <c r="F7">
        <f t="shared" ref="F7:F69" si="7">IF(IF((F$3*10^12-$A8)*(F$3*10^12-$A7)*-1&lt;0,0,1)*IF(ABS(F$3*10^12-$A8)&gt;(F$3*10^12-$A7),$A7,$A8)=F8,0,IF((F$3*10^12-$A8)*(F$3*10^12-$A7)*-1&lt;0,0,1)*IF(ABS(F$3*10^12-$A8)&gt;(F$3*10^12-$A7),$A7,$A8))</f>
        <v>0</v>
      </c>
      <c r="G7">
        <f t="shared" ref="G7:J69" si="8">IF(IF((G$3*10^12-$A8)*(G$3*10^12-$A7)*-1&lt;0,0,1)*IF(ABS(G$3*10^12-$A8)&gt;(G$3*10^12-$A7),$A7,$A8)=G8,0,IF((G$3*10^12-$A8)*(G$3*10^12-$A7)*-1&lt;0,0,1)*IF(ABS(G$3*10^12-$A8)&gt;(G$3*10^12-$A7),$A7,$A8))</f>
        <v>0</v>
      </c>
      <c r="H7">
        <f t="shared" si="8"/>
        <v>0</v>
      </c>
      <c r="I7">
        <f t="shared" si="8"/>
        <v>0</v>
      </c>
      <c r="J7">
        <f t="shared" si="8"/>
        <v>0</v>
      </c>
      <c r="M7" t="s">
        <v>215</v>
      </c>
      <c r="N7">
        <f>Rcea1</f>
        <v>68761.562755319464</v>
      </c>
      <c r="O7" s="2">
        <f t="shared" si="1"/>
        <v>68100</v>
      </c>
      <c r="P7" s="45" t="s">
        <v>347</v>
      </c>
    </row>
    <row r="8" spans="1:16" ht="12.9" x14ac:dyDescent="0.35">
      <c r="A8">
        <v>0.68</v>
      </c>
      <c r="B8">
        <f t="shared" si="3"/>
        <v>0</v>
      </c>
      <c r="C8">
        <f t="shared" si="4"/>
        <v>0</v>
      </c>
      <c r="D8">
        <f t="shared" si="5"/>
        <v>0</v>
      </c>
      <c r="E8">
        <f t="shared" si="6"/>
        <v>0</v>
      </c>
      <c r="F8">
        <f t="shared" si="7"/>
        <v>0</v>
      </c>
      <c r="G8">
        <f t="shared" si="8"/>
        <v>0</v>
      </c>
      <c r="H8">
        <f t="shared" si="8"/>
        <v>0</v>
      </c>
      <c r="I8">
        <f t="shared" si="8"/>
        <v>0</v>
      </c>
      <c r="J8">
        <f t="shared" si="8"/>
        <v>0</v>
      </c>
      <c r="O8" s="2"/>
      <c r="P8" s="45"/>
    </row>
    <row r="9" spans="1:16" ht="12.9" x14ac:dyDescent="0.35">
      <c r="A9">
        <v>0.82</v>
      </c>
      <c r="B9">
        <f t="shared" si="3"/>
        <v>0</v>
      </c>
      <c r="C9">
        <f t="shared" si="4"/>
        <v>0</v>
      </c>
      <c r="D9">
        <f t="shared" si="5"/>
        <v>0</v>
      </c>
      <c r="E9">
        <f t="shared" si="6"/>
        <v>0</v>
      </c>
      <c r="F9">
        <f t="shared" si="7"/>
        <v>0</v>
      </c>
      <c r="G9">
        <f t="shared" si="8"/>
        <v>0</v>
      </c>
      <c r="H9">
        <f t="shared" si="8"/>
        <v>0</v>
      </c>
      <c r="I9">
        <f t="shared" si="8"/>
        <v>0</v>
      </c>
      <c r="J9">
        <f t="shared" si="8"/>
        <v>0</v>
      </c>
      <c r="M9" t="s">
        <v>31</v>
      </c>
      <c r="N9">
        <f>Rfb1_</f>
        <v>100000</v>
      </c>
      <c r="O9" s="2">
        <f t="shared" si="1"/>
        <v>100000</v>
      </c>
      <c r="P9" s="45" t="s">
        <v>347</v>
      </c>
    </row>
    <row r="10" spans="1:16" ht="12.9" x14ac:dyDescent="0.35">
      <c r="A10">
        <v>1</v>
      </c>
      <c r="B10">
        <f t="shared" si="3"/>
        <v>0</v>
      </c>
      <c r="C10">
        <f t="shared" si="4"/>
        <v>0</v>
      </c>
      <c r="D10">
        <f t="shared" si="5"/>
        <v>0</v>
      </c>
      <c r="E10">
        <f t="shared" si="6"/>
        <v>0</v>
      </c>
      <c r="F10">
        <f t="shared" si="7"/>
        <v>0</v>
      </c>
      <c r="G10">
        <f t="shared" si="8"/>
        <v>0</v>
      </c>
      <c r="H10">
        <f t="shared" si="8"/>
        <v>0</v>
      </c>
      <c r="I10">
        <f t="shared" si="8"/>
        <v>0</v>
      </c>
      <c r="J10">
        <f t="shared" si="8"/>
        <v>0</v>
      </c>
      <c r="M10" t="s">
        <v>43</v>
      </c>
      <c r="N10">
        <f>Rfb2_</f>
        <v>1694.9152542372881</v>
      </c>
      <c r="O10" s="2">
        <f>IF(N10="OPEN","OPEN",IF(N10&gt;(INT(0.5+100*POWER(10,IF(96*(LOG(N10)-INT(LOG(N10)))-ROUND(96*(LOG(N10)-INT(LOG(N10))),0)&lt;0,ROUND(96*(LOG(N10)-INT(LOG(N10))),0)-1,ROUND(96*(LOG(N10)-INT(LOG(N10))),0))/96))*POWER(10,INT(LOG(N10))-2)+INT(0.5+100*POWER(10,(IF(96*(LOG(N10)-INT(LOG(N10)))-ROUND(96*(LOG(N10)-INT(LOG(N10))),0)&lt;0,ROUND(96*(LOG(N10)-INT(LOG(N10))),0)-1,ROUND(96*(LOG(N10)-INT(LOG(N10))),0))+1)/96))*POWER(10,INT(LOG(N10))-2))/2,INT(0.5+100*POWER(10,(IF(96*(LOG(N10)-INT(LOG(N10)))-ROUND(96*(LOG(N10)-INT(LOG(N10))),0)&lt;0,ROUND(96*(LOG(N10)-INT(LOG(N10))),0)-1,ROUND(96*(LOG(N10)-INT(LOG(N10))),0))+1)/96))*POWER(10,INT(LOG(N10))-2),INT(0.5+100*POWER(10,IF(96*(LOG(N10)-INT(LOG(N10)))-ROUND(96*(LOG(N10)-INT(LOG(N10))),0)&lt;0,ROUND(96*(LOG(N10)-INT(LOG(N10))),0)-1,ROUND(96*(LOG(N10)-INT(LOG(N10))),0))/96))*POWER(10,INT(LOG(N10))-2)))</f>
        <v>1690</v>
      </c>
      <c r="P10" s="45" t="s">
        <v>347</v>
      </c>
    </row>
    <row r="11" spans="1:16" x14ac:dyDescent="0.3">
      <c r="A11">
        <v>1.2</v>
      </c>
      <c r="B11">
        <f t="shared" si="3"/>
        <v>0</v>
      </c>
      <c r="C11">
        <f t="shared" si="4"/>
        <v>0</v>
      </c>
      <c r="D11">
        <f t="shared" si="5"/>
        <v>0</v>
      </c>
      <c r="E11">
        <f t="shared" si="6"/>
        <v>0</v>
      </c>
      <c r="F11">
        <f t="shared" si="7"/>
        <v>0</v>
      </c>
      <c r="G11">
        <f t="shared" si="8"/>
        <v>0</v>
      </c>
      <c r="H11">
        <f t="shared" si="8"/>
        <v>0</v>
      </c>
      <c r="I11">
        <f t="shared" si="8"/>
        <v>0</v>
      </c>
      <c r="J11">
        <f t="shared" si="8"/>
        <v>0</v>
      </c>
      <c r="O11" s="2"/>
    </row>
    <row r="12" spans="1:16" x14ac:dyDescent="0.3">
      <c r="A12">
        <v>1.5</v>
      </c>
      <c r="B12">
        <f t="shared" si="3"/>
        <v>0</v>
      </c>
      <c r="C12">
        <f t="shared" si="4"/>
        <v>0</v>
      </c>
      <c r="D12">
        <f t="shared" si="5"/>
        <v>0</v>
      </c>
      <c r="E12">
        <f t="shared" si="6"/>
        <v>0</v>
      </c>
      <c r="F12">
        <f t="shared" si="7"/>
        <v>0</v>
      </c>
      <c r="G12">
        <f t="shared" si="8"/>
        <v>0</v>
      </c>
      <c r="H12">
        <f t="shared" si="8"/>
        <v>0</v>
      </c>
      <c r="I12">
        <f t="shared" si="8"/>
        <v>0</v>
      </c>
      <c r="J12">
        <f t="shared" si="8"/>
        <v>0</v>
      </c>
      <c r="O12" s="2"/>
    </row>
    <row r="13" spans="1:16" ht="12.9" x14ac:dyDescent="0.35">
      <c r="A13">
        <v>1.8</v>
      </c>
      <c r="B13">
        <f t="shared" si="3"/>
        <v>0</v>
      </c>
      <c r="C13">
        <f t="shared" si="4"/>
        <v>0</v>
      </c>
      <c r="D13">
        <f t="shared" si="5"/>
        <v>0</v>
      </c>
      <c r="E13">
        <f t="shared" si="6"/>
        <v>0</v>
      </c>
      <c r="F13">
        <f t="shared" si="7"/>
        <v>0</v>
      </c>
      <c r="G13">
        <f t="shared" si="8"/>
        <v>0</v>
      </c>
      <c r="H13">
        <f t="shared" si="8"/>
        <v>0</v>
      </c>
      <c r="I13">
        <f t="shared" si="8"/>
        <v>0</v>
      </c>
      <c r="J13">
        <f t="shared" si="8"/>
        <v>0</v>
      </c>
      <c r="M13" s="118" t="s">
        <v>200</v>
      </c>
      <c r="N13">
        <f>Rs_ideal*1000</f>
        <v>1.112913068598659</v>
      </c>
      <c r="O13" s="2">
        <f>IF(N13=0,0,IF(N13&gt;(INT(0.5+100*POWER(10,IF(96*(LOG(N13)-INT(LOG(N13)))-ROUND(96*(LOG(N13)-INT(LOG(N13))),0)&lt;0,ROUND(96*(LOG(N13)-INT(LOG(N13))),0)-1,ROUND(96*(LOG(N13)-INT(LOG(N13))),0))/96))*POWER(10,INT(LOG(N13))-2)+INT(0.5+100*POWER(10,(IF(96*(LOG(N13)-INT(LOG(N13)))-ROUND(96*(LOG(N13)-INT(LOG(N13))),0)&lt;0,ROUND(96*(LOG(N13)-INT(LOG(N13))),0)-1,ROUND(96*(LOG(N13)-INT(LOG(N13))),0))+1)/96))*POWER(10,INT(LOG(N13))-2))/2,INT(0.5+100*POWER(10,(IF(96*(LOG(N13)-INT(LOG(N13)))-ROUND(96*(LOG(N13)-INT(LOG(N13))),0)&lt;0,ROUND(96*(LOG(N13)-INT(LOG(N13))),0)-1,ROUND(96*(LOG(N13)-INT(LOG(N13))),0))+1)/96))*POWER(10,INT(LOG(N13))-2),INT(0.5+100*POWER(10,IF(96*(LOG(N13)-INT(LOG(N13)))-ROUND(96*(LOG(N13)-INT(LOG(N13))),0)&lt;0,ROUND(96*(LOG(N13)-INT(LOG(N13))),0)-1,ROUND(96*(LOG(N13)-INT(LOG(N13))),0))/96))*POWER(10,INT(LOG(N13))-2)))</f>
        <v>1.1000000000000001</v>
      </c>
      <c r="P13" s="45" t="s">
        <v>437</v>
      </c>
    </row>
    <row r="14" spans="1:16" x14ac:dyDescent="0.3">
      <c r="A14">
        <v>2.2000000000000002</v>
      </c>
      <c r="B14">
        <f t="shared" ref="B14:J14" si="9">IF(IF((B$3*10^12-$A15)*(B$3*10^12-$A14)*-1&lt;0,0,1)*IF(ABS(B$3*10^12-$A15)&gt;(B$3*10^12-$A14),$A14,$A15)=B15,0,IF((B$3*10^12-$A15)*(B$3*10^12-$A14)*-1&lt;0,0,1)*IF(ABS(B$3*10^12-$A15)&gt;(B$3*10^12-$A14),$A14,$A15))</f>
        <v>0</v>
      </c>
      <c r="C14">
        <f t="shared" si="9"/>
        <v>0</v>
      </c>
      <c r="D14">
        <f t="shared" si="9"/>
        <v>0</v>
      </c>
      <c r="E14">
        <f t="shared" si="9"/>
        <v>0</v>
      </c>
      <c r="F14">
        <f t="shared" si="9"/>
        <v>0</v>
      </c>
      <c r="G14">
        <f t="shared" si="9"/>
        <v>0</v>
      </c>
      <c r="H14">
        <f t="shared" si="9"/>
        <v>0</v>
      </c>
      <c r="I14">
        <f t="shared" si="9"/>
        <v>0</v>
      </c>
      <c r="J14">
        <f t="shared" si="9"/>
        <v>0</v>
      </c>
      <c r="M14" s="118" t="s">
        <v>436</v>
      </c>
      <c r="N14">
        <f>Cslope_ideal</f>
        <v>439.99999999999994</v>
      </c>
      <c r="O14">
        <f>G4*1000000000000</f>
        <v>470.00000000000006</v>
      </c>
      <c r="P14" s="118" t="s">
        <v>32</v>
      </c>
    </row>
    <row r="15" spans="1:16" x14ac:dyDescent="0.3">
      <c r="A15">
        <v>2.7</v>
      </c>
      <c r="B15">
        <f t="shared" si="3"/>
        <v>0</v>
      </c>
      <c r="C15">
        <f t="shared" si="4"/>
        <v>0</v>
      </c>
      <c r="D15">
        <f t="shared" si="5"/>
        <v>0</v>
      </c>
      <c r="E15">
        <f t="shared" si="6"/>
        <v>0</v>
      </c>
      <c r="F15">
        <f t="shared" si="7"/>
        <v>0</v>
      </c>
      <c r="G15">
        <f t="shared" si="8"/>
        <v>0</v>
      </c>
      <c r="H15">
        <f t="shared" si="8"/>
        <v>0</v>
      </c>
      <c r="I15">
        <f t="shared" si="8"/>
        <v>0</v>
      </c>
      <c r="J15">
        <f t="shared" si="8"/>
        <v>0</v>
      </c>
    </row>
    <row r="16" spans="1:16" ht="12.9" x14ac:dyDescent="0.35">
      <c r="A16">
        <v>3.3</v>
      </c>
      <c r="B16">
        <f t="shared" si="3"/>
        <v>0</v>
      </c>
      <c r="C16">
        <f t="shared" si="4"/>
        <v>0</v>
      </c>
      <c r="D16">
        <f t="shared" si="5"/>
        <v>0</v>
      </c>
      <c r="E16">
        <f t="shared" si="6"/>
        <v>0</v>
      </c>
      <c r="F16">
        <f t="shared" si="7"/>
        <v>0</v>
      </c>
      <c r="G16">
        <f t="shared" si="8"/>
        <v>0</v>
      </c>
      <c r="H16">
        <f t="shared" si="8"/>
        <v>0</v>
      </c>
      <c r="I16">
        <f t="shared" si="8"/>
        <v>0</v>
      </c>
      <c r="J16">
        <f t="shared" si="8"/>
        <v>0</v>
      </c>
      <c r="M16" s="118" t="s">
        <v>340</v>
      </c>
      <c r="N16">
        <f>Ruvlo1</f>
        <v>249</v>
      </c>
      <c r="O16" s="2">
        <f>IF(N16="OPEN","OPEN",IF(N16&gt;(INT(0.5+100*POWER(10,IF(96*(LOG(N16)-INT(LOG(N16)))-ROUND(96*(LOG(N16)-INT(LOG(N16))),0)&lt;0,ROUND(96*(LOG(N16)-INT(LOG(N16))),0)-1,ROUND(96*(LOG(N16)-INT(LOG(N16))),0))/96))*POWER(10,INT(LOG(N16))-2)+INT(0.5+100*POWER(10,(IF(96*(LOG(N16)-INT(LOG(N16)))-ROUND(96*(LOG(N16)-INT(LOG(N16))),0)&lt;0,ROUND(96*(LOG(N16)-INT(LOG(N16))),0)-1,ROUND(96*(LOG(N16)-INT(LOG(N16))),0))+1)/96))*POWER(10,INT(LOG(N16))-2))/2,INT(0.5+100*POWER(10,(IF(96*(LOG(N16)-INT(LOG(N16)))-ROUND(96*(LOG(N16)-INT(LOG(N16))),0)&lt;0,ROUND(96*(LOG(N16)-INT(LOG(N16))),0)-1,ROUND(96*(LOG(N16)-INT(LOG(N16))),0))+1)/96))*POWER(10,INT(LOG(N16))-2),INT(0.5+100*POWER(10,IF(96*(LOG(N16)-INT(LOG(N16)))-ROUND(96*(LOG(N16)-INT(LOG(N16))),0)&lt;0,ROUND(96*(LOG(N16)-INT(LOG(N16))),0)-1,ROUND(96*(LOG(N16)-INT(LOG(N16))),0))/96))*POWER(10,INT(LOG(N16))-2)))</f>
        <v>249</v>
      </c>
      <c r="P16" s="45" t="s">
        <v>309</v>
      </c>
    </row>
    <row r="17" spans="1:16" ht="12.9" x14ac:dyDescent="0.35">
      <c r="A17">
        <v>3.9</v>
      </c>
      <c r="B17">
        <f t="shared" si="3"/>
        <v>0</v>
      </c>
      <c r="C17">
        <f t="shared" si="4"/>
        <v>0</v>
      </c>
      <c r="D17">
        <f t="shared" si="5"/>
        <v>0</v>
      </c>
      <c r="E17">
        <f t="shared" si="6"/>
        <v>0</v>
      </c>
      <c r="F17">
        <f t="shared" si="7"/>
        <v>0</v>
      </c>
      <c r="G17">
        <f t="shared" si="8"/>
        <v>0</v>
      </c>
      <c r="H17">
        <f t="shared" si="8"/>
        <v>0</v>
      </c>
      <c r="I17">
        <f t="shared" si="8"/>
        <v>0</v>
      </c>
      <c r="J17">
        <f t="shared" si="8"/>
        <v>0</v>
      </c>
      <c r="M17" s="118" t="s">
        <v>341</v>
      </c>
      <c r="N17">
        <f>Ruvlo2</f>
        <v>76.846019579570452</v>
      </c>
      <c r="O17" s="2">
        <f>IF(N17="OPEN","OPEN",IF(N17&gt;(INT(0.5+100*POWER(10,IF(96*(LOG(N17)-INT(LOG(N17)))-ROUND(96*(LOG(N17)-INT(LOG(N17))),0)&lt;0,ROUND(96*(LOG(N17)-INT(LOG(N17))),0)-1,ROUND(96*(LOG(N17)-INT(LOG(N17))),0))/96))*POWER(10,INT(LOG(N17))-2)+INT(0.5+100*POWER(10,(IF(96*(LOG(N17)-INT(LOG(N17)))-ROUND(96*(LOG(N17)-INT(LOG(N17))),0)&lt;0,ROUND(96*(LOG(N17)-INT(LOG(N17))),0)-1,ROUND(96*(LOG(N17)-INT(LOG(N17))),0))+1)/96))*POWER(10,INT(LOG(N17))-2))/2,INT(0.5+100*POWER(10,(IF(96*(LOG(N17)-INT(LOG(N17)))-ROUND(96*(LOG(N17)-INT(LOG(N17))),0)&lt;0,ROUND(96*(LOG(N17)-INT(LOG(N17))),0)-1,ROUND(96*(LOG(N17)-INT(LOG(N17))),0))+1)/96))*POWER(10,INT(LOG(N17))-2),INT(0.5+100*POWER(10,IF(96*(LOG(N17)-INT(LOG(N17)))-ROUND(96*(LOG(N17)-INT(LOG(N17))),0)&lt;0,ROUND(96*(LOG(N17)-INT(LOG(N17))),0)-1,ROUND(96*(LOG(N17)-INT(LOG(N17))),0))/96))*POWER(10,INT(LOG(N17))-2)))</f>
        <v>76.800000000000011</v>
      </c>
      <c r="P17" s="45" t="s">
        <v>309</v>
      </c>
    </row>
    <row r="18" spans="1:16" x14ac:dyDescent="0.3">
      <c r="A18">
        <v>4.7</v>
      </c>
      <c r="B18">
        <f t="shared" si="3"/>
        <v>0</v>
      </c>
      <c r="C18">
        <f t="shared" si="4"/>
        <v>0</v>
      </c>
      <c r="D18">
        <f t="shared" si="5"/>
        <v>0</v>
      </c>
      <c r="E18">
        <f t="shared" si="6"/>
        <v>0</v>
      </c>
      <c r="F18">
        <f t="shared" si="7"/>
        <v>0</v>
      </c>
      <c r="G18">
        <f t="shared" si="8"/>
        <v>0</v>
      </c>
      <c r="H18">
        <f t="shared" si="8"/>
        <v>0</v>
      </c>
      <c r="I18">
        <f t="shared" si="8"/>
        <v>0</v>
      </c>
      <c r="J18">
        <f t="shared" si="8"/>
        <v>0</v>
      </c>
      <c r="O18" s="2"/>
    </row>
    <row r="19" spans="1:16" x14ac:dyDescent="0.3">
      <c r="A19">
        <v>5.6</v>
      </c>
      <c r="B19">
        <f t="shared" si="3"/>
        <v>0</v>
      </c>
      <c r="C19">
        <f t="shared" si="4"/>
        <v>0</v>
      </c>
      <c r="D19">
        <f t="shared" si="5"/>
        <v>0</v>
      </c>
      <c r="E19">
        <f t="shared" si="6"/>
        <v>0</v>
      </c>
      <c r="F19">
        <f t="shared" si="7"/>
        <v>0</v>
      </c>
      <c r="G19">
        <f t="shared" si="8"/>
        <v>0</v>
      </c>
      <c r="H19">
        <f t="shared" si="8"/>
        <v>0</v>
      </c>
      <c r="I19">
        <f t="shared" si="8"/>
        <v>0</v>
      </c>
      <c r="J19">
        <f t="shared" si="8"/>
        <v>0</v>
      </c>
      <c r="M19" s="118" t="s">
        <v>464</v>
      </c>
      <c r="N19">
        <f>Csby</f>
        <v>1.0001600256040966E-8</v>
      </c>
      <c r="O19" s="2">
        <f>H4</f>
        <v>1E-8</v>
      </c>
    </row>
    <row r="20" spans="1:16" x14ac:dyDescent="0.3">
      <c r="A20">
        <v>6.8</v>
      </c>
      <c r="B20">
        <f t="shared" si="3"/>
        <v>0</v>
      </c>
      <c r="C20">
        <f t="shared" si="4"/>
        <v>0</v>
      </c>
      <c r="D20">
        <f t="shared" si="5"/>
        <v>0</v>
      </c>
      <c r="E20">
        <f t="shared" si="6"/>
        <v>0</v>
      </c>
      <c r="F20">
        <f t="shared" si="7"/>
        <v>0</v>
      </c>
      <c r="G20">
        <f t="shared" si="8"/>
        <v>0</v>
      </c>
      <c r="H20">
        <f t="shared" si="8"/>
        <v>0</v>
      </c>
      <c r="I20">
        <f t="shared" si="8"/>
        <v>0</v>
      </c>
      <c r="J20">
        <f t="shared" si="8"/>
        <v>0</v>
      </c>
      <c r="O20" s="2"/>
    </row>
    <row r="21" spans="1:16" ht="12.9" x14ac:dyDescent="0.35">
      <c r="A21">
        <v>8.1999999999999993</v>
      </c>
      <c r="B21">
        <f t="shared" si="3"/>
        <v>0</v>
      </c>
      <c r="C21">
        <f t="shared" si="4"/>
        <v>0</v>
      </c>
      <c r="D21">
        <f t="shared" si="5"/>
        <v>0</v>
      </c>
      <c r="E21">
        <f t="shared" si="6"/>
        <v>0</v>
      </c>
      <c r="F21">
        <f t="shared" si="7"/>
        <v>0</v>
      </c>
      <c r="G21">
        <f t="shared" si="8"/>
        <v>0</v>
      </c>
      <c r="H21">
        <f t="shared" si="8"/>
        <v>0</v>
      </c>
      <c r="I21">
        <f t="shared" si="8"/>
        <v>0</v>
      </c>
      <c r="J21">
        <f t="shared" si="8"/>
        <v>0</v>
      </c>
      <c r="M21" s="118" t="s">
        <v>454</v>
      </c>
      <c r="N21" s="335">
        <f>Rshunt</f>
        <v>2.5</v>
      </c>
      <c r="O21" s="2">
        <f>IF(N21=0,0,IF(N21&gt;(INT(0.5+100*POWER(10,IF(96*(LOG(N21)-INT(LOG(N21)))-ROUND(96*(LOG(N21)-INT(LOG(N21))),0)&lt;0,ROUND(96*(LOG(N21)-INT(LOG(N21))),0)-1,ROUND(96*(LOG(N21)-INT(LOG(N21))),0))/96))*POWER(10,INT(LOG(N21))-2)+INT(0.5+100*POWER(10,(IF(96*(LOG(N21)-INT(LOG(N21)))-ROUND(96*(LOG(N21)-INT(LOG(N21))),0)&lt;0,ROUND(96*(LOG(N21)-INT(LOG(N21))),0)-1,ROUND(96*(LOG(N21)-INT(LOG(N21))),0))+1)/96))*POWER(10,INT(LOG(N21))-2))/2,INT(0.5+100*POWER(10,(IF(96*(LOG(N21)-INT(LOG(N21)))-ROUND(96*(LOG(N21)-INT(LOG(N21))),0)&lt;0,ROUND(96*(LOG(N21)-INT(LOG(N21))),0)-1,ROUND(96*(LOG(N21)-INT(LOG(N21))),0))+1)/96))*POWER(10,INT(LOG(N21))-2),INT(0.5+100*POWER(10,IF(96*(LOG(N21)-INT(LOG(N21)))-ROUND(96*(LOG(N21)-INT(LOG(N21))),0)&lt;0,ROUND(96*(LOG(N21)-INT(LOG(N21))),0)-1,ROUND(96*(LOG(N21)-INT(LOG(N21))),0))/96))*POWER(10,INT(LOG(N21))-2)))</f>
        <v>2.4900000000000002</v>
      </c>
      <c r="P21" s="45" t="s">
        <v>437</v>
      </c>
    </row>
    <row r="22" spans="1:16" x14ac:dyDescent="0.3">
      <c r="A22">
        <v>10</v>
      </c>
      <c r="B22">
        <f t="shared" si="3"/>
        <v>0</v>
      </c>
      <c r="C22">
        <f t="shared" si="4"/>
        <v>0</v>
      </c>
      <c r="D22">
        <f t="shared" si="5"/>
        <v>0</v>
      </c>
      <c r="E22">
        <f t="shared" si="6"/>
        <v>0</v>
      </c>
      <c r="F22">
        <f t="shared" si="7"/>
        <v>0</v>
      </c>
      <c r="G22">
        <f t="shared" si="8"/>
        <v>0</v>
      </c>
      <c r="H22">
        <f t="shared" si="8"/>
        <v>0</v>
      </c>
      <c r="I22">
        <f t="shared" si="8"/>
        <v>0</v>
      </c>
      <c r="J22">
        <f t="shared" si="8"/>
        <v>0</v>
      </c>
    </row>
    <row r="23" spans="1:16" x14ac:dyDescent="0.3">
      <c r="A23">
        <v>12</v>
      </c>
      <c r="B23">
        <f t="shared" si="3"/>
        <v>0</v>
      </c>
      <c r="C23">
        <f t="shared" si="4"/>
        <v>0</v>
      </c>
      <c r="D23">
        <f t="shared" si="5"/>
        <v>12</v>
      </c>
      <c r="E23">
        <f t="shared" si="6"/>
        <v>0</v>
      </c>
      <c r="F23">
        <f t="shared" si="7"/>
        <v>0</v>
      </c>
      <c r="G23">
        <f t="shared" si="8"/>
        <v>0</v>
      </c>
      <c r="H23">
        <f t="shared" si="8"/>
        <v>0</v>
      </c>
      <c r="I23">
        <f t="shared" si="8"/>
        <v>0</v>
      </c>
      <c r="J23">
        <f t="shared" si="8"/>
        <v>0</v>
      </c>
      <c r="O23" s="2"/>
    </row>
    <row r="24" spans="1:16" ht="12.9" x14ac:dyDescent="0.35">
      <c r="A24">
        <v>15</v>
      </c>
      <c r="B24">
        <f t="shared" si="3"/>
        <v>0</v>
      </c>
      <c r="C24">
        <f t="shared" si="4"/>
        <v>0</v>
      </c>
      <c r="D24">
        <f t="shared" si="5"/>
        <v>0</v>
      </c>
      <c r="E24">
        <f t="shared" si="6"/>
        <v>0</v>
      </c>
      <c r="F24">
        <f t="shared" si="7"/>
        <v>0</v>
      </c>
      <c r="G24">
        <f t="shared" si="8"/>
        <v>0</v>
      </c>
      <c r="H24">
        <f t="shared" si="8"/>
        <v>0</v>
      </c>
      <c r="I24">
        <f t="shared" si="8"/>
        <v>0</v>
      </c>
      <c r="J24">
        <f t="shared" si="8"/>
        <v>0</v>
      </c>
      <c r="M24" s="118"/>
      <c r="O24" s="2"/>
      <c r="P24" s="45"/>
    </row>
    <row r="25" spans="1:16" x14ac:dyDescent="0.3">
      <c r="A25">
        <v>18</v>
      </c>
      <c r="B25">
        <f t="shared" si="3"/>
        <v>0</v>
      </c>
      <c r="C25">
        <f t="shared" si="4"/>
        <v>0</v>
      </c>
      <c r="D25">
        <f t="shared" si="5"/>
        <v>0</v>
      </c>
      <c r="E25">
        <f t="shared" si="6"/>
        <v>0</v>
      </c>
      <c r="F25">
        <f t="shared" si="7"/>
        <v>0</v>
      </c>
      <c r="G25">
        <f t="shared" si="8"/>
        <v>0</v>
      </c>
      <c r="H25">
        <f t="shared" si="8"/>
        <v>0</v>
      </c>
      <c r="I25">
        <f t="shared" si="8"/>
        <v>0</v>
      </c>
      <c r="J25">
        <f t="shared" si="8"/>
        <v>0</v>
      </c>
    </row>
    <row r="26" spans="1:16" x14ac:dyDescent="0.3">
      <c r="A26">
        <v>22</v>
      </c>
      <c r="B26">
        <f t="shared" si="3"/>
        <v>0</v>
      </c>
      <c r="C26">
        <f t="shared" si="4"/>
        <v>0</v>
      </c>
      <c r="D26">
        <f t="shared" si="5"/>
        <v>0</v>
      </c>
      <c r="E26">
        <f t="shared" si="6"/>
        <v>0</v>
      </c>
      <c r="F26">
        <f t="shared" si="7"/>
        <v>0</v>
      </c>
      <c r="G26">
        <f t="shared" si="8"/>
        <v>0</v>
      </c>
      <c r="H26">
        <f t="shared" si="8"/>
        <v>0</v>
      </c>
      <c r="I26">
        <f t="shared" si="8"/>
        <v>0</v>
      </c>
      <c r="J26">
        <f t="shared" si="8"/>
        <v>0</v>
      </c>
    </row>
    <row r="27" spans="1:16" ht="12.9" x14ac:dyDescent="0.35">
      <c r="A27">
        <v>27</v>
      </c>
      <c r="B27">
        <f t="shared" si="3"/>
        <v>0</v>
      </c>
      <c r="C27">
        <f t="shared" si="4"/>
        <v>0</v>
      </c>
      <c r="D27">
        <f t="shared" si="5"/>
        <v>0</v>
      </c>
      <c r="E27">
        <f t="shared" si="6"/>
        <v>0</v>
      </c>
      <c r="F27">
        <f t="shared" si="7"/>
        <v>0</v>
      </c>
      <c r="G27">
        <f t="shared" si="8"/>
        <v>0</v>
      </c>
      <c r="H27">
        <f t="shared" si="8"/>
        <v>0</v>
      </c>
      <c r="I27">
        <f t="shared" si="8"/>
        <v>0</v>
      </c>
      <c r="J27">
        <f t="shared" si="8"/>
        <v>0</v>
      </c>
      <c r="M27" s="3" t="s">
        <v>205</v>
      </c>
      <c r="N27" t="str">
        <f>O7/1000&amp;" kΩ"</f>
        <v>68.1 kΩ</v>
      </c>
      <c r="O27">
        <f>O7/1000</f>
        <v>68.099999999999994</v>
      </c>
      <c r="P27" s="45" t="s">
        <v>309</v>
      </c>
    </row>
    <row r="28" spans="1:16" x14ac:dyDescent="0.3">
      <c r="A28">
        <v>33</v>
      </c>
      <c r="B28">
        <f t="shared" si="3"/>
        <v>0</v>
      </c>
      <c r="C28">
        <f t="shared" si="4"/>
        <v>0</v>
      </c>
      <c r="D28">
        <f t="shared" si="5"/>
        <v>0</v>
      </c>
      <c r="E28">
        <f t="shared" si="6"/>
        <v>0</v>
      </c>
      <c r="F28">
        <f t="shared" si="7"/>
        <v>0</v>
      </c>
      <c r="G28">
        <f t="shared" si="8"/>
        <v>0</v>
      </c>
      <c r="H28">
        <f t="shared" si="8"/>
        <v>0</v>
      </c>
      <c r="I28">
        <f t="shared" si="8"/>
        <v>0</v>
      </c>
      <c r="J28">
        <f t="shared" si="8"/>
        <v>0</v>
      </c>
      <c r="M28" s="3" t="s">
        <v>202</v>
      </c>
      <c r="N28" t="str">
        <f>C4*1000000000&amp;" nF"</f>
        <v>0.012 nF</v>
      </c>
      <c r="O28">
        <f>C4*1000000000000</f>
        <v>12</v>
      </c>
      <c r="P28" s="118" t="s">
        <v>172</v>
      </c>
    </row>
    <row r="29" spans="1:16" x14ac:dyDescent="0.3">
      <c r="A29">
        <v>39</v>
      </c>
      <c r="B29">
        <f t="shared" si="3"/>
        <v>0</v>
      </c>
      <c r="C29">
        <f t="shared" si="4"/>
        <v>0</v>
      </c>
      <c r="D29">
        <f t="shared" si="5"/>
        <v>0</v>
      </c>
      <c r="E29">
        <f t="shared" si="6"/>
        <v>0</v>
      </c>
      <c r="F29">
        <f t="shared" si="7"/>
        <v>0</v>
      </c>
      <c r="G29">
        <f t="shared" si="8"/>
        <v>0</v>
      </c>
      <c r="H29">
        <f t="shared" si="8"/>
        <v>0</v>
      </c>
      <c r="I29">
        <f t="shared" si="8"/>
        <v>0</v>
      </c>
      <c r="J29">
        <f t="shared" si="8"/>
        <v>0</v>
      </c>
      <c r="M29" s="3" t="s">
        <v>203</v>
      </c>
      <c r="N29" t="str">
        <f>D4*1000000000000&amp;" pF"</f>
        <v>12 pF</v>
      </c>
      <c r="O29">
        <f>D4*1000000000000</f>
        <v>12</v>
      </c>
      <c r="P29" s="118" t="s">
        <v>32</v>
      </c>
    </row>
    <row r="30" spans="1:16" ht="12.9" x14ac:dyDescent="0.35">
      <c r="A30">
        <v>47</v>
      </c>
      <c r="B30">
        <f t="shared" si="3"/>
        <v>0</v>
      </c>
      <c r="C30">
        <f t="shared" si="4"/>
        <v>0</v>
      </c>
      <c r="D30">
        <f t="shared" si="5"/>
        <v>0</v>
      </c>
      <c r="E30">
        <f t="shared" si="6"/>
        <v>0</v>
      </c>
      <c r="F30">
        <f t="shared" si="7"/>
        <v>0</v>
      </c>
      <c r="G30">
        <f t="shared" si="8"/>
        <v>0</v>
      </c>
      <c r="H30">
        <f t="shared" si="8"/>
        <v>0</v>
      </c>
      <c r="I30">
        <f t="shared" si="8"/>
        <v>0</v>
      </c>
      <c r="J30">
        <f t="shared" si="8"/>
        <v>0</v>
      </c>
      <c r="M30" s="3"/>
      <c r="P30" s="45"/>
    </row>
    <row r="31" spans="1:16" x14ac:dyDescent="0.3">
      <c r="A31">
        <v>56</v>
      </c>
      <c r="B31">
        <f t="shared" si="3"/>
        <v>0</v>
      </c>
      <c r="C31">
        <f t="shared" si="4"/>
        <v>0</v>
      </c>
      <c r="D31">
        <f t="shared" si="5"/>
        <v>0</v>
      </c>
      <c r="E31">
        <f t="shared" si="6"/>
        <v>0</v>
      </c>
      <c r="F31">
        <f t="shared" si="7"/>
        <v>0</v>
      </c>
      <c r="G31">
        <f t="shared" si="8"/>
        <v>0</v>
      </c>
      <c r="H31">
        <f t="shared" si="8"/>
        <v>0</v>
      </c>
      <c r="I31">
        <f t="shared" si="8"/>
        <v>0</v>
      </c>
      <c r="J31">
        <f t="shared" si="8"/>
        <v>0</v>
      </c>
      <c r="M31" s="3"/>
      <c r="P31" s="118"/>
    </row>
    <row r="32" spans="1:16" x14ac:dyDescent="0.3">
      <c r="A32">
        <v>68</v>
      </c>
      <c r="B32">
        <f t="shared" si="3"/>
        <v>0</v>
      </c>
      <c r="C32">
        <f t="shared" si="4"/>
        <v>0</v>
      </c>
      <c r="D32">
        <f t="shared" si="5"/>
        <v>0</v>
      </c>
      <c r="E32">
        <f t="shared" si="6"/>
        <v>0</v>
      </c>
      <c r="F32">
        <f t="shared" si="7"/>
        <v>0</v>
      </c>
      <c r="G32">
        <f t="shared" si="8"/>
        <v>0</v>
      </c>
      <c r="H32">
        <f t="shared" si="8"/>
        <v>0</v>
      </c>
      <c r="I32">
        <f t="shared" si="8"/>
        <v>0</v>
      </c>
      <c r="J32">
        <f t="shared" si="8"/>
        <v>0</v>
      </c>
    </row>
    <row r="33" spans="1:13" x14ac:dyDescent="0.3">
      <c r="A33">
        <v>82</v>
      </c>
      <c r="B33">
        <f t="shared" si="3"/>
        <v>0</v>
      </c>
      <c r="C33">
        <f t="shared" si="4"/>
        <v>0</v>
      </c>
      <c r="D33">
        <f t="shared" si="5"/>
        <v>0</v>
      </c>
      <c r="E33">
        <f t="shared" si="6"/>
        <v>0</v>
      </c>
      <c r="F33">
        <f t="shared" si="7"/>
        <v>0</v>
      </c>
      <c r="G33">
        <f t="shared" si="8"/>
        <v>0</v>
      </c>
      <c r="H33">
        <f t="shared" si="8"/>
        <v>0</v>
      </c>
      <c r="I33">
        <f t="shared" si="8"/>
        <v>0</v>
      </c>
      <c r="J33">
        <f t="shared" si="8"/>
        <v>0</v>
      </c>
    </row>
    <row r="34" spans="1:13" x14ac:dyDescent="0.3">
      <c r="A34">
        <f>A22*10</f>
        <v>100</v>
      </c>
      <c r="B34">
        <f t="shared" si="3"/>
        <v>0</v>
      </c>
      <c r="C34">
        <f t="shared" si="4"/>
        <v>0</v>
      </c>
      <c r="D34">
        <f t="shared" si="5"/>
        <v>0</v>
      </c>
      <c r="E34">
        <f t="shared" si="6"/>
        <v>0</v>
      </c>
      <c r="F34">
        <f t="shared" si="7"/>
        <v>0</v>
      </c>
      <c r="G34">
        <f t="shared" si="8"/>
        <v>0</v>
      </c>
      <c r="H34">
        <f t="shared" si="8"/>
        <v>0</v>
      </c>
      <c r="I34">
        <f t="shared" si="8"/>
        <v>0</v>
      </c>
      <c r="J34">
        <f t="shared" si="8"/>
        <v>0</v>
      </c>
      <c r="M34" s="118"/>
    </row>
    <row r="35" spans="1:13" x14ac:dyDescent="0.3">
      <c r="A35">
        <f t="shared" ref="A35:A98" si="10">A23*10</f>
        <v>120</v>
      </c>
      <c r="B35">
        <f t="shared" si="3"/>
        <v>0</v>
      </c>
      <c r="C35">
        <f t="shared" si="4"/>
        <v>0</v>
      </c>
      <c r="D35">
        <f t="shared" si="5"/>
        <v>0</v>
      </c>
      <c r="E35">
        <f t="shared" si="6"/>
        <v>0</v>
      </c>
      <c r="F35">
        <f t="shared" si="7"/>
        <v>0</v>
      </c>
      <c r="G35">
        <f t="shared" si="8"/>
        <v>0</v>
      </c>
      <c r="H35">
        <f t="shared" si="8"/>
        <v>0</v>
      </c>
      <c r="I35">
        <f t="shared" si="8"/>
        <v>0</v>
      </c>
      <c r="J35">
        <f t="shared" si="8"/>
        <v>0</v>
      </c>
      <c r="M35" s="118"/>
    </row>
    <row r="36" spans="1:13" x14ac:dyDescent="0.3">
      <c r="A36">
        <f t="shared" si="10"/>
        <v>150</v>
      </c>
      <c r="B36">
        <f t="shared" si="3"/>
        <v>0</v>
      </c>
      <c r="C36">
        <f t="shared" si="4"/>
        <v>0</v>
      </c>
      <c r="D36">
        <f t="shared" si="5"/>
        <v>0</v>
      </c>
      <c r="E36">
        <f t="shared" si="6"/>
        <v>0</v>
      </c>
      <c r="F36">
        <f t="shared" si="7"/>
        <v>0</v>
      </c>
      <c r="G36">
        <f t="shared" si="8"/>
        <v>0</v>
      </c>
      <c r="H36">
        <f t="shared" si="8"/>
        <v>0</v>
      </c>
      <c r="I36">
        <f t="shared" si="8"/>
        <v>0</v>
      </c>
      <c r="J36">
        <f t="shared" si="8"/>
        <v>0</v>
      </c>
    </row>
    <row r="37" spans="1:13" x14ac:dyDescent="0.3">
      <c r="A37">
        <f t="shared" si="10"/>
        <v>180</v>
      </c>
      <c r="B37">
        <f t="shared" si="3"/>
        <v>0</v>
      </c>
      <c r="C37">
        <f t="shared" si="4"/>
        <v>0</v>
      </c>
      <c r="D37">
        <f t="shared" si="5"/>
        <v>0</v>
      </c>
      <c r="E37">
        <f t="shared" si="6"/>
        <v>0</v>
      </c>
      <c r="F37">
        <f t="shared" si="7"/>
        <v>0</v>
      </c>
      <c r="G37">
        <f t="shared" si="8"/>
        <v>0</v>
      </c>
      <c r="H37">
        <f t="shared" si="8"/>
        <v>0</v>
      </c>
      <c r="I37">
        <f t="shared" si="8"/>
        <v>0</v>
      </c>
      <c r="J37">
        <f t="shared" si="8"/>
        <v>0</v>
      </c>
    </row>
    <row r="38" spans="1:13" x14ac:dyDescent="0.3">
      <c r="A38">
        <f t="shared" si="10"/>
        <v>220</v>
      </c>
      <c r="B38">
        <f t="shared" si="3"/>
        <v>0</v>
      </c>
      <c r="C38">
        <f t="shared" si="4"/>
        <v>0</v>
      </c>
      <c r="D38">
        <f t="shared" si="5"/>
        <v>0</v>
      </c>
      <c r="E38">
        <f t="shared" si="6"/>
        <v>0</v>
      </c>
      <c r="F38">
        <f t="shared" si="7"/>
        <v>0</v>
      </c>
      <c r="G38">
        <f t="shared" si="8"/>
        <v>0</v>
      </c>
      <c r="H38">
        <f t="shared" si="8"/>
        <v>0</v>
      </c>
      <c r="I38">
        <f t="shared" si="8"/>
        <v>0</v>
      </c>
      <c r="J38">
        <f t="shared" si="8"/>
        <v>0</v>
      </c>
    </row>
    <row r="39" spans="1:13" x14ac:dyDescent="0.3">
      <c r="A39">
        <f t="shared" si="10"/>
        <v>270</v>
      </c>
      <c r="B39">
        <f t="shared" si="3"/>
        <v>0</v>
      </c>
      <c r="C39">
        <f t="shared" ref="C39:C70" si="11">IF(IF((C$3*10^12-$A40)*(C$3*10^12-$A39)*-1&lt;0,0,1)*IF(ABS(C$3*10^12-$A40)&gt;(C$3*10^12-$A39),$A39,$A40)=C40,0,IF((C$3*10^12-$A40)*(C$3*10^12-$A39)*-1&lt;0,0,1)*IF(ABS(C$3*10^12-$A40)&gt;(C$3*10^12-$A39),$A39,$A40))</f>
        <v>0</v>
      </c>
      <c r="D39">
        <f t="shared" si="5"/>
        <v>0</v>
      </c>
      <c r="E39">
        <f t="shared" si="6"/>
        <v>0</v>
      </c>
      <c r="F39">
        <f t="shared" si="7"/>
        <v>0</v>
      </c>
      <c r="G39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</row>
    <row r="40" spans="1:13" x14ac:dyDescent="0.3">
      <c r="A40">
        <f t="shared" si="10"/>
        <v>330</v>
      </c>
      <c r="B40">
        <f t="shared" si="3"/>
        <v>0</v>
      </c>
      <c r="C40">
        <f t="shared" si="11"/>
        <v>0</v>
      </c>
      <c r="D40">
        <f t="shared" si="5"/>
        <v>0</v>
      </c>
      <c r="E40">
        <f t="shared" si="6"/>
        <v>0</v>
      </c>
      <c r="F40">
        <f t="shared" si="7"/>
        <v>0</v>
      </c>
      <c r="G40">
        <f t="shared" si="8"/>
        <v>0</v>
      </c>
      <c r="H40">
        <f t="shared" si="8"/>
        <v>0</v>
      </c>
      <c r="I40">
        <f t="shared" si="8"/>
        <v>0</v>
      </c>
      <c r="J40">
        <f t="shared" si="8"/>
        <v>0</v>
      </c>
    </row>
    <row r="41" spans="1:13" x14ac:dyDescent="0.3">
      <c r="A41">
        <f t="shared" si="10"/>
        <v>390</v>
      </c>
      <c r="B41">
        <f t="shared" si="3"/>
        <v>0</v>
      </c>
      <c r="C41">
        <f t="shared" si="11"/>
        <v>0</v>
      </c>
      <c r="D41">
        <f t="shared" si="5"/>
        <v>0</v>
      </c>
      <c r="E41">
        <f t="shared" si="6"/>
        <v>0</v>
      </c>
      <c r="F41">
        <f t="shared" si="7"/>
        <v>0</v>
      </c>
      <c r="G41">
        <f t="shared" si="8"/>
        <v>470</v>
      </c>
      <c r="H41">
        <f t="shared" si="8"/>
        <v>0</v>
      </c>
      <c r="I41">
        <f t="shared" si="8"/>
        <v>0</v>
      </c>
      <c r="J41">
        <f t="shared" si="8"/>
        <v>0</v>
      </c>
    </row>
    <row r="42" spans="1:13" x14ac:dyDescent="0.3">
      <c r="A42">
        <f t="shared" si="10"/>
        <v>470</v>
      </c>
      <c r="B42">
        <f t="shared" si="3"/>
        <v>0</v>
      </c>
      <c r="C42">
        <f t="shared" si="11"/>
        <v>0</v>
      </c>
      <c r="D42">
        <f t="shared" si="5"/>
        <v>0</v>
      </c>
      <c r="E42">
        <f t="shared" si="6"/>
        <v>0</v>
      </c>
      <c r="F42">
        <f t="shared" si="7"/>
        <v>0</v>
      </c>
      <c r="G42">
        <f t="shared" si="8"/>
        <v>0</v>
      </c>
      <c r="H42">
        <f t="shared" si="8"/>
        <v>0</v>
      </c>
      <c r="I42">
        <f t="shared" si="8"/>
        <v>0</v>
      </c>
      <c r="J42">
        <f t="shared" si="8"/>
        <v>0</v>
      </c>
    </row>
    <row r="43" spans="1:13" x14ac:dyDescent="0.3">
      <c r="A43">
        <f t="shared" si="10"/>
        <v>560</v>
      </c>
      <c r="B43">
        <f t="shared" si="3"/>
        <v>0</v>
      </c>
      <c r="C43">
        <f t="shared" si="11"/>
        <v>0</v>
      </c>
      <c r="D43">
        <f t="shared" si="5"/>
        <v>0</v>
      </c>
      <c r="E43">
        <f t="shared" si="6"/>
        <v>0</v>
      </c>
      <c r="F43">
        <f t="shared" si="7"/>
        <v>0</v>
      </c>
      <c r="G43">
        <f t="shared" si="8"/>
        <v>0</v>
      </c>
      <c r="H43">
        <f t="shared" si="8"/>
        <v>0</v>
      </c>
      <c r="I43">
        <f t="shared" si="8"/>
        <v>0</v>
      </c>
      <c r="J43">
        <f t="shared" si="8"/>
        <v>0</v>
      </c>
    </row>
    <row r="44" spans="1:13" x14ac:dyDescent="0.3">
      <c r="A44">
        <f t="shared" si="10"/>
        <v>680</v>
      </c>
      <c r="B44">
        <f t="shared" si="3"/>
        <v>0</v>
      </c>
      <c r="C44">
        <f t="shared" si="11"/>
        <v>0</v>
      </c>
      <c r="D44">
        <f t="shared" si="5"/>
        <v>0</v>
      </c>
      <c r="E44">
        <f t="shared" si="6"/>
        <v>0</v>
      </c>
      <c r="F44">
        <f t="shared" si="7"/>
        <v>0</v>
      </c>
      <c r="G44">
        <f t="shared" si="8"/>
        <v>0</v>
      </c>
      <c r="H44">
        <f t="shared" si="8"/>
        <v>0</v>
      </c>
      <c r="I44">
        <f t="shared" si="8"/>
        <v>0</v>
      </c>
      <c r="J44">
        <f t="shared" si="8"/>
        <v>0</v>
      </c>
    </row>
    <row r="45" spans="1:13" x14ac:dyDescent="0.3">
      <c r="A45">
        <f>A33*10</f>
        <v>820</v>
      </c>
      <c r="B45">
        <f t="shared" si="3"/>
        <v>0</v>
      </c>
      <c r="C45">
        <f t="shared" si="11"/>
        <v>0</v>
      </c>
      <c r="D45">
        <f t="shared" si="5"/>
        <v>0</v>
      </c>
      <c r="E45">
        <f t="shared" si="6"/>
        <v>0</v>
      </c>
      <c r="F45">
        <f t="shared" si="7"/>
        <v>0</v>
      </c>
      <c r="G45">
        <f t="shared" si="8"/>
        <v>0</v>
      </c>
      <c r="H45">
        <f t="shared" si="8"/>
        <v>0</v>
      </c>
      <c r="I45">
        <f t="shared" si="8"/>
        <v>0</v>
      </c>
      <c r="J45">
        <f t="shared" si="8"/>
        <v>0</v>
      </c>
    </row>
    <row r="46" spans="1:13" x14ac:dyDescent="0.3">
      <c r="A46">
        <f t="shared" si="10"/>
        <v>1000</v>
      </c>
      <c r="B46">
        <f t="shared" si="3"/>
        <v>0</v>
      </c>
      <c r="C46">
        <f t="shared" si="11"/>
        <v>0</v>
      </c>
      <c r="D46">
        <f t="shared" si="5"/>
        <v>0</v>
      </c>
      <c r="E46">
        <f t="shared" si="6"/>
        <v>0</v>
      </c>
      <c r="F46">
        <f t="shared" si="7"/>
        <v>0</v>
      </c>
      <c r="G46">
        <f t="shared" si="8"/>
        <v>0</v>
      </c>
      <c r="H46">
        <f t="shared" si="8"/>
        <v>0</v>
      </c>
      <c r="I46">
        <f t="shared" si="8"/>
        <v>0</v>
      </c>
      <c r="J46">
        <f t="shared" si="8"/>
        <v>0</v>
      </c>
    </row>
    <row r="47" spans="1:13" x14ac:dyDescent="0.3">
      <c r="A47">
        <f t="shared" si="10"/>
        <v>1200</v>
      </c>
      <c r="B47">
        <f t="shared" si="3"/>
        <v>0</v>
      </c>
      <c r="C47">
        <f t="shared" si="11"/>
        <v>0</v>
      </c>
      <c r="D47">
        <f t="shared" si="5"/>
        <v>0</v>
      </c>
      <c r="E47">
        <f t="shared" si="6"/>
        <v>0</v>
      </c>
      <c r="F47">
        <f t="shared" si="7"/>
        <v>0</v>
      </c>
      <c r="G47">
        <f t="shared" si="8"/>
        <v>0</v>
      </c>
      <c r="H47">
        <f t="shared" si="8"/>
        <v>0</v>
      </c>
      <c r="I47">
        <f t="shared" si="8"/>
        <v>0</v>
      </c>
      <c r="J47">
        <f t="shared" si="8"/>
        <v>0</v>
      </c>
    </row>
    <row r="48" spans="1:13" x14ac:dyDescent="0.3">
      <c r="A48">
        <f t="shared" si="10"/>
        <v>1500</v>
      </c>
      <c r="B48">
        <f t="shared" si="3"/>
        <v>0</v>
      </c>
      <c r="C48">
        <f t="shared" si="11"/>
        <v>0</v>
      </c>
      <c r="D48">
        <f t="shared" si="5"/>
        <v>0</v>
      </c>
      <c r="E48">
        <f t="shared" si="6"/>
        <v>0</v>
      </c>
      <c r="F48">
        <f t="shared" si="7"/>
        <v>0</v>
      </c>
      <c r="G48">
        <f t="shared" si="8"/>
        <v>0</v>
      </c>
      <c r="H48">
        <f t="shared" si="8"/>
        <v>0</v>
      </c>
      <c r="I48">
        <f t="shared" si="8"/>
        <v>0</v>
      </c>
      <c r="J48">
        <f t="shared" si="8"/>
        <v>0</v>
      </c>
    </row>
    <row r="49" spans="1:10" x14ac:dyDescent="0.3">
      <c r="A49">
        <f t="shared" si="10"/>
        <v>1800</v>
      </c>
      <c r="B49">
        <f t="shared" si="3"/>
        <v>0</v>
      </c>
      <c r="C49">
        <f t="shared" si="11"/>
        <v>0</v>
      </c>
      <c r="D49">
        <f t="shared" si="5"/>
        <v>0</v>
      </c>
      <c r="E49">
        <f t="shared" si="6"/>
        <v>0</v>
      </c>
      <c r="F49">
        <f t="shared" si="7"/>
        <v>0</v>
      </c>
      <c r="G49">
        <f t="shared" si="8"/>
        <v>0</v>
      </c>
      <c r="H49">
        <f t="shared" si="8"/>
        <v>0</v>
      </c>
      <c r="I49">
        <f t="shared" si="8"/>
        <v>0</v>
      </c>
      <c r="J49">
        <f t="shared" si="8"/>
        <v>0</v>
      </c>
    </row>
    <row r="50" spans="1:10" x14ac:dyDescent="0.3">
      <c r="A50">
        <f t="shared" si="10"/>
        <v>2200</v>
      </c>
      <c r="B50">
        <f t="shared" si="3"/>
        <v>0</v>
      </c>
      <c r="C50">
        <f t="shared" si="11"/>
        <v>0</v>
      </c>
      <c r="D50">
        <f t="shared" si="5"/>
        <v>0</v>
      </c>
      <c r="E50">
        <f t="shared" si="6"/>
        <v>0</v>
      </c>
      <c r="F50">
        <f t="shared" si="7"/>
        <v>0</v>
      </c>
      <c r="G50">
        <f t="shared" si="8"/>
        <v>0</v>
      </c>
      <c r="H50">
        <f t="shared" si="8"/>
        <v>0</v>
      </c>
      <c r="I50">
        <f t="shared" si="8"/>
        <v>0</v>
      </c>
      <c r="J50">
        <f t="shared" si="8"/>
        <v>0</v>
      </c>
    </row>
    <row r="51" spans="1:10" x14ac:dyDescent="0.3">
      <c r="A51">
        <f t="shared" si="10"/>
        <v>2700</v>
      </c>
      <c r="B51">
        <f t="shared" si="3"/>
        <v>0</v>
      </c>
      <c r="C51">
        <f t="shared" si="11"/>
        <v>0</v>
      </c>
      <c r="D51">
        <f t="shared" si="5"/>
        <v>0</v>
      </c>
      <c r="E51">
        <f t="shared" si="6"/>
        <v>0</v>
      </c>
      <c r="F51">
        <f t="shared" si="7"/>
        <v>0</v>
      </c>
      <c r="G51">
        <f t="shared" si="8"/>
        <v>0</v>
      </c>
      <c r="H51">
        <f t="shared" si="8"/>
        <v>0</v>
      </c>
      <c r="I51">
        <f t="shared" si="8"/>
        <v>0</v>
      </c>
      <c r="J51">
        <f t="shared" si="8"/>
        <v>0</v>
      </c>
    </row>
    <row r="52" spans="1:10" x14ac:dyDescent="0.3">
      <c r="A52">
        <f t="shared" si="10"/>
        <v>3300</v>
      </c>
      <c r="B52">
        <f t="shared" si="3"/>
        <v>0</v>
      </c>
      <c r="C52">
        <f t="shared" si="11"/>
        <v>0</v>
      </c>
      <c r="D52">
        <f t="shared" si="5"/>
        <v>0</v>
      </c>
      <c r="E52">
        <f t="shared" si="6"/>
        <v>0</v>
      </c>
      <c r="F52">
        <f t="shared" si="7"/>
        <v>0</v>
      </c>
      <c r="G52">
        <f t="shared" si="8"/>
        <v>0</v>
      </c>
      <c r="H52">
        <f t="shared" si="8"/>
        <v>0</v>
      </c>
      <c r="I52">
        <f t="shared" si="8"/>
        <v>0</v>
      </c>
      <c r="J52">
        <f t="shared" si="8"/>
        <v>0</v>
      </c>
    </row>
    <row r="53" spans="1:10" x14ac:dyDescent="0.3">
      <c r="A53">
        <f t="shared" si="10"/>
        <v>3900</v>
      </c>
      <c r="B53">
        <f t="shared" si="3"/>
        <v>0</v>
      </c>
      <c r="C53">
        <f t="shared" si="11"/>
        <v>0</v>
      </c>
      <c r="D53">
        <f t="shared" si="5"/>
        <v>0</v>
      </c>
      <c r="E53">
        <f t="shared" si="6"/>
        <v>0</v>
      </c>
      <c r="F53">
        <f t="shared" si="7"/>
        <v>0</v>
      </c>
      <c r="G53">
        <f t="shared" si="8"/>
        <v>0</v>
      </c>
      <c r="H53">
        <f t="shared" si="8"/>
        <v>0</v>
      </c>
      <c r="I53">
        <f t="shared" si="8"/>
        <v>0</v>
      </c>
      <c r="J53">
        <f t="shared" si="8"/>
        <v>0</v>
      </c>
    </row>
    <row r="54" spans="1:10" x14ac:dyDescent="0.3">
      <c r="A54">
        <f t="shared" si="10"/>
        <v>4700</v>
      </c>
      <c r="B54">
        <f t="shared" si="3"/>
        <v>0</v>
      </c>
      <c r="C54">
        <f t="shared" si="11"/>
        <v>0</v>
      </c>
      <c r="D54">
        <f t="shared" si="5"/>
        <v>0</v>
      </c>
      <c r="E54">
        <f t="shared" si="6"/>
        <v>0</v>
      </c>
      <c r="F54">
        <f t="shared" si="7"/>
        <v>0</v>
      </c>
      <c r="G54">
        <f t="shared" si="8"/>
        <v>0</v>
      </c>
      <c r="H54">
        <f t="shared" si="8"/>
        <v>0</v>
      </c>
      <c r="I54">
        <f t="shared" si="8"/>
        <v>0</v>
      </c>
      <c r="J54">
        <f t="shared" si="8"/>
        <v>0</v>
      </c>
    </row>
    <row r="55" spans="1:10" x14ac:dyDescent="0.3">
      <c r="A55">
        <f t="shared" si="10"/>
        <v>5600</v>
      </c>
      <c r="B55">
        <f t="shared" si="3"/>
        <v>0</v>
      </c>
      <c r="C55">
        <f t="shared" si="11"/>
        <v>0</v>
      </c>
      <c r="D55">
        <f t="shared" si="5"/>
        <v>0</v>
      </c>
      <c r="E55">
        <f t="shared" si="6"/>
        <v>0</v>
      </c>
      <c r="F55">
        <f t="shared" si="7"/>
        <v>0</v>
      </c>
      <c r="G55">
        <f t="shared" si="8"/>
        <v>0</v>
      </c>
      <c r="H55">
        <f t="shared" si="8"/>
        <v>0</v>
      </c>
      <c r="I55">
        <f t="shared" si="8"/>
        <v>0</v>
      </c>
      <c r="J55">
        <f t="shared" si="8"/>
        <v>0</v>
      </c>
    </row>
    <row r="56" spans="1:10" x14ac:dyDescent="0.3">
      <c r="A56">
        <f t="shared" si="10"/>
        <v>6800</v>
      </c>
      <c r="B56">
        <f t="shared" si="3"/>
        <v>0</v>
      </c>
      <c r="C56">
        <f t="shared" si="11"/>
        <v>0</v>
      </c>
      <c r="D56">
        <f t="shared" si="5"/>
        <v>0</v>
      </c>
      <c r="E56">
        <f t="shared" si="6"/>
        <v>0</v>
      </c>
      <c r="F56">
        <f t="shared" si="7"/>
        <v>0</v>
      </c>
      <c r="G56">
        <f t="shared" si="8"/>
        <v>0</v>
      </c>
      <c r="H56">
        <f t="shared" si="8"/>
        <v>0</v>
      </c>
      <c r="I56">
        <f t="shared" si="8"/>
        <v>0</v>
      </c>
      <c r="J56">
        <f t="shared" si="8"/>
        <v>0</v>
      </c>
    </row>
    <row r="57" spans="1:10" x14ac:dyDescent="0.3">
      <c r="A57">
        <f t="shared" si="10"/>
        <v>8200</v>
      </c>
      <c r="B57">
        <f t="shared" si="3"/>
        <v>0</v>
      </c>
      <c r="C57">
        <f t="shared" si="11"/>
        <v>0</v>
      </c>
      <c r="D57">
        <f t="shared" si="5"/>
        <v>0</v>
      </c>
      <c r="E57">
        <f t="shared" si="6"/>
        <v>0</v>
      </c>
      <c r="F57">
        <f t="shared" si="7"/>
        <v>0</v>
      </c>
      <c r="G57">
        <f t="shared" si="8"/>
        <v>0</v>
      </c>
      <c r="H57">
        <f t="shared" si="8"/>
        <v>0</v>
      </c>
      <c r="I57">
        <f t="shared" si="8"/>
        <v>0</v>
      </c>
      <c r="J57">
        <f t="shared" si="8"/>
        <v>0</v>
      </c>
    </row>
    <row r="58" spans="1:10" x14ac:dyDescent="0.3">
      <c r="A58">
        <f t="shared" si="10"/>
        <v>10000</v>
      </c>
      <c r="B58">
        <f t="shared" si="3"/>
        <v>0</v>
      </c>
      <c r="C58">
        <f t="shared" si="11"/>
        <v>12000</v>
      </c>
      <c r="D58">
        <f t="shared" si="5"/>
        <v>0</v>
      </c>
      <c r="E58">
        <f t="shared" si="6"/>
        <v>0</v>
      </c>
      <c r="F58">
        <f t="shared" si="7"/>
        <v>0</v>
      </c>
      <c r="G58">
        <f t="shared" si="8"/>
        <v>0</v>
      </c>
      <c r="H58">
        <f t="shared" si="8"/>
        <v>10000</v>
      </c>
      <c r="I58">
        <f t="shared" si="8"/>
        <v>0</v>
      </c>
      <c r="J58">
        <f t="shared" si="8"/>
        <v>10000</v>
      </c>
    </row>
    <row r="59" spans="1:10" x14ac:dyDescent="0.3">
      <c r="A59">
        <f t="shared" si="10"/>
        <v>12000</v>
      </c>
      <c r="B59">
        <f t="shared" si="3"/>
        <v>0</v>
      </c>
      <c r="C59">
        <f t="shared" si="11"/>
        <v>0</v>
      </c>
      <c r="D59">
        <f t="shared" si="5"/>
        <v>0</v>
      </c>
      <c r="E59">
        <f t="shared" si="6"/>
        <v>0</v>
      </c>
      <c r="F59">
        <f t="shared" si="7"/>
        <v>0</v>
      </c>
      <c r="G59">
        <f t="shared" si="8"/>
        <v>0</v>
      </c>
      <c r="H59">
        <f t="shared" si="8"/>
        <v>0</v>
      </c>
      <c r="I59">
        <f t="shared" si="8"/>
        <v>0</v>
      </c>
      <c r="J59">
        <f t="shared" si="8"/>
        <v>0</v>
      </c>
    </row>
    <row r="60" spans="1:10" x14ac:dyDescent="0.3">
      <c r="A60">
        <f t="shared" si="10"/>
        <v>15000</v>
      </c>
      <c r="B60">
        <f t="shared" si="3"/>
        <v>0</v>
      </c>
      <c r="C60">
        <f t="shared" si="11"/>
        <v>0</v>
      </c>
      <c r="D60">
        <f t="shared" si="5"/>
        <v>0</v>
      </c>
      <c r="E60">
        <f t="shared" si="6"/>
        <v>0</v>
      </c>
      <c r="F60">
        <f t="shared" si="7"/>
        <v>0</v>
      </c>
      <c r="G60">
        <f t="shared" si="8"/>
        <v>0</v>
      </c>
      <c r="H60">
        <f t="shared" si="8"/>
        <v>0</v>
      </c>
      <c r="I60">
        <f t="shared" si="8"/>
        <v>0</v>
      </c>
      <c r="J60">
        <f t="shared" si="8"/>
        <v>0</v>
      </c>
    </row>
    <row r="61" spans="1:10" x14ac:dyDescent="0.3">
      <c r="A61">
        <f t="shared" si="10"/>
        <v>18000</v>
      </c>
      <c r="B61">
        <f t="shared" si="3"/>
        <v>0</v>
      </c>
      <c r="C61">
        <f t="shared" si="11"/>
        <v>0</v>
      </c>
      <c r="D61">
        <f t="shared" si="5"/>
        <v>0</v>
      </c>
      <c r="E61">
        <f t="shared" si="6"/>
        <v>0</v>
      </c>
      <c r="F61">
        <f t="shared" si="7"/>
        <v>0</v>
      </c>
      <c r="G61">
        <f t="shared" si="8"/>
        <v>0</v>
      </c>
      <c r="H61">
        <f t="shared" si="8"/>
        <v>0</v>
      </c>
      <c r="I61">
        <f t="shared" si="8"/>
        <v>0</v>
      </c>
      <c r="J61">
        <f t="shared" si="8"/>
        <v>0</v>
      </c>
    </row>
    <row r="62" spans="1:10" x14ac:dyDescent="0.3">
      <c r="A62">
        <f t="shared" si="10"/>
        <v>22000</v>
      </c>
      <c r="B62">
        <f t="shared" si="3"/>
        <v>0</v>
      </c>
      <c r="C62">
        <f t="shared" si="11"/>
        <v>0</v>
      </c>
      <c r="D62">
        <f t="shared" si="5"/>
        <v>0</v>
      </c>
      <c r="E62">
        <f t="shared" si="6"/>
        <v>0</v>
      </c>
      <c r="F62">
        <f t="shared" si="7"/>
        <v>0</v>
      </c>
      <c r="G62">
        <f t="shared" si="8"/>
        <v>0</v>
      </c>
      <c r="H62">
        <f t="shared" si="8"/>
        <v>0</v>
      </c>
      <c r="I62">
        <f t="shared" si="8"/>
        <v>0</v>
      </c>
      <c r="J62">
        <f t="shared" si="8"/>
        <v>0</v>
      </c>
    </row>
    <row r="63" spans="1:10" x14ac:dyDescent="0.3">
      <c r="A63">
        <f t="shared" si="10"/>
        <v>27000</v>
      </c>
      <c r="B63">
        <f t="shared" si="3"/>
        <v>0</v>
      </c>
      <c r="C63">
        <f t="shared" si="11"/>
        <v>0</v>
      </c>
      <c r="D63">
        <f t="shared" si="5"/>
        <v>0</v>
      </c>
      <c r="E63">
        <f t="shared" si="6"/>
        <v>0</v>
      </c>
      <c r="F63">
        <f t="shared" si="7"/>
        <v>0</v>
      </c>
      <c r="G63">
        <f t="shared" si="8"/>
        <v>0</v>
      </c>
      <c r="H63">
        <f t="shared" si="8"/>
        <v>0</v>
      </c>
      <c r="I63">
        <f t="shared" si="8"/>
        <v>0</v>
      </c>
      <c r="J63">
        <f t="shared" si="8"/>
        <v>0</v>
      </c>
    </row>
    <row r="64" spans="1:10" x14ac:dyDescent="0.3">
      <c r="A64">
        <f t="shared" si="10"/>
        <v>33000</v>
      </c>
      <c r="B64">
        <f t="shared" si="3"/>
        <v>0</v>
      </c>
      <c r="C64">
        <f t="shared" si="11"/>
        <v>0</v>
      </c>
      <c r="D64">
        <f t="shared" si="5"/>
        <v>0</v>
      </c>
      <c r="E64">
        <f t="shared" si="6"/>
        <v>0</v>
      </c>
      <c r="F64">
        <f t="shared" si="7"/>
        <v>0</v>
      </c>
      <c r="G64">
        <f t="shared" si="8"/>
        <v>0</v>
      </c>
      <c r="H64">
        <f t="shared" si="8"/>
        <v>0</v>
      </c>
      <c r="I64">
        <f t="shared" si="8"/>
        <v>0</v>
      </c>
      <c r="J64">
        <f t="shared" si="8"/>
        <v>0</v>
      </c>
    </row>
    <row r="65" spans="1:10" x14ac:dyDescent="0.3">
      <c r="A65">
        <f t="shared" si="10"/>
        <v>39000</v>
      </c>
      <c r="B65">
        <f t="shared" si="3"/>
        <v>0</v>
      </c>
      <c r="C65">
        <f t="shared" si="11"/>
        <v>0</v>
      </c>
      <c r="D65">
        <f t="shared" si="5"/>
        <v>0</v>
      </c>
      <c r="E65">
        <f t="shared" si="6"/>
        <v>0</v>
      </c>
      <c r="F65">
        <f t="shared" si="7"/>
        <v>0</v>
      </c>
      <c r="G65">
        <f t="shared" si="8"/>
        <v>0</v>
      </c>
      <c r="H65">
        <f t="shared" si="8"/>
        <v>0</v>
      </c>
      <c r="I65">
        <f t="shared" si="8"/>
        <v>0</v>
      </c>
      <c r="J65">
        <f t="shared" si="8"/>
        <v>0</v>
      </c>
    </row>
    <row r="66" spans="1:10" x14ac:dyDescent="0.3">
      <c r="A66">
        <f t="shared" si="10"/>
        <v>47000</v>
      </c>
      <c r="B66">
        <f t="shared" si="3"/>
        <v>0</v>
      </c>
      <c r="C66">
        <f t="shared" si="11"/>
        <v>0</v>
      </c>
      <c r="D66">
        <f t="shared" si="5"/>
        <v>0</v>
      </c>
      <c r="E66">
        <f t="shared" si="6"/>
        <v>0</v>
      </c>
      <c r="F66">
        <f t="shared" si="7"/>
        <v>0</v>
      </c>
      <c r="G66">
        <f t="shared" si="8"/>
        <v>0</v>
      </c>
      <c r="H66">
        <f t="shared" si="8"/>
        <v>0</v>
      </c>
      <c r="I66">
        <f t="shared" si="8"/>
        <v>0</v>
      </c>
      <c r="J66">
        <f t="shared" si="8"/>
        <v>0</v>
      </c>
    </row>
    <row r="67" spans="1:10" x14ac:dyDescent="0.3">
      <c r="A67">
        <f t="shared" si="10"/>
        <v>56000</v>
      </c>
      <c r="B67">
        <f t="shared" si="3"/>
        <v>0</v>
      </c>
      <c r="C67">
        <f t="shared" si="11"/>
        <v>0</v>
      </c>
      <c r="D67">
        <f t="shared" si="5"/>
        <v>0</v>
      </c>
      <c r="E67">
        <f t="shared" si="6"/>
        <v>0</v>
      </c>
      <c r="F67">
        <f t="shared" si="7"/>
        <v>0</v>
      </c>
      <c r="G67">
        <f t="shared" si="8"/>
        <v>0</v>
      </c>
      <c r="H67">
        <f t="shared" si="8"/>
        <v>0</v>
      </c>
      <c r="I67">
        <f t="shared" si="8"/>
        <v>0</v>
      </c>
      <c r="J67">
        <f t="shared" si="8"/>
        <v>0</v>
      </c>
    </row>
    <row r="68" spans="1:10" x14ac:dyDescent="0.3">
      <c r="A68">
        <f t="shared" si="10"/>
        <v>68000</v>
      </c>
      <c r="B68">
        <f t="shared" si="3"/>
        <v>0</v>
      </c>
      <c r="C68">
        <f t="shared" si="11"/>
        <v>0</v>
      </c>
      <c r="D68">
        <f t="shared" si="5"/>
        <v>0</v>
      </c>
      <c r="E68">
        <f t="shared" si="6"/>
        <v>0</v>
      </c>
      <c r="F68">
        <f t="shared" si="7"/>
        <v>0</v>
      </c>
      <c r="G68">
        <f t="shared" si="8"/>
        <v>0</v>
      </c>
      <c r="H68">
        <f t="shared" si="8"/>
        <v>0</v>
      </c>
      <c r="I68">
        <f t="shared" si="8"/>
        <v>0</v>
      </c>
      <c r="J68">
        <f t="shared" si="8"/>
        <v>0</v>
      </c>
    </row>
    <row r="69" spans="1:10" x14ac:dyDescent="0.3">
      <c r="A69">
        <f t="shared" si="10"/>
        <v>82000</v>
      </c>
      <c r="B69">
        <f t="shared" si="3"/>
        <v>0</v>
      </c>
      <c r="C69">
        <f t="shared" si="11"/>
        <v>0</v>
      </c>
      <c r="D69">
        <f t="shared" si="5"/>
        <v>0</v>
      </c>
      <c r="E69">
        <f t="shared" si="6"/>
        <v>0</v>
      </c>
      <c r="F69">
        <f t="shared" si="7"/>
        <v>0</v>
      </c>
      <c r="G69">
        <f t="shared" si="8"/>
        <v>0</v>
      </c>
      <c r="H69">
        <f t="shared" si="8"/>
        <v>0</v>
      </c>
      <c r="I69">
        <f t="shared" si="8"/>
        <v>0</v>
      </c>
      <c r="J69">
        <f t="shared" ref="J69:J132" si="12">IF(IF((J$3*10^12-$A70)*(J$3*10^12-$A69)*-1&lt;0,0,1)*IF(ABS(J$3*10^12-$A70)&gt;(J$3*10^12-$A69),$A69,$A70)=J70,0,IF((J$3*10^12-$A70)*(J$3*10^12-$A69)*-1&lt;0,0,1)*IF(ABS(J$3*10^12-$A70)&gt;(J$3*10^12-$A69),$A69,$A70))</f>
        <v>0</v>
      </c>
    </row>
    <row r="70" spans="1:10" x14ac:dyDescent="0.3">
      <c r="A70">
        <f t="shared" si="10"/>
        <v>100000</v>
      </c>
      <c r="B70">
        <f t="shared" si="3"/>
        <v>0</v>
      </c>
      <c r="C70">
        <f t="shared" si="11"/>
        <v>0</v>
      </c>
      <c r="D70">
        <f t="shared" ref="D70:I70" si="13">IF(IF((D$3*10^12-$A71)*(D$3*10^12-$A70)*-1&lt;0,0,1)*IF(ABS(D$3*10^12-$A71)&gt;(D$3*10^12-$A70),$A70,$A71)=D71,0,IF((D$3*10^12-$A71)*(D$3*10^12-$A70)*-1&lt;0,0,1)*IF(ABS(D$3*10^12-$A71)&gt;(D$3*10^12-$A70),$A70,$A71))</f>
        <v>0</v>
      </c>
      <c r="E70">
        <f t="shared" si="13"/>
        <v>0</v>
      </c>
      <c r="F70">
        <f t="shared" si="13"/>
        <v>0</v>
      </c>
      <c r="G70">
        <f t="shared" si="13"/>
        <v>0</v>
      </c>
      <c r="H70">
        <f t="shared" si="13"/>
        <v>0</v>
      </c>
      <c r="I70">
        <f t="shared" si="13"/>
        <v>0</v>
      </c>
      <c r="J70">
        <f t="shared" si="12"/>
        <v>0</v>
      </c>
    </row>
    <row r="71" spans="1:10" x14ac:dyDescent="0.3">
      <c r="A71">
        <f t="shared" si="10"/>
        <v>120000</v>
      </c>
      <c r="B71">
        <f t="shared" ref="B71:B134" si="14">IF(IF((B$3*10^12-$A72)*(B$3*10^12-$A71)*-1&lt;0,0,1)*IF(ABS(B$3*10^12-$A72)&gt;(B$3*10^12-$A71),$A71,$A72)=B72,0,IF((B$3*10^12-$A72)*(B$3*10^12-$A71)*-1&lt;0,0,1)*IF(ABS(B$3*10^12-$A72)&gt;(B$3*10^12-$A71),$A71,$A72))</f>
        <v>0</v>
      </c>
      <c r="C71">
        <f t="shared" ref="C71:E134" si="15">IF(IF((C$3*10^12-$A72)*(C$3*10^12-$A71)*-1&lt;0,0,1)*IF(ABS(C$3*10^12-$A72)&gt;(C$3*10^12-$A71),$A71,$A72)=C72,0,IF((C$3*10^12-$A72)*(C$3*10^12-$A71)*-1&lt;0,0,1)*IF(ABS(C$3*10^12-$A72)&gt;(C$3*10^12-$A71),$A71,$A72))</f>
        <v>0</v>
      </c>
      <c r="D71">
        <f t="shared" si="15"/>
        <v>0</v>
      </c>
      <c r="E71">
        <f t="shared" si="15"/>
        <v>0</v>
      </c>
      <c r="F71">
        <f t="shared" ref="F71:F102" si="16">IF(IF((F$3*10^12-$A72)*(F$3*10^12-$A71)*-1&lt;0,0,1)*IF(ABS(F$3*10^12-$A72)&gt;(F$3*10^12-$A71),$A71,$A72)=F72,0,IF((F$3*10^12-$A72)*(F$3*10^12-$A71)*-1&lt;0,0,1)*IF(ABS(F$3*10^12-$A72)&gt;(F$3*10^12-$A71),$A71,$A72))</f>
        <v>0</v>
      </c>
      <c r="G71">
        <f t="shared" ref="G71:G102" si="17">IF(IF((G$3*10^12-$A72)*(G$3*10^12-$A71)*-1&lt;0,0,1)*IF(ABS(G$3*10^12-$A72)&gt;(G$3*10^12-$A71),$A71,$A72)=G72,0,IF((G$3*10^12-$A72)*(G$3*10^12-$A71)*-1&lt;0,0,1)*IF(ABS(G$3*10^12-$A72)&gt;(G$3*10^12-$A71),$A71,$A72))</f>
        <v>0</v>
      </c>
      <c r="H71">
        <f t="shared" ref="H71:H102" si="18">IF(IF((H$3*10^12-$A72)*(H$3*10^12-$A71)*-1&lt;0,0,1)*IF(ABS(H$3*10^12-$A72)&gt;(H$3*10^12-$A71),$A71,$A72)=H72,0,IF((H$3*10^12-$A72)*(H$3*10^12-$A71)*-1&lt;0,0,1)*IF(ABS(H$3*10^12-$A72)&gt;(H$3*10^12-$A71),$A71,$A72))</f>
        <v>0</v>
      </c>
      <c r="I71">
        <f t="shared" ref="I71:I102" si="19">IF(IF((I$3*10^12-$A72)*(I$3*10^12-$A71)*-1&lt;0,0,1)*IF(ABS(I$3*10^12-$A72)&gt;(I$3*10^12-$A71),$A71,$A72)=I72,0,IF((I$3*10^12-$A72)*(I$3*10^12-$A71)*-1&lt;0,0,1)*IF(ABS(I$3*10^12-$A72)&gt;(I$3*10^12-$A71),$A71,$A72))</f>
        <v>0</v>
      </c>
      <c r="J71">
        <f t="shared" si="12"/>
        <v>0</v>
      </c>
    </row>
    <row r="72" spans="1:10" x14ac:dyDescent="0.3">
      <c r="A72">
        <f t="shared" si="10"/>
        <v>150000</v>
      </c>
      <c r="B72">
        <f t="shared" si="14"/>
        <v>0</v>
      </c>
      <c r="C72">
        <f t="shared" si="15"/>
        <v>0</v>
      </c>
      <c r="D72">
        <f t="shared" si="15"/>
        <v>0</v>
      </c>
      <c r="E72">
        <f t="shared" si="15"/>
        <v>0</v>
      </c>
      <c r="F72">
        <f t="shared" si="16"/>
        <v>0</v>
      </c>
      <c r="G72">
        <f t="shared" si="17"/>
        <v>0</v>
      </c>
      <c r="H72">
        <f t="shared" si="18"/>
        <v>0</v>
      </c>
      <c r="I72">
        <f t="shared" si="19"/>
        <v>0</v>
      </c>
      <c r="J72">
        <f t="shared" si="12"/>
        <v>0</v>
      </c>
    </row>
    <row r="73" spans="1:10" x14ac:dyDescent="0.3">
      <c r="A73">
        <f t="shared" si="10"/>
        <v>180000</v>
      </c>
      <c r="B73">
        <f t="shared" si="14"/>
        <v>0</v>
      </c>
      <c r="C73">
        <f t="shared" si="15"/>
        <v>0</v>
      </c>
      <c r="D73">
        <f t="shared" si="15"/>
        <v>0</v>
      </c>
      <c r="E73">
        <f t="shared" si="15"/>
        <v>0</v>
      </c>
      <c r="F73">
        <f t="shared" si="16"/>
        <v>0</v>
      </c>
      <c r="G73">
        <f t="shared" si="17"/>
        <v>0</v>
      </c>
      <c r="H73">
        <f t="shared" si="18"/>
        <v>0</v>
      </c>
      <c r="I73">
        <f t="shared" si="19"/>
        <v>0</v>
      </c>
      <c r="J73">
        <f t="shared" si="12"/>
        <v>0</v>
      </c>
    </row>
    <row r="74" spans="1:10" x14ac:dyDescent="0.3">
      <c r="A74">
        <f t="shared" si="10"/>
        <v>220000</v>
      </c>
      <c r="B74">
        <f t="shared" si="14"/>
        <v>0</v>
      </c>
      <c r="C74">
        <f t="shared" si="15"/>
        <v>0</v>
      </c>
      <c r="D74">
        <f t="shared" si="15"/>
        <v>0</v>
      </c>
      <c r="E74">
        <f t="shared" si="15"/>
        <v>0</v>
      </c>
      <c r="F74">
        <f t="shared" si="16"/>
        <v>0</v>
      </c>
      <c r="G74">
        <f t="shared" si="17"/>
        <v>0</v>
      </c>
      <c r="H74">
        <f t="shared" si="18"/>
        <v>0</v>
      </c>
      <c r="I74">
        <f t="shared" si="19"/>
        <v>0</v>
      </c>
      <c r="J74">
        <f t="shared" si="12"/>
        <v>0</v>
      </c>
    </row>
    <row r="75" spans="1:10" x14ac:dyDescent="0.3">
      <c r="A75">
        <f t="shared" si="10"/>
        <v>270000</v>
      </c>
      <c r="B75">
        <f t="shared" si="14"/>
        <v>330000</v>
      </c>
      <c r="C75">
        <f t="shared" si="15"/>
        <v>0</v>
      </c>
      <c r="D75">
        <f t="shared" si="15"/>
        <v>0</v>
      </c>
      <c r="E75">
        <f t="shared" si="15"/>
        <v>0</v>
      </c>
      <c r="F75">
        <f t="shared" si="16"/>
        <v>0</v>
      </c>
      <c r="G75">
        <f t="shared" si="17"/>
        <v>0</v>
      </c>
      <c r="H75">
        <f t="shared" si="18"/>
        <v>0</v>
      </c>
      <c r="I75">
        <f t="shared" si="19"/>
        <v>0</v>
      </c>
      <c r="J75">
        <f t="shared" si="12"/>
        <v>0</v>
      </c>
    </row>
    <row r="76" spans="1:10" x14ac:dyDescent="0.3">
      <c r="A76">
        <f t="shared" si="10"/>
        <v>330000</v>
      </c>
      <c r="B76">
        <f t="shared" si="14"/>
        <v>0</v>
      </c>
      <c r="C76">
        <f t="shared" si="15"/>
        <v>0</v>
      </c>
      <c r="D76">
        <f t="shared" si="15"/>
        <v>0</v>
      </c>
      <c r="E76">
        <f t="shared" si="15"/>
        <v>0</v>
      </c>
      <c r="F76">
        <f t="shared" si="16"/>
        <v>0</v>
      </c>
      <c r="G76">
        <f t="shared" si="17"/>
        <v>0</v>
      </c>
      <c r="H76">
        <f t="shared" si="18"/>
        <v>0</v>
      </c>
      <c r="I76">
        <f t="shared" si="19"/>
        <v>0</v>
      </c>
      <c r="J76">
        <f t="shared" si="12"/>
        <v>0</v>
      </c>
    </row>
    <row r="77" spans="1:10" x14ac:dyDescent="0.3">
      <c r="A77">
        <f t="shared" si="10"/>
        <v>390000</v>
      </c>
      <c r="B77">
        <f t="shared" si="14"/>
        <v>0</v>
      </c>
      <c r="C77">
        <f t="shared" si="15"/>
        <v>0</v>
      </c>
      <c r="D77">
        <f t="shared" si="15"/>
        <v>0</v>
      </c>
      <c r="E77">
        <f t="shared" si="15"/>
        <v>0</v>
      </c>
      <c r="F77">
        <f t="shared" si="16"/>
        <v>0</v>
      </c>
      <c r="G77">
        <f t="shared" si="17"/>
        <v>0</v>
      </c>
      <c r="H77">
        <f t="shared" si="18"/>
        <v>0</v>
      </c>
      <c r="I77">
        <f t="shared" si="19"/>
        <v>0</v>
      </c>
      <c r="J77">
        <f t="shared" si="12"/>
        <v>0</v>
      </c>
    </row>
    <row r="78" spans="1:10" x14ac:dyDescent="0.3">
      <c r="A78">
        <f t="shared" si="10"/>
        <v>470000</v>
      </c>
      <c r="B78">
        <f t="shared" si="14"/>
        <v>0</v>
      </c>
      <c r="C78">
        <f t="shared" si="15"/>
        <v>0</v>
      </c>
      <c r="D78">
        <f t="shared" si="15"/>
        <v>0</v>
      </c>
      <c r="E78">
        <f t="shared" si="15"/>
        <v>0</v>
      </c>
      <c r="F78">
        <f t="shared" si="16"/>
        <v>0</v>
      </c>
      <c r="G78">
        <f t="shared" si="17"/>
        <v>0</v>
      </c>
      <c r="H78">
        <f t="shared" si="18"/>
        <v>0</v>
      </c>
      <c r="I78">
        <f t="shared" si="19"/>
        <v>0</v>
      </c>
      <c r="J78">
        <f t="shared" si="12"/>
        <v>0</v>
      </c>
    </row>
    <row r="79" spans="1:10" x14ac:dyDescent="0.3">
      <c r="A79">
        <f t="shared" si="10"/>
        <v>560000</v>
      </c>
      <c r="B79">
        <f t="shared" si="14"/>
        <v>0</v>
      </c>
      <c r="C79">
        <f t="shared" si="15"/>
        <v>0</v>
      </c>
      <c r="D79">
        <f t="shared" si="15"/>
        <v>0</v>
      </c>
      <c r="E79">
        <f t="shared" si="15"/>
        <v>0</v>
      </c>
      <c r="F79">
        <f t="shared" si="16"/>
        <v>0</v>
      </c>
      <c r="G79">
        <f t="shared" si="17"/>
        <v>0</v>
      </c>
      <c r="H79">
        <f t="shared" si="18"/>
        <v>0</v>
      </c>
      <c r="I79">
        <f t="shared" si="19"/>
        <v>0</v>
      </c>
      <c r="J79">
        <f t="shared" si="12"/>
        <v>0</v>
      </c>
    </row>
    <row r="80" spans="1:10" x14ac:dyDescent="0.3">
      <c r="A80">
        <f t="shared" si="10"/>
        <v>680000</v>
      </c>
      <c r="B80">
        <f t="shared" si="14"/>
        <v>0</v>
      </c>
      <c r="C80">
        <f t="shared" si="15"/>
        <v>0</v>
      </c>
      <c r="D80">
        <f t="shared" si="15"/>
        <v>0</v>
      </c>
      <c r="E80">
        <f t="shared" si="15"/>
        <v>0</v>
      </c>
      <c r="F80">
        <f t="shared" si="16"/>
        <v>0</v>
      </c>
      <c r="G80">
        <f t="shared" si="17"/>
        <v>0</v>
      </c>
      <c r="H80">
        <f t="shared" si="18"/>
        <v>0</v>
      </c>
      <c r="I80">
        <f t="shared" si="19"/>
        <v>0</v>
      </c>
      <c r="J80">
        <f t="shared" si="12"/>
        <v>0</v>
      </c>
    </row>
    <row r="81" spans="1:10" x14ac:dyDescent="0.3">
      <c r="A81">
        <f t="shared" si="10"/>
        <v>820000</v>
      </c>
      <c r="B81">
        <f t="shared" si="14"/>
        <v>0</v>
      </c>
      <c r="C81">
        <f t="shared" si="15"/>
        <v>0</v>
      </c>
      <c r="D81">
        <f t="shared" si="15"/>
        <v>0</v>
      </c>
      <c r="E81">
        <f t="shared" si="15"/>
        <v>0</v>
      </c>
      <c r="F81">
        <f t="shared" si="16"/>
        <v>0</v>
      </c>
      <c r="G81">
        <f t="shared" si="17"/>
        <v>0</v>
      </c>
      <c r="H81">
        <f t="shared" si="18"/>
        <v>0</v>
      </c>
      <c r="I81">
        <f t="shared" si="19"/>
        <v>0</v>
      </c>
      <c r="J81">
        <f t="shared" si="12"/>
        <v>0</v>
      </c>
    </row>
    <row r="82" spans="1:10" x14ac:dyDescent="0.3">
      <c r="A82">
        <f t="shared" si="10"/>
        <v>1000000</v>
      </c>
      <c r="B82">
        <f t="shared" si="14"/>
        <v>0</v>
      </c>
      <c r="C82">
        <f t="shared" si="15"/>
        <v>0</v>
      </c>
      <c r="D82">
        <f t="shared" si="15"/>
        <v>0</v>
      </c>
      <c r="E82">
        <f t="shared" si="15"/>
        <v>0</v>
      </c>
      <c r="F82">
        <f t="shared" si="16"/>
        <v>0</v>
      </c>
      <c r="G82">
        <f t="shared" si="17"/>
        <v>0</v>
      </c>
      <c r="H82">
        <f t="shared" si="18"/>
        <v>0</v>
      </c>
      <c r="I82">
        <f t="shared" si="19"/>
        <v>0</v>
      </c>
      <c r="J82">
        <f t="shared" si="12"/>
        <v>0</v>
      </c>
    </row>
    <row r="83" spans="1:10" x14ac:dyDescent="0.3">
      <c r="A83">
        <f t="shared" si="10"/>
        <v>1200000</v>
      </c>
      <c r="B83">
        <f t="shared" si="14"/>
        <v>0</v>
      </c>
      <c r="C83">
        <f t="shared" si="15"/>
        <v>0</v>
      </c>
      <c r="D83">
        <f t="shared" si="15"/>
        <v>0</v>
      </c>
      <c r="E83">
        <f t="shared" si="15"/>
        <v>0</v>
      </c>
      <c r="F83">
        <f t="shared" si="16"/>
        <v>0</v>
      </c>
      <c r="G83">
        <f t="shared" si="17"/>
        <v>0</v>
      </c>
      <c r="H83">
        <f t="shared" si="18"/>
        <v>0</v>
      </c>
      <c r="I83">
        <f t="shared" si="19"/>
        <v>0</v>
      </c>
      <c r="J83">
        <f t="shared" si="12"/>
        <v>0</v>
      </c>
    </row>
    <row r="84" spans="1:10" x14ac:dyDescent="0.3">
      <c r="A84">
        <f t="shared" si="10"/>
        <v>1500000</v>
      </c>
      <c r="B84">
        <f t="shared" si="14"/>
        <v>0</v>
      </c>
      <c r="C84">
        <f t="shared" si="15"/>
        <v>0</v>
      </c>
      <c r="D84">
        <f t="shared" si="15"/>
        <v>0</v>
      </c>
      <c r="E84">
        <f t="shared" si="15"/>
        <v>0</v>
      </c>
      <c r="F84">
        <f t="shared" si="16"/>
        <v>0</v>
      </c>
      <c r="G84">
        <f t="shared" si="17"/>
        <v>0</v>
      </c>
      <c r="H84">
        <f t="shared" si="18"/>
        <v>0</v>
      </c>
      <c r="I84">
        <f t="shared" si="19"/>
        <v>0</v>
      </c>
      <c r="J84">
        <f t="shared" si="12"/>
        <v>0</v>
      </c>
    </row>
    <row r="85" spans="1:10" x14ac:dyDescent="0.3">
      <c r="A85">
        <f t="shared" si="10"/>
        <v>1800000</v>
      </c>
      <c r="B85">
        <f t="shared" si="14"/>
        <v>0</v>
      </c>
      <c r="C85">
        <f t="shared" si="15"/>
        <v>0</v>
      </c>
      <c r="D85">
        <f t="shared" si="15"/>
        <v>0</v>
      </c>
      <c r="E85">
        <f t="shared" si="15"/>
        <v>0</v>
      </c>
      <c r="F85">
        <f t="shared" si="16"/>
        <v>0</v>
      </c>
      <c r="G85">
        <f t="shared" si="17"/>
        <v>0</v>
      </c>
      <c r="H85">
        <f t="shared" si="18"/>
        <v>0</v>
      </c>
      <c r="I85">
        <f t="shared" si="19"/>
        <v>0</v>
      </c>
      <c r="J85">
        <f t="shared" si="12"/>
        <v>0</v>
      </c>
    </row>
    <row r="86" spans="1:10" x14ac:dyDescent="0.3">
      <c r="A86">
        <f t="shared" si="10"/>
        <v>2200000</v>
      </c>
      <c r="B86">
        <f t="shared" si="14"/>
        <v>0</v>
      </c>
      <c r="C86">
        <f t="shared" si="15"/>
        <v>0</v>
      </c>
      <c r="D86">
        <f t="shared" si="15"/>
        <v>0</v>
      </c>
      <c r="E86">
        <f t="shared" si="15"/>
        <v>0</v>
      </c>
      <c r="F86">
        <f t="shared" si="16"/>
        <v>0</v>
      </c>
      <c r="G86">
        <f t="shared" si="17"/>
        <v>0</v>
      </c>
      <c r="H86">
        <f t="shared" si="18"/>
        <v>0</v>
      </c>
      <c r="I86">
        <f t="shared" si="19"/>
        <v>0</v>
      </c>
      <c r="J86">
        <f t="shared" si="12"/>
        <v>0</v>
      </c>
    </row>
    <row r="87" spans="1:10" x14ac:dyDescent="0.3">
      <c r="A87">
        <f t="shared" si="10"/>
        <v>2700000</v>
      </c>
      <c r="B87">
        <f t="shared" si="14"/>
        <v>0</v>
      </c>
      <c r="C87">
        <f t="shared" si="15"/>
        <v>0</v>
      </c>
      <c r="D87">
        <f t="shared" si="15"/>
        <v>0</v>
      </c>
      <c r="E87">
        <f t="shared" si="15"/>
        <v>0</v>
      </c>
      <c r="F87">
        <f t="shared" si="16"/>
        <v>0</v>
      </c>
      <c r="G87">
        <f t="shared" si="17"/>
        <v>0</v>
      </c>
      <c r="H87">
        <f t="shared" si="18"/>
        <v>0</v>
      </c>
      <c r="I87">
        <f t="shared" si="19"/>
        <v>0</v>
      </c>
      <c r="J87">
        <f t="shared" si="12"/>
        <v>0</v>
      </c>
    </row>
    <row r="88" spans="1:10" x14ac:dyDescent="0.3">
      <c r="A88">
        <f t="shared" si="10"/>
        <v>3300000</v>
      </c>
      <c r="B88">
        <f t="shared" si="14"/>
        <v>0</v>
      </c>
      <c r="C88">
        <f t="shared" si="15"/>
        <v>0</v>
      </c>
      <c r="D88">
        <f t="shared" si="15"/>
        <v>0</v>
      </c>
      <c r="E88">
        <f t="shared" si="15"/>
        <v>0</v>
      </c>
      <c r="F88">
        <f t="shared" si="16"/>
        <v>0</v>
      </c>
      <c r="G88">
        <f t="shared" si="17"/>
        <v>0</v>
      </c>
      <c r="H88">
        <f t="shared" si="18"/>
        <v>0</v>
      </c>
      <c r="I88">
        <f t="shared" si="19"/>
        <v>0</v>
      </c>
      <c r="J88">
        <f t="shared" si="12"/>
        <v>0</v>
      </c>
    </row>
    <row r="89" spans="1:10" x14ac:dyDescent="0.3">
      <c r="A89">
        <f t="shared" si="10"/>
        <v>3900000</v>
      </c>
      <c r="B89">
        <f t="shared" si="14"/>
        <v>0</v>
      </c>
      <c r="C89">
        <f t="shared" si="15"/>
        <v>0</v>
      </c>
      <c r="D89">
        <f t="shared" si="15"/>
        <v>0</v>
      </c>
      <c r="E89">
        <f t="shared" si="15"/>
        <v>0</v>
      </c>
      <c r="F89">
        <f t="shared" si="16"/>
        <v>0</v>
      </c>
      <c r="G89">
        <f t="shared" si="17"/>
        <v>0</v>
      </c>
      <c r="H89">
        <f t="shared" si="18"/>
        <v>0</v>
      </c>
      <c r="I89">
        <f t="shared" si="19"/>
        <v>0</v>
      </c>
      <c r="J89">
        <f t="shared" si="12"/>
        <v>0</v>
      </c>
    </row>
    <row r="90" spans="1:10" x14ac:dyDescent="0.3">
      <c r="A90">
        <f t="shared" si="10"/>
        <v>4700000</v>
      </c>
      <c r="B90">
        <f t="shared" si="14"/>
        <v>0</v>
      </c>
      <c r="C90">
        <f t="shared" si="15"/>
        <v>0</v>
      </c>
      <c r="D90">
        <f t="shared" si="15"/>
        <v>0</v>
      </c>
      <c r="E90">
        <f t="shared" si="15"/>
        <v>0</v>
      </c>
      <c r="F90">
        <f t="shared" si="16"/>
        <v>0</v>
      </c>
      <c r="G90">
        <f t="shared" si="17"/>
        <v>0</v>
      </c>
      <c r="H90">
        <f t="shared" si="18"/>
        <v>0</v>
      </c>
      <c r="I90">
        <f t="shared" si="19"/>
        <v>0</v>
      </c>
      <c r="J90">
        <f t="shared" si="12"/>
        <v>0</v>
      </c>
    </row>
    <row r="91" spans="1:10" x14ac:dyDescent="0.3">
      <c r="A91">
        <f t="shared" si="10"/>
        <v>5600000</v>
      </c>
      <c r="B91">
        <f t="shared" si="14"/>
        <v>0</v>
      </c>
      <c r="C91">
        <f t="shared" si="15"/>
        <v>0</v>
      </c>
      <c r="D91">
        <f t="shared" si="15"/>
        <v>0</v>
      </c>
      <c r="E91">
        <f t="shared" si="15"/>
        <v>0</v>
      </c>
      <c r="F91">
        <f t="shared" si="16"/>
        <v>0</v>
      </c>
      <c r="G91">
        <f t="shared" si="17"/>
        <v>0</v>
      </c>
      <c r="H91">
        <f t="shared" si="18"/>
        <v>0</v>
      </c>
      <c r="I91">
        <f t="shared" si="19"/>
        <v>0</v>
      </c>
      <c r="J91">
        <f t="shared" si="12"/>
        <v>0</v>
      </c>
    </row>
    <row r="92" spans="1:10" x14ac:dyDescent="0.3">
      <c r="A92">
        <f t="shared" si="10"/>
        <v>6800000</v>
      </c>
      <c r="B92">
        <f t="shared" si="14"/>
        <v>0</v>
      </c>
      <c r="C92">
        <f t="shared" si="15"/>
        <v>0</v>
      </c>
      <c r="D92">
        <f t="shared" si="15"/>
        <v>0</v>
      </c>
      <c r="E92">
        <f t="shared" si="15"/>
        <v>0</v>
      </c>
      <c r="F92">
        <f t="shared" si="16"/>
        <v>0</v>
      </c>
      <c r="G92">
        <f t="shared" si="17"/>
        <v>0</v>
      </c>
      <c r="H92">
        <f t="shared" si="18"/>
        <v>0</v>
      </c>
      <c r="I92">
        <f t="shared" si="19"/>
        <v>0</v>
      </c>
      <c r="J92">
        <f t="shared" si="12"/>
        <v>0</v>
      </c>
    </row>
    <row r="93" spans="1:10" x14ac:dyDescent="0.3">
      <c r="A93">
        <f t="shared" si="10"/>
        <v>8200000</v>
      </c>
      <c r="B93">
        <f t="shared" si="14"/>
        <v>0</v>
      </c>
      <c r="C93">
        <f t="shared" si="15"/>
        <v>0</v>
      </c>
      <c r="D93">
        <f t="shared" si="15"/>
        <v>0</v>
      </c>
      <c r="E93">
        <f t="shared" si="15"/>
        <v>0</v>
      </c>
      <c r="F93">
        <f t="shared" si="16"/>
        <v>0</v>
      </c>
      <c r="G93">
        <f t="shared" si="17"/>
        <v>0</v>
      </c>
      <c r="H93">
        <f t="shared" si="18"/>
        <v>0</v>
      </c>
      <c r="I93">
        <f t="shared" si="19"/>
        <v>0</v>
      </c>
      <c r="J93">
        <f t="shared" si="12"/>
        <v>0</v>
      </c>
    </row>
    <row r="94" spans="1:10" x14ac:dyDescent="0.3">
      <c r="A94">
        <f t="shared" si="10"/>
        <v>10000000</v>
      </c>
      <c r="B94">
        <f t="shared" si="14"/>
        <v>0</v>
      </c>
      <c r="C94">
        <f t="shared" si="15"/>
        <v>0</v>
      </c>
      <c r="D94">
        <f t="shared" si="15"/>
        <v>0</v>
      </c>
      <c r="E94">
        <f t="shared" si="15"/>
        <v>0</v>
      </c>
      <c r="F94">
        <f t="shared" si="16"/>
        <v>0</v>
      </c>
      <c r="G94">
        <f t="shared" si="17"/>
        <v>0</v>
      </c>
      <c r="H94">
        <f t="shared" si="18"/>
        <v>0</v>
      </c>
      <c r="I94">
        <f t="shared" si="19"/>
        <v>0</v>
      </c>
      <c r="J94">
        <f t="shared" si="12"/>
        <v>0</v>
      </c>
    </row>
    <row r="95" spans="1:10" x14ac:dyDescent="0.3">
      <c r="A95">
        <f t="shared" si="10"/>
        <v>12000000</v>
      </c>
      <c r="B95">
        <f t="shared" si="14"/>
        <v>0</v>
      </c>
      <c r="C95">
        <f t="shared" si="15"/>
        <v>0</v>
      </c>
      <c r="D95">
        <f t="shared" si="15"/>
        <v>0</v>
      </c>
      <c r="E95">
        <f t="shared" si="15"/>
        <v>0</v>
      </c>
      <c r="F95">
        <f t="shared" si="16"/>
        <v>0</v>
      </c>
      <c r="G95">
        <f t="shared" si="17"/>
        <v>0</v>
      </c>
      <c r="H95">
        <f t="shared" si="18"/>
        <v>0</v>
      </c>
      <c r="I95">
        <f t="shared" si="19"/>
        <v>0</v>
      </c>
      <c r="J95">
        <f t="shared" si="12"/>
        <v>0</v>
      </c>
    </row>
    <row r="96" spans="1:10" x14ac:dyDescent="0.3">
      <c r="A96">
        <f t="shared" si="10"/>
        <v>15000000</v>
      </c>
      <c r="B96">
        <f t="shared" si="14"/>
        <v>0</v>
      </c>
      <c r="C96">
        <f t="shared" si="15"/>
        <v>0</v>
      </c>
      <c r="D96">
        <f t="shared" si="15"/>
        <v>0</v>
      </c>
      <c r="E96">
        <f t="shared" si="15"/>
        <v>0</v>
      </c>
      <c r="F96">
        <f t="shared" si="16"/>
        <v>0</v>
      </c>
      <c r="G96">
        <f t="shared" si="17"/>
        <v>0</v>
      </c>
      <c r="H96">
        <f t="shared" si="18"/>
        <v>0</v>
      </c>
      <c r="I96">
        <f t="shared" si="19"/>
        <v>0</v>
      </c>
      <c r="J96">
        <f t="shared" si="12"/>
        <v>0</v>
      </c>
    </row>
    <row r="97" spans="1:10" x14ac:dyDescent="0.3">
      <c r="A97">
        <f t="shared" si="10"/>
        <v>18000000</v>
      </c>
      <c r="B97">
        <f t="shared" si="14"/>
        <v>0</v>
      </c>
      <c r="C97">
        <f t="shared" si="15"/>
        <v>0</v>
      </c>
      <c r="D97">
        <f t="shared" si="15"/>
        <v>0</v>
      </c>
      <c r="E97">
        <f t="shared" si="15"/>
        <v>0</v>
      </c>
      <c r="F97">
        <f t="shared" si="16"/>
        <v>0</v>
      </c>
      <c r="G97">
        <f t="shared" si="17"/>
        <v>0</v>
      </c>
      <c r="H97">
        <f t="shared" si="18"/>
        <v>0</v>
      </c>
      <c r="I97">
        <f t="shared" si="19"/>
        <v>0</v>
      </c>
      <c r="J97">
        <f t="shared" si="12"/>
        <v>0</v>
      </c>
    </row>
    <row r="98" spans="1:10" x14ac:dyDescent="0.3">
      <c r="A98">
        <f t="shared" si="10"/>
        <v>22000000</v>
      </c>
      <c r="B98">
        <f t="shared" si="14"/>
        <v>0</v>
      </c>
      <c r="C98">
        <f t="shared" si="15"/>
        <v>0</v>
      </c>
      <c r="D98">
        <f t="shared" si="15"/>
        <v>0</v>
      </c>
      <c r="E98">
        <f t="shared" si="15"/>
        <v>0</v>
      </c>
      <c r="F98">
        <f t="shared" si="16"/>
        <v>0</v>
      </c>
      <c r="G98">
        <f t="shared" si="17"/>
        <v>0</v>
      </c>
      <c r="H98">
        <f t="shared" si="18"/>
        <v>0</v>
      </c>
      <c r="I98">
        <f t="shared" si="19"/>
        <v>0</v>
      </c>
      <c r="J98">
        <f t="shared" si="12"/>
        <v>0</v>
      </c>
    </row>
    <row r="99" spans="1:10" x14ac:dyDescent="0.3">
      <c r="A99">
        <f t="shared" ref="A99:A159" si="20">A87*10</f>
        <v>27000000</v>
      </c>
      <c r="B99">
        <f t="shared" si="14"/>
        <v>0</v>
      </c>
      <c r="C99">
        <f t="shared" si="15"/>
        <v>0</v>
      </c>
      <c r="D99">
        <f t="shared" si="15"/>
        <v>0</v>
      </c>
      <c r="E99">
        <f t="shared" si="15"/>
        <v>0</v>
      </c>
      <c r="F99">
        <f t="shared" si="16"/>
        <v>0</v>
      </c>
      <c r="G99">
        <f t="shared" si="17"/>
        <v>0</v>
      </c>
      <c r="H99">
        <f t="shared" si="18"/>
        <v>0</v>
      </c>
      <c r="I99">
        <f t="shared" si="19"/>
        <v>0</v>
      </c>
      <c r="J99">
        <f t="shared" si="12"/>
        <v>0</v>
      </c>
    </row>
    <row r="100" spans="1:10" x14ac:dyDescent="0.3">
      <c r="A100">
        <f t="shared" si="20"/>
        <v>33000000</v>
      </c>
      <c r="B100">
        <f t="shared" si="14"/>
        <v>0</v>
      </c>
      <c r="C100">
        <f t="shared" si="15"/>
        <v>0</v>
      </c>
      <c r="D100">
        <f t="shared" si="15"/>
        <v>0</v>
      </c>
      <c r="E100">
        <f t="shared" si="15"/>
        <v>0</v>
      </c>
      <c r="F100">
        <f t="shared" si="16"/>
        <v>0</v>
      </c>
      <c r="G100">
        <f t="shared" si="17"/>
        <v>0</v>
      </c>
      <c r="H100">
        <f t="shared" si="18"/>
        <v>0</v>
      </c>
      <c r="I100">
        <f t="shared" si="19"/>
        <v>0</v>
      </c>
      <c r="J100">
        <f t="shared" si="12"/>
        <v>0</v>
      </c>
    </row>
    <row r="101" spans="1:10" x14ac:dyDescent="0.3">
      <c r="A101">
        <f t="shared" si="20"/>
        <v>39000000</v>
      </c>
      <c r="B101">
        <f t="shared" si="14"/>
        <v>0</v>
      </c>
      <c r="C101">
        <f t="shared" si="15"/>
        <v>0</v>
      </c>
      <c r="D101">
        <f t="shared" si="15"/>
        <v>0</v>
      </c>
      <c r="E101">
        <f t="shared" si="15"/>
        <v>0</v>
      </c>
      <c r="F101">
        <f t="shared" si="16"/>
        <v>0</v>
      </c>
      <c r="G101">
        <f t="shared" si="17"/>
        <v>0</v>
      </c>
      <c r="H101">
        <f t="shared" si="18"/>
        <v>0</v>
      </c>
      <c r="I101">
        <f t="shared" si="19"/>
        <v>0</v>
      </c>
      <c r="J101">
        <f t="shared" si="12"/>
        <v>0</v>
      </c>
    </row>
    <row r="102" spans="1:10" x14ac:dyDescent="0.3">
      <c r="A102">
        <f t="shared" si="20"/>
        <v>47000000</v>
      </c>
      <c r="B102">
        <f t="shared" si="14"/>
        <v>0</v>
      </c>
      <c r="C102">
        <f t="shared" si="15"/>
        <v>0</v>
      </c>
      <c r="D102">
        <f t="shared" si="15"/>
        <v>0</v>
      </c>
      <c r="E102">
        <f t="shared" si="15"/>
        <v>0</v>
      </c>
      <c r="F102">
        <f t="shared" si="16"/>
        <v>0</v>
      </c>
      <c r="G102">
        <f t="shared" si="17"/>
        <v>0</v>
      </c>
      <c r="H102">
        <f t="shared" si="18"/>
        <v>0</v>
      </c>
      <c r="I102">
        <f t="shared" si="19"/>
        <v>0</v>
      </c>
      <c r="J102">
        <f t="shared" si="12"/>
        <v>0</v>
      </c>
    </row>
    <row r="103" spans="1:10" x14ac:dyDescent="0.3">
      <c r="A103">
        <f t="shared" si="20"/>
        <v>56000000</v>
      </c>
      <c r="B103">
        <f t="shared" si="14"/>
        <v>0</v>
      </c>
      <c r="C103">
        <f t="shared" si="15"/>
        <v>0</v>
      </c>
      <c r="D103">
        <f t="shared" si="15"/>
        <v>0</v>
      </c>
      <c r="E103">
        <f t="shared" si="15"/>
        <v>0</v>
      </c>
      <c r="F103">
        <f t="shared" ref="F103:F134" si="21">IF(IF((F$3*10^12-$A104)*(F$3*10^12-$A103)*-1&lt;0,0,1)*IF(ABS(F$3*10^12-$A104)&gt;(F$3*10^12-$A103),$A103,$A104)=F104,0,IF((F$3*10^12-$A104)*(F$3*10^12-$A103)*-1&lt;0,0,1)*IF(ABS(F$3*10^12-$A104)&gt;(F$3*10^12-$A103),$A103,$A104))</f>
        <v>0</v>
      </c>
      <c r="G103">
        <f t="shared" ref="G103:G134" si="22">IF(IF((G$3*10^12-$A104)*(G$3*10^12-$A103)*-1&lt;0,0,1)*IF(ABS(G$3*10^12-$A104)&gt;(G$3*10^12-$A103),$A103,$A104)=G104,0,IF((G$3*10^12-$A104)*(G$3*10^12-$A103)*-1&lt;0,0,1)*IF(ABS(G$3*10^12-$A104)&gt;(G$3*10^12-$A103),$A103,$A104))</f>
        <v>0</v>
      </c>
      <c r="H103">
        <f t="shared" ref="H103:H134" si="23">IF(IF((H$3*10^12-$A104)*(H$3*10^12-$A103)*-1&lt;0,0,1)*IF(ABS(H$3*10^12-$A104)&gt;(H$3*10^12-$A103),$A103,$A104)=H104,0,IF((H$3*10^12-$A104)*(H$3*10^12-$A103)*-1&lt;0,0,1)*IF(ABS(H$3*10^12-$A104)&gt;(H$3*10^12-$A103),$A103,$A104))</f>
        <v>0</v>
      </c>
      <c r="I103">
        <f t="shared" ref="I103:I134" si="24">IF(IF((I$3*10^12-$A104)*(I$3*10^12-$A103)*-1&lt;0,0,1)*IF(ABS(I$3*10^12-$A104)&gt;(I$3*10^12-$A103),$A103,$A104)=I104,0,IF((I$3*10^12-$A104)*(I$3*10^12-$A103)*-1&lt;0,0,1)*IF(ABS(I$3*10^12-$A104)&gt;(I$3*10^12-$A103),$A103,$A104))</f>
        <v>0</v>
      </c>
      <c r="J103">
        <f t="shared" si="12"/>
        <v>0</v>
      </c>
    </row>
    <row r="104" spans="1:10" x14ac:dyDescent="0.3">
      <c r="A104">
        <f t="shared" si="20"/>
        <v>68000000</v>
      </c>
      <c r="B104">
        <f t="shared" si="14"/>
        <v>0</v>
      </c>
      <c r="C104">
        <f t="shared" si="15"/>
        <v>0</v>
      </c>
      <c r="D104">
        <f t="shared" si="15"/>
        <v>0</v>
      </c>
      <c r="E104">
        <f t="shared" si="15"/>
        <v>0</v>
      </c>
      <c r="F104">
        <f t="shared" si="21"/>
        <v>0</v>
      </c>
      <c r="G104">
        <f t="shared" si="22"/>
        <v>0</v>
      </c>
      <c r="H104">
        <f t="shared" si="23"/>
        <v>0</v>
      </c>
      <c r="I104">
        <f t="shared" si="24"/>
        <v>0</v>
      </c>
      <c r="J104">
        <f t="shared" si="12"/>
        <v>0</v>
      </c>
    </row>
    <row r="105" spans="1:10" x14ac:dyDescent="0.3">
      <c r="A105">
        <f t="shared" si="20"/>
        <v>82000000</v>
      </c>
      <c r="B105">
        <f t="shared" si="14"/>
        <v>0</v>
      </c>
      <c r="C105">
        <f t="shared" si="15"/>
        <v>0</v>
      </c>
      <c r="D105">
        <f t="shared" si="15"/>
        <v>0</v>
      </c>
      <c r="E105">
        <f t="shared" si="15"/>
        <v>0</v>
      </c>
      <c r="F105">
        <f t="shared" si="21"/>
        <v>0</v>
      </c>
      <c r="G105">
        <f t="shared" si="22"/>
        <v>0</v>
      </c>
      <c r="H105">
        <f t="shared" si="23"/>
        <v>0</v>
      </c>
      <c r="I105">
        <f t="shared" si="24"/>
        <v>0</v>
      </c>
      <c r="J105">
        <f t="shared" si="12"/>
        <v>0</v>
      </c>
    </row>
    <row r="106" spans="1:10" x14ac:dyDescent="0.3">
      <c r="A106">
        <f t="shared" si="20"/>
        <v>100000000</v>
      </c>
      <c r="B106">
        <f t="shared" si="14"/>
        <v>0</v>
      </c>
      <c r="C106">
        <f t="shared" si="15"/>
        <v>0</v>
      </c>
      <c r="D106">
        <f t="shared" si="15"/>
        <v>0</v>
      </c>
      <c r="E106">
        <f t="shared" si="15"/>
        <v>0</v>
      </c>
      <c r="F106">
        <f t="shared" si="21"/>
        <v>100000000</v>
      </c>
      <c r="G106">
        <f t="shared" si="22"/>
        <v>0</v>
      </c>
      <c r="H106">
        <f t="shared" si="23"/>
        <v>0</v>
      </c>
      <c r="I106">
        <f t="shared" si="24"/>
        <v>0</v>
      </c>
      <c r="J106">
        <f t="shared" si="12"/>
        <v>0</v>
      </c>
    </row>
    <row r="107" spans="1:10" x14ac:dyDescent="0.3">
      <c r="A107">
        <f t="shared" si="20"/>
        <v>120000000</v>
      </c>
      <c r="B107">
        <f t="shared" si="14"/>
        <v>0</v>
      </c>
      <c r="C107">
        <f t="shared" si="15"/>
        <v>0</v>
      </c>
      <c r="D107">
        <f t="shared" si="15"/>
        <v>0</v>
      </c>
      <c r="E107">
        <f t="shared" si="15"/>
        <v>0</v>
      </c>
      <c r="F107">
        <f t="shared" si="21"/>
        <v>0</v>
      </c>
      <c r="G107">
        <f t="shared" si="22"/>
        <v>0</v>
      </c>
      <c r="H107">
        <f t="shared" si="23"/>
        <v>0</v>
      </c>
      <c r="I107">
        <f t="shared" si="24"/>
        <v>0</v>
      </c>
      <c r="J107">
        <f t="shared" si="12"/>
        <v>0</v>
      </c>
    </row>
    <row r="108" spans="1:10" x14ac:dyDescent="0.3">
      <c r="A108">
        <f t="shared" si="20"/>
        <v>150000000</v>
      </c>
      <c r="B108">
        <f t="shared" si="14"/>
        <v>0</v>
      </c>
      <c r="C108">
        <f t="shared" si="15"/>
        <v>0</v>
      </c>
      <c r="D108">
        <f t="shared" si="15"/>
        <v>0</v>
      </c>
      <c r="E108">
        <f t="shared" si="15"/>
        <v>0</v>
      </c>
      <c r="F108">
        <f t="shared" si="21"/>
        <v>0</v>
      </c>
      <c r="G108">
        <f t="shared" si="22"/>
        <v>0</v>
      </c>
      <c r="H108">
        <f t="shared" si="23"/>
        <v>0</v>
      </c>
      <c r="I108">
        <f t="shared" si="24"/>
        <v>0</v>
      </c>
      <c r="J108">
        <f t="shared" si="12"/>
        <v>0</v>
      </c>
    </row>
    <row r="109" spans="1:10" x14ac:dyDescent="0.3">
      <c r="A109">
        <f t="shared" si="20"/>
        <v>180000000</v>
      </c>
      <c r="B109">
        <f t="shared" si="14"/>
        <v>0</v>
      </c>
      <c r="C109">
        <f t="shared" si="15"/>
        <v>0</v>
      </c>
      <c r="D109">
        <f t="shared" si="15"/>
        <v>0</v>
      </c>
      <c r="E109">
        <f t="shared" si="15"/>
        <v>0</v>
      </c>
      <c r="F109">
        <f t="shared" si="21"/>
        <v>0</v>
      </c>
      <c r="G109">
        <f t="shared" si="22"/>
        <v>0</v>
      </c>
      <c r="H109">
        <f t="shared" si="23"/>
        <v>0</v>
      </c>
      <c r="I109">
        <f t="shared" si="24"/>
        <v>0</v>
      </c>
      <c r="J109">
        <f t="shared" si="12"/>
        <v>0</v>
      </c>
    </row>
    <row r="110" spans="1:10" x14ac:dyDescent="0.3">
      <c r="A110">
        <f t="shared" si="20"/>
        <v>220000000</v>
      </c>
      <c r="B110">
        <f t="shared" si="14"/>
        <v>0</v>
      </c>
      <c r="C110">
        <f t="shared" si="15"/>
        <v>0</v>
      </c>
      <c r="D110">
        <f t="shared" si="15"/>
        <v>0</v>
      </c>
      <c r="E110">
        <f t="shared" si="15"/>
        <v>0</v>
      </c>
      <c r="F110">
        <f t="shared" si="21"/>
        <v>0</v>
      </c>
      <c r="G110">
        <f t="shared" si="22"/>
        <v>0</v>
      </c>
      <c r="H110">
        <f t="shared" si="23"/>
        <v>0</v>
      </c>
      <c r="I110">
        <f t="shared" si="24"/>
        <v>0</v>
      </c>
      <c r="J110">
        <f t="shared" si="12"/>
        <v>0</v>
      </c>
    </row>
    <row r="111" spans="1:10" x14ac:dyDescent="0.3">
      <c r="A111">
        <f t="shared" si="20"/>
        <v>270000000</v>
      </c>
      <c r="B111">
        <f t="shared" si="14"/>
        <v>0</v>
      </c>
      <c r="C111">
        <f t="shared" si="15"/>
        <v>0</v>
      </c>
      <c r="D111">
        <f t="shared" si="15"/>
        <v>0</v>
      </c>
      <c r="E111">
        <f t="shared" si="15"/>
        <v>0</v>
      </c>
      <c r="F111">
        <f t="shared" si="21"/>
        <v>0</v>
      </c>
      <c r="G111">
        <f t="shared" si="22"/>
        <v>0</v>
      </c>
      <c r="H111">
        <f t="shared" si="23"/>
        <v>0</v>
      </c>
      <c r="I111">
        <f t="shared" si="24"/>
        <v>0</v>
      </c>
      <c r="J111">
        <f t="shared" si="12"/>
        <v>0</v>
      </c>
    </row>
    <row r="112" spans="1:10" x14ac:dyDescent="0.3">
      <c r="A112">
        <f t="shared" si="20"/>
        <v>330000000</v>
      </c>
      <c r="B112">
        <f t="shared" si="14"/>
        <v>0</v>
      </c>
      <c r="C112">
        <f t="shared" si="15"/>
        <v>0</v>
      </c>
      <c r="D112">
        <f t="shared" si="15"/>
        <v>0</v>
      </c>
      <c r="E112">
        <f t="shared" si="15"/>
        <v>0</v>
      </c>
      <c r="F112">
        <f t="shared" si="21"/>
        <v>0</v>
      </c>
      <c r="G112">
        <f t="shared" si="22"/>
        <v>0</v>
      </c>
      <c r="H112">
        <f t="shared" si="23"/>
        <v>0</v>
      </c>
      <c r="I112">
        <f t="shared" si="24"/>
        <v>0</v>
      </c>
      <c r="J112">
        <f t="shared" si="12"/>
        <v>0</v>
      </c>
    </row>
    <row r="113" spans="1:10" x14ac:dyDescent="0.3">
      <c r="A113">
        <f t="shared" si="20"/>
        <v>390000000</v>
      </c>
      <c r="B113">
        <f t="shared" si="14"/>
        <v>0</v>
      </c>
      <c r="C113">
        <f t="shared" si="15"/>
        <v>0</v>
      </c>
      <c r="D113">
        <f t="shared" si="15"/>
        <v>0</v>
      </c>
      <c r="E113">
        <f t="shared" si="15"/>
        <v>0</v>
      </c>
      <c r="F113">
        <f t="shared" si="21"/>
        <v>0</v>
      </c>
      <c r="G113">
        <f t="shared" si="22"/>
        <v>0</v>
      </c>
      <c r="H113">
        <f t="shared" si="23"/>
        <v>0</v>
      </c>
      <c r="I113">
        <f t="shared" si="24"/>
        <v>0</v>
      </c>
      <c r="J113">
        <f t="shared" si="12"/>
        <v>0</v>
      </c>
    </row>
    <row r="114" spans="1:10" x14ac:dyDescent="0.3">
      <c r="A114">
        <f t="shared" si="20"/>
        <v>470000000</v>
      </c>
      <c r="B114">
        <f t="shared" si="14"/>
        <v>0</v>
      </c>
      <c r="C114">
        <f t="shared" si="15"/>
        <v>0</v>
      </c>
      <c r="D114">
        <f t="shared" si="15"/>
        <v>0</v>
      </c>
      <c r="E114">
        <f t="shared" si="15"/>
        <v>0</v>
      </c>
      <c r="F114">
        <f t="shared" si="21"/>
        <v>0</v>
      </c>
      <c r="G114">
        <f t="shared" si="22"/>
        <v>0</v>
      </c>
      <c r="H114">
        <f t="shared" si="23"/>
        <v>0</v>
      </c>
      <c r="I114">
        <f t="shared" si="24"/>
        <v>0</v>
      </c>
      <c r="J114">
        <f t="shared" si="12"/>
        <v>0</v>
      </c>
    </row>
    <row r="115" spans="1:10" x14ac:dyDescent="0.3">
      <c r="A115">
        <f t="shared" si="20"/>
        <v>560000000</v>
      </c>
      <c r="B115">
        <f t="shared" si="14"/>
        <v>0</v>
      </c>
      <c r="C115">
        <f t="shared" si="15"/>
        <v>0</v>
      </c>
      <c r="D115">
        <f t="shared" si="15"/>
        <v>0</v>
      </c>
      <c r="E115">
        <f t="shared" si="15"/>
        <v>560000000</v>
      </c>
      <c r="F115">
        <f t="shared" si="21"/>
        <v>0</v>
      </c>
      <c r="G115">
        <f t="shared" si="22"/>
        <v>0</v>
      </c>
      <c r="H115">
        <f t="shared" si="23"/>
        <v>0</v>
      </c>
      <c r="I115">
        <f t="shared" si="24"/>
        <v>0</v>
      </c>
      <c r="J115">
        <f t="shared" si="12"/>
        <v>0</v>
      </c>
    </row>
    <row r="116" spans="1:10" x14ac:dyDescent="0.3">
      <c r="A116">
        <f t="shared" si="20"/>
        <v>680000000</v>
      </c>
      <c r="B116">
        <f t="shared" si="14"/>
        <v>0</v>
      </c>
      <c r="C116">
        <f t="shared" si="15"/>
        <v>0</v>
      </c>
      <c r="D116">
        <f t="shared" si="15"/>
        <v>0</v>
      </c>
      <c r="E116">
        <f t="shared" si="15"/>
        <v>0</v>
      </c>
      <c r="F116">
        <f t="shared" si="21"/>
        <v>0</v>
      </c>
      <c r="G116">
        <f t="shared" si="22"/>
        <v>0</v>
      </c>
      <c r="H116">
        <f t="shared" si="23"/>
        <v>0</v>
      </c>
      <c r="I116">
        <f t="shared" si="24"/>
        <v>0</v>
      </c>
      <c r="J116">
        <f t="shared" si="12"/>
        <v>0</v>
      </c>
    </row>
    <row r="117" spans="1:10" x14ac:dyDescent="0.3">
      <c r="A117">
        <f t="shared" si="20"/>
        <v>820000000</v>
      </c>
      <c r="B117">
        <f t="shared" si="14"/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21"/>
        <v>0</v>
      </c>
      <c r="G117">
        <f t="shared" si="22"/>
        <v>0</v>
      </c>
      <c r="H117">
        <f t="shared" si="23"/>
        <v>0</v>
      </c>
      <c r="I117">
        <f t="shared" si="24"/>
        <v>0</v>
      </c>
      <c r="J117">
        <f t="shared" si="12"/>
        <v>0</v>
      </c>
    </row>
    <row r="118" spans="1:10" x14ac:dyDescent="0.3">
      <c r="A118">
        <f t="shared" si="20"/>
        <v>1000000000</v>
      </c>
      <c r="B118">
        <f t="shared" si="14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21"/>
        <v>0</v>
      </c>
      <c r="G118">
        <f t="shared" si="22"/>
        <v>0</v>
      </c>
      <c r="H118">
        <f t="shared" si="23"/>
        <v>0</v>
      </c>
      <c r="I118">
        <f t="shared" si="24"/>
        <v>0</v>
      </c>
      <c r="J118">
        <f t="shared" si="12"/>
        <v>0</v>
      </c>
    </row>
    <row r="119" spans="1:10" x14ac:dyDescent="0.3">
      <c r="A119">
        <f t="shared" si="20"/>
        <v>1200000000</v>
      </c>
      <c r="B119">
        <f t="shared" si="14"/>
        <v>0</v>
      </c>
      <c r="C119">
        <f t="shared" si="15"/>
        <v>0</v>
      </c>
      <c r="D119">
        <f t="shared" si="15"/>
        <v>0</v>
      </c>
      <c r="E119">
        <f t="shared" si="15"/>
        <v>0</v>
      </c>
      <c r="F119">
        <f t="shared" si="21"/>
        <v>0</v>
      </c>
      <c r="G119">
        <f t="shared" si="22"/>
        <v>0</v>
      </c>
      <c r="H119">
        <f t="shared" si="23"/>
        <v>0</v>
      </c>
      <c r="I119">
        <f t="shared" si="24"/>
        <v>0</v>
      </c>
      <c r="J119">
        <f t="shared" si="12"/>
        <v>0</v>
      </c>
    </row>
    <row r="120" spans="1:10" x14ac:dyDescent="0.3">
      <c r="A120">
        <f t="shared" si="20"/>
        <v>1500000000</v>
      </c>
      <c r="B120">
        <f t="shared" si="14"/>
        <v>0</v>
      </c>
      <c r="C120">
        <f t="shared" si="15"/>
        <v>0</v>
      </c>
      <c r="D120">
        <f t="shared" si="15"/>
        <v>0</v>
      </c>
      <c r="E120">
        <f t="shared" si="15"/>
        <v>0</v>
      </c>
      <c r="F120">
        <f t="shared" si="21"/>
        <v>0</v>
      </c>
      <c r="G120">
        <f t="shared" si="22"/>
        <v>0</v>
      </c>
      <c r="H120">
        <f t="shared" si="23"/>
        <v>0</v>
      </c>
      <c r="I120">
        <f t="shared" si="24"/>
        <v>0</v>
      </c>
      <c r="J120">
        <f t="shared" si="12"/>
        <v>0</v>
      </c>
    </row>
    <row r="121" spans="1:10" x14ac:dyDescent="0.3">
      <c r="A121">
        <f t="shared" si="20"/>
        <v>1800000000</v>
      </c>
      <c r="B121">
        <f t="shared" si="14"/>
        <v>0</v>
      </c>
      <c r="C121">
        <f t="shared" si="15"/>
        <v>0</v>
      </c>
      <c r="D121">
        <f t="shared" si="15"/>
        <v>0</v>
      </c>
      <c r="E121">
        <f t="shared" si="15"/>
        <v>0</v>
      </c>
      <c r="F121">
        <f t="shared" si="21"/>
        <v>0</v>
      </c>
      <c r="G121">
        <f t="shared" si="22"/>
        <v>0</v>
      </c>
      <c r="H121">
        <f t="shared" si="23"/>
        <v>0</v>
      </c>
      <c r="I121">
        <f t="shared" si="24"/>
        <v>0</v>
      </c>
      <c r="J121">
        <f t="shared" si="12"/>
        <v>0</v>
      </c>
    </row>
    <row r="122" spans="1:10" x14ac:dyDescent="0.3">
      <c r="A122">
        <f t="shared" si="20"/>
        <v>2200000000</v>
      </c>
      <c r="B122">
        <f t="shared" si="14"/>
        <v>0</v>
      </c>
      <c r="C122">
        <f t="shared" si="15"/>
        <v>0</v>
      </c>
      <c r="D122">
        <f t="shared" si="15"/>
        <v>0</v>
      </c>
      <c r="E122">
        <f t="shared" si="15"/>
        <v>0</v>
      </c>
      <c r="F122">
        <f t="shared" si="21"/>
        <v>0</v>
      </c>
      <c r="G122">
        <f t="shared" si="22"/>
        <v>0</v>
      </c>
      <c r="H122">
        <f t="shared" si="23"/>
        <v>0</v>
      </c>
      <c r="I122">
        <f t="shared" si="24"/>
        <v>0</v>
      </c>
      <c r="J122">
        <f t="shared" si="12"/>
        <v>0</v>
      </c>
    </row>
    <row r="123" spans="1:10" x14ac:dyDescent="0.3">
      <c r="A123">
        <f t="shared" si="20"/>
        <v>2700000000</v>
      </c>
      <c r="B123">
        <f t="shared" si="14"/>
        <v>0</v>
      </c>
      <c r="C123">
        <f t="shared" si="15"/>
        <v>0</v>
      </c>
      <c r="D123">
        <f t="shared" si="15"/>
        <v>0</v>
      </c>
      <c r="E123">
        <f t="shared" si="15"/>
        <v>0</v>
      </c>
      <c r="F123">
        <f t="shared" si="21"/>
        <v>0</v>
      </c>
      <c r="G123">
        <f t="shared" si="22"/>
        <v>0</v>
      </c>
      <c r="H123">
        <f t="shared" si="23"/>
        <v>0</v>
      </c>
      <c r="I123">
        <f t="shared" si="24"/>
        <v>0</v>
      </c>
      <c r="J123">
        <f t="shared" si="12"/>
        <v>0</v>
      </c>
    </row>
    <row r="124" spans="1:10" x14ac:dyDescent="0.3">
      <c r="A124">
        <f t="shared" si="20"/>
        <v>3300000000</v>
      </c>
      <c r="B124">
        <f t="shared" si="14"/>
        <v>0</v>
      </c>
      <c r="C124">
        <f t="shared" si="15"/>
        <v>0</v>
      </c>
      <c r="D124">
        <f t="shared" si="15"/>
        <v>0</v>
      </c>
      <c r="E124">
        <f t="shared" si="15"/>
        <v>0</v>
      </c>
      <c r="F124">
        <f t="shared" si="21"/>
        <v>0</v>
      </c>
      <c r="G124">
        <f t="shared" si="22"/>
        <v>0</v>
      </c>
      <c r="H124">
        <f t="shared" si="23"/>
        <v>0</v>
      </c>
      <c r="I124">
        <f t="shared" si="24"/>
        <v>0</v>
      </c>
      <c r="J124">
        <f t="shared" si="12"/>
        <v>0</v>
      </c>
    </row>
    <row r="125" spans="1:10" x14ac:dyDescent="0.3">
      <c r="A125">
        <f t="shared" si="20"/>
        <v>3900000000</v>
      </c>
      <c r="B125">
        <f t="shared" si="14"/>
        <v>0</v>
      </c>
      <c r="C125">
        <f t="shared" si="15"/>
        <v>0</v>
      </c>
      <c r="D125">
        <f t="shared" si="15"/>
        <v>0</v>
      </c>
      <c r="E125">
        <f t="shared" si="15"/>
        <v>0</v>
      </c>
      <c r="F125">
        <f t="shared" si="21"/>
        <v>0</v>
      </c>
      <c r="G125">
        <f t="shared" si="22"/>
        <v>0</v>
      </c>
      <c r="H125">
        <f t="shared" si="23"/>
        <v>0</v>
      </c>
      <c r="I125">
        <f t="shared" si="24"/>
        <v>0</v>
      </c>
      <c r="J125">
        <f t="shared" si="12"/>
        <v>0</v>
      </c>
    </row>
    <row r="126" spans="1:10" x14ac:dyDescent="0.3">
      <c r="A126">
        <f t="shared" si="20"/>
        <v>4700000000</v>
      </c>
      <c r="B126">
        <f t="shared" si="14"/>
        <v>0</v>
      </c>
      <c r="C126">
        <f t="shared" si="15"/>
        <v>0</v>
      </c>
      <c r="D126">
        <f t="shared" si="15"/>
        <v>0</v>
      </c>
      <c r="E126">
        <f t="shared" si="15"/>
        <v>0</v>
      </c>
      <c r="F126">
        <f t="shared" si="21"/>
        <v>0</v>
      </c>
      <c r="G126">
        <f t="shared" si="22"/>
        <v>0</v>
      </c>
      <c r="H126">
        <f t="shared" si="23"/>
        <v>0</v>
      </c>
      <c r="I126">
        <f t="shared" si="24"/>
        <v>0</v>
      </c>
      <c r="J126">
        <f t="shared" si="12"/>
        <v>0</v>
      </c>
    </row>
    <row r="127" spans="1:10" x14ac:dyDescent="0.3">
      <c r="A127">
        <f t="shared" si="20"/>
        <v>5600000000</v>
      </c>
      <c r="B127">
        <f t="shared" si="14"/>
        <v>0</v>
      </c>
      <c r="C127">
        <f t="shared" si="15"/>
        <v>0</v>
      </c>
      <c r="D127">
        <f t="shared" si="15"/>
        <v>0</v>
      </c>
      <c r="E127">
        <f t="shared" si="15"/>
        <v>0</v>
      </c>
      <c r="F127">
        <f t="shared" si="21"/>
        <v>0</v>
      </c>
      <c r="G127">
        <f t="shared" si="22"/>
        <v>0</v>
      </c>
      <c r="H127">
        <f t="shared" si="23"/>
        <v>0</v>
      </c>
      <c r="I127">
        <f t="shared" si="24"/>
        <v>0</v>
      </c>
      <c r="J127">
        <f t="shared" si="12"/>
        <v>0</v>
      </c>
    </row>
    <row r="128" spans="1:10" x14ac:dyDescent="0.3">
      <c r="A128">
        <f t="shared" si="20"/>
        <v>6800000000</v>
      </c>
      <c r="B128">
        <f t="shared" si="14"/>
        <v>0</v>
      </c>
      <c r="C128">
        <f t="shared" si="15"/>
        <v>0</v>
      </c>
      <c r="D128">
        <f t="shared" si="15"/>
        <v>0</v>
      </c>
      <c r="E128">
        <f t="shared" si="15"/>
        <v>0</v>
      </c>
      <c r="F128">
        <f t="shared" si="21"/>
        <v>0</v>
      </c>
      <c r="G128">
        <f t="shared" si="22"/>
        <v>0</v>
      </c>
      <c r="H128">
        <f t="shared" si="23"/>
        <v>0</v>
      </c>
      <c r="I128">
        <f t="shared" si="24"/>
        <v>0</v>
      </c>
      <c r="J128">
        <f t="shared" si="12"/>
        <v>0</v>
      </c>
    </row>
    <row r="129" spans="1:10" x14ac:dyDescent="0.3">
      <c r="A129">
        <f t="shared" si="20"/>
        <v>8200000000</v>
      </c>
      <c r="B129">
        <f t="shared" si="14"/>
        <v>0</v>
      </c>
      <c r="C129">
        <f t="shared" si="15"/>
        <v>0</v>
      </c>
      <c r="D129">
        <f t="shared" si="15"/>
        <v>0</v>
      </c>
      <c r="E129">
        <f t="shared" si="15"/>
        <v>0</v>
      </c>
      <c r="F129">
        <f t="shared" si="21"/>
        <v>0</v>
      </c>
      <c r="G129">
        <f t="shared" si="22"/>
        <v>0</v>
      </c>
      <c r="H129">
        <f t="shared" si="23"/>
        <v>0</v>
      </c>
      <c r="I129">
        <f t="shared" si="24"/>
        <v>0</v>
      </c>
      <c r="J129">
        <f t="shared" si="12"/>
        <v>0</v>
      </c>
    </row>
    <row r="130" spans="1:10" x14ac:dyDescent="0.3">
      <c r="A130">
        <f t="shared" si="20"/>
        <v>10000000000</v>
      </c>
      <c r="B130">
        <f t="shared" si="14"/>
        <v>0</v>
      </c>
      <c r="C130">
        <f t="shared" si="15"/>
        <v>0</v>
      </c>
      <c r="D130">
        <f t="shared" si="15"/>
        <v>0</v>
      </c>
      <c r="E130">
        <f t="shared" si="15"/>
        <v>0</v>
      </c>
      <c r="F130">
        <f t="shared" si="21"/>
        <v>0</v>
      </c>
      <c r="G130">
        <f t="shared" si="22"/>
        <v>0</v>
      </c>
      <c r="H130">
        <f t="shared" si="23"/>
        <v>0</v>
      </c>
      <c r="I130">
        <f t="shared" si="24"/>
        <v>0</v>
      </c>
      <c r="J130">
        <f t="shared" si="12"/>
        <v>0</v>
      </c>
    </row>
    <row r="131" spans="1:10" x14ac:dyDescent="0.3">
      <c r="A131">
        <f t="shared" si="20"/>
        <v>12000000000</v>
      </c>
      <c r="B131">
        <f t="shared" si="14"/>
        <v>0</v>
      </c>
      <c r="C131">
        <f t="shared" si="15"/>
        <v>0</v>
      </c>
      <c r="D131">
        <f t="shared" si="15"/>
        <v>0</v>
      </c>
      <c r="E131">
        <f t="shared" si="15"/>
        <v>0</v>
      </c>
      <c r="F131">
        <f t="shared" si="21"/>
        <v>0</v>
      </c>
      <c r="G131">
        <f t="shared" si="22"/>
        <v>0</v>
      </c>
      <c r="H131">
        <f t="shared" si="23"/>
        <v>0</v>
      </c>
      <c r="I131">
        <f t="shared" si="24"/>
        <v>0</v>
      </c>
      <c r="J131">
        <f t="shared" si="12"/>
        <v>0</v>
      </c>
    </row>
    <row r="132" spans="1:10" x14ac:dyDescent="0.3">
      <c r="A132">
        <f t="shared" si="20"/>
        <v>15000000000</v>
      </c>
      <c r="B132">
        <f t="shared" si="14"/>
        <v>0</v>
      </c>
      <c r="C132">
        <f t="shared" si="15"/>
        <v>0</v>
      </c>
      <c r="D132">
        <f t="shared" si="15"/>
        <v>0</v>
      </c>
      <c r="E132">
        <f t="shared" si="15"/>
        <v>0</v>
      </c>
      <c r="F132">
        <f t="shared" si="21"/>
        <v>0</v>
      </c>
      <c r="G132">
        <f t="shared" si="22"/>
        <v>0</v>
      </c>
      <c r="H132">
        <f t="shared" si="23"/>
        <v>0</v>
      </c>
      <c r="I132">
        <f t="shared" si="24"/>
        <v>0</v>
      </c>
      <c r="J132">
        <f t="shared" si="12"/>
        <v>0</v>
      </c>
    </row>
    <row r="133" spans="1:10" x14ac:dyDescent="0.3">
      <c r="A133">
        <f t="shared" si="20"/>
        <v>18000000000</v>
      </c>
      <c r="B133">
        <f t="shared" si="14"/>
        <v>0</v>
      </c>
      <c r="C133">
        <f t="shared" si="15"/>
        <v>0</v>
      </c>
      <c r="D133">
        <f t="shared" si="15"/>
        <v>0</v>
      </c>
      <c r="E133">
        <f t="shared" si="15"/>
        <v>0</v>
      </c>
      <c r="F133">
        <f t="shared" si="21"/>
        <v>0</v>
      </c>
      <c r="G133">
        <f t="shared" si="22"/>
        <v>0</v>
      </c>
      <c r="H133">
        <f t="shared" si="23"/>
        <v>0</v>
      </c>
      <c r="I133">
        <f t="shared" si="24"/>
        <v>0</v>
      </c>
      <c r="J133">
        <f>IF(IF((J$3*10^12-$A134)*(J$3*10^12-$A133)*-1&lt;0,0,1)*IF(ABS(J$3*10^12-$A134)&gt;(J$3*10^12-$A133),$A133,$A134)=J134,0,IF((J$3*10^12-$A134)*(J$3*10^12-$A133)*-1&lt;0,0,1)*IF(ABS(J$3*10^12-$A134)&gt;(J$3*10^12-$A133),$A133,$A134))</f>
        <v>0</v>
      </c>
    </row>
    <row r="134" spans="1:10" x14ac:dyDescent="0.3">
      <c r="A134">
        <f t="shared" si="20"/>
        <v>22000000000</v>
      </c>
      <c r="B134">
        <f t="shared" si="14"/>
        <v>0</v>
      </c>
      <c r="C134">
        <f t="shared" si="15"/>
        <v>0</v>
      </c>
      <c r="D134">
        <f t="shared" si="15"/>
        <v>0</v>
      </c>
      <c r="E134">
        <f t="shared" ref="E134:J159" si="25">IF(IF((E$3*10^12-$A135)*(E$3*10^12-$A134)*-1&lt;0,0,1)*IF(ABS(E$3*10^12-$A135)&gt;(E$3*10^12-$A134),$A134,$A135)=E135,0,IF((E$3*10^12-$A135)*(E$3*10^12-$A134)*-1&lt;0,0,1)*IF(ABS(E$3*10^12-$A135)&gt;(E$3*10^12-$A134),$A134,$A135))</f>
        <v>0</v>
      </c>
      <c r="F134">
        <f t="shared" si="21"/>
        <v>0</v>
      </c>
      <c r="G134">
        <f t="shared" si="22"/>
        <v>0</v>
      </c>
      <c r="H134">
        <f t="shared" si="23"/>
        <v>0</v>
      </c>
      <c r="I134">
        <f t="shared" si="24"/>
        <v>0</v>
      </c>
      <c r="J134">
        <f>IF(IF((J$3*10^12-$A135)*(J$3*10^12-$A134)*-1&lt;0,0,1)*IF(ABS(J$3*10^12-$A135)&gt;(J$3*10^12-$A134),$A134,$A135)=J135,0,IF((J$3*10^12-$A135)*(J$3*10^12-$A134)*-1&lt;0,0,1)*IF(ABS(J$3*10^12-$A135)&gt;(J$3*10^12-$A134),$A134,$A135))</f>
        <v>0</v>
      </c>
    </row>
    <row r="135" spans="1:10" x14ac:dyDescent="0.3">
      <c r="A135">
        <f t="shared" si="20"/>
        <v>27000000000</v>
      </c>
      <c r="B135">
        <f t="shared" ref="B135:B159" si="26">IF(IF((B$3*10^12-$A136)*(B$3*10^12-$A135)*-1&lt;0,0,1)*IF(ABS(B$3*10^12-$A136)&gt;(B$3*10^12-$A135),$A135,$A136)=B136,0,IF((B$3*10^12-$A136)*(B$3*10^12-$A135)*-1&lt;0,0,1)*IF(ABS(B$3*10^12-$A136)&gt;(B$3*10^12-$A135),$A135,$A136))</f>
        <v>0</v>
      </c>
      <c r="C135">
        <f t="shared" ref="C135:D159" si="27">IF(IF((C$3*10^12-$A136)*(C$3*10^12-$A135)*-1&lt;0,0,1)*IF(ABS(C$3*10^12-$A136)&gt;(C$3*10^12-$A135),$A135,$A136)=C136,0,IF((C$3*10^12-$A136)*(C$3*10^12-$A135)*-1&lt;0,0,1)*IF(ABS(C$3*10^12-$A136)&gt;(C$3*10^12-$A135),$A135,$A136))</f>
        <v>0</v>
      </c>
      <c r="D135">
        <f t="shared" si="27"/>
        <v>0</v>
      </c>
      <c r="E135">
        <f t="shared" si="25"/>
        <v>0</v>
      </c>
      <c r="F135">
        <f t="shared" si="25"/>
        <v>0</v>
      </c>
      <c r="G135">
        <f t="shared" si="25"/>
        <v>0</v>
      </c>
      <c r="H135">
        <f t="shared" si="25"/>
        <v>0</v>
      </c>
      <c r="I135">
        <f t="shared" si="25"/>
        <v>0</v>
      </c>
      <c r="J135">
        <f t="shared" si="25"/>
        <v>0</v>
      </c>
    </row>
    <row r="136" spans="1:10" x14ac:dyDescent="0.3">
      <c r="A136">
        <f t="shared" si="20"/>
        <v>33000000000</v>
      </c>
      <c r="B136">
        <f t="shared" si="26"/>
        <v>0</v>
      </c>
      <c r="C136">
        <f t="shared" si="27"/>
        <v>0</v>
      </c>
      <c r="D136">
        <f t="shared" si="27"/>
        <v>0</v>
      </c>
      <c r="E136">
        <f t="shared" si="25"/>
        <v>0</v>
      </c>
      <c r="F136">
        <f t="shared" si="25"/>
        <v>0</v>
      </c>
      <c r="G136">
        <f t="shared" si="25"/>
        <v>0</v>
      </c>
      <c r="H136">
        <f t="shared" si="25"/>
        <v>0</v>
      </c>
      <c r="I136">
        <f t="shared" si="25"/>
        <v>0</v>
      </c>
      <c r="J136">
        <f t="shared" si="25"/>
        <v>0</v>
      </c>
    </row>
    <row r="137" spans="1:10" x14ac:dyDescent="0.3">
      <c r="A137">
        <f t="shared" si="20"/>
        <v>39000000000</v>
      </c>
      <c r="B137">
        <f t="shared" si="26"/>
        <v>0</v>
      </c>
      <c r="C137">
        <f t="shared" si="27"/>
        <v>0</v>
      </c>
      <c r="D137">
        <f t="shared" si="27"/>
        <v>0</v>
      </c>
      <c r="E137">
        <f t="shared" si="25"/>
        <v>0</v>
      </c>
      <c r="F137">
        <f t="shared" si="25"/>
        <v>0</v>
      </c>
      <c r="G137">
        <f t="shared" si="25"/>
        <v>0</v>
      </c>
      <c r="H137">
        <f t="shared" si="25"/>
        <v>0</v>
      </c>
      <c r="I137">
        <f t="shared" si="25"/>
        <v>0</v>
      </c>
      <c r="J137">
        <f t="shared" si="25"/>
        <v>0</v>
      </c>
    </row>
    <row r="138" spans="1:10" x14ac:dyDescent="0.3">
      <c r="A138">
        <f t="shared" si="20"/>
        <v>47000000000</v>
      </c>
      <c r="B138">
        <f t="shared" si="26"/>
        <v>0</v>
      </c>
      <c r="C138">
        <f t="shared" si="27"/>
        <v>0</v>
      </c>
      <c r="D138">
        <f t="shared" si="27"/>
        <v>0</v>
      </c>
      <c r="E138">
        <f t="shared" si="25"/>
        <v>0</v>
      </c>
      <c r="F138">
        <f t="shared" si="25"/>
        <v>0</v>
      </c>
      <c r="G138">
        <f t="shared" si="25"/>
        <v>0</v>
      </c>
      <c r="H138">
        <f t="shared" si="25"/>
        <v>0</v>
      </c>
      <c r="I138">
        <f t="shared" si="25"/>
        <v>0</v>
      </c>
      <c r="J138">
        <f t="shared" si="25"/>
        <v>0</v>
      </c>
    </row>
    <row r="139" spans="1:10" x14ac:dyDescent="0.3">
      <c r="A139">
        <f t="shared" si="20"/>
        <v>56000000000</v>
      </c>
      <c r="B139">
        <f t="shared" si="26"/>
        <v>0</v>
      </c>
      <c r="C139">
        <f t="shared" si="27"/>
        <v>0</v>
      </c>
      <c r="D139">
        <f t="shared" si="27"/>
        <v>0</v>
      </c>
      <c r="E139">
        <f t="shared" si="25"/>
        <v>0</v>
      </c>
      <c r="F139">
        <f t="shared" si="25"/>
        <v>0</v>
      </c>
      <c r="G139">
        <f t="shared" si="25"/>
        <v>0</v>
      </c>
      <c r="H139">
        <f t="shared" si="25"/>
        <v>0</v>
      </c>
      <c r="I139">
        <f t="shared" si="25"/>
        <v>0</v>
      </c>
      <c r="J139">
        <f t="shared" si="25"/>
        <v>0</v>
      </c>
    </row>
    <row r="140" spans="1:10" x14ac:dyDescent="0.3">
      <c r="A140">
        <f t="shared" si="20"/>
        <v>68000000000</v>
      </c>
      <c r="B140">
        <f t="shared" si="26"/>
        <v>0</v>
      </c>
      <c r="C140">
        <f t="shared" si="27"/>
        <v>0</v>
      </c>
      <c r="D140">
        <f t="shared" si="27"/>
        <v>0</v>
      </c>
      <c r="E140">
        <f t="shared" si="25"/>
        <v>0</v>
      </c>
      <c r="F140">
        <f t="shared" si="25"/>
        <v>0</v>
      </c>
      <c r="G140">
        <f t="shared" si="25"/>
        <v>0</v>
      </c>
      <c r="H140">
        <f t="shared" si="25"/>
        <v>0</v>
      </c>
      <c r="I140">
        <f t="shared" si="25"/>
        <v>0</v>
      </c>
      <c r="J140">
        <f t="shared" si="25"/>
        <v>0</v>
      </c>
    </row>
    <row r="141" spans="1:10" x14ac:dyDescent="0.3">
      <c r="A141">
        <f t="shared" si="20"/>
        <v>82000000000</v>
      </c>
      <c r="B141">
        <f t="shared" si="26"/>
        <v>0</v>
      </c>
      <c r="C141">
        <f t="shared" si="27"/>
        <v>0</v>
      </c>
      <c r="D141">
        <f t="shared" si="27"/>
        <v>0</v>
      </c>
      <c r="E141">
        <f t="shared" si="25"/>
        <v>0</v>
      </c>
      <c r="F141">
        <f t="shared" si="25"/>
        <v>0</v>
      </c>
      <c r="G141">
        <f t="shared" si="25"/>
        <v>0</v>
      </c>
      <c r="H141">
        <f t="shared" si="25"/>
        <v>0</v>
      </c>
      <c r="I141">
        <f t="shared" si="25"/>
        <v>0</v>
      </c>
      <c r="J141">
        <f t="shared" si="25"/>
        <v>0</v>
      </c>
    </row>
    <row r="142" spans="1:10" x14ac:dyDescent="0.3">
      <c r="A142">
        <f t="shared" si="20"/>
        <v>100000000000</v>
      </c>
      <c r="B142">
        <f t="shared" si="26"/>
        <v>0</v>
      </c>
      <c r="C142">
        <f t="shared" si="27"/>
        <v>0</v>
      </c>
      <c r="D142">
        <f t="shared" si="27"/>
        <v>0</v>
      </c>
      <c r="E142">
        <f t="shared" si="25"/>
        <v>0</v>
      </c>
      <c r="F142">
        <f t="shared" si="25"/>
        <v>0</v>
      </c>
      <c r="G142">
        <f t="shared" si="25"/>
        <v>0</v>
      </c>
      <c r="H142">
        <f t="shared" si="25"/>
        <v>0</v>
      </c>
      <c r="I142">
        <f t="shared" si="25"/>
        <v>0</v>
      </c>
      <c r="J142">
        <f t="shared" si="25"/>
        <v>0</v>
      </c>
    </row>
    <row r="143" spans="1:10" x14ac:dyDescent="0.3">
      <c r="A143">
        <f t="shared" si="20"/>
        <v>120000000000</v>
      </c>
      <c r="B143">
        <f t="shared" si="26"/>
        <v>0</v>
      </c>
      <c r="C143">
        <f t="shared" si="27"/>
        <v>0</v>
      </c>
      <c r="D143">
        <f t="shared" si="27"/>
        <v>0</v>
      </c>
      <c r="E143">
        <f t="shared" si="25"/>
        <v>0</v>
      </c>
      <c r="F143">
        <f t="shared" si="25"/>
        <v>0</v>
      </c>
      <c r="G143">
        <f t="shared" si="25"/>
        <v>0</v>
      </c>
      <c r="H143">
        <f t="shared" si="25"/>
        <v>0</v>
      </c>
      <c r="I143">
        <f t="shared" si="25"/>
        <v>0</v>
      </c>
      <c r="J143">
        <f t="shared" si="25"/>
        <v>0</v>
      </c>
    </row>
    <row r="144" spans="1:10" x14ac:dyDescent="0.3">
      <c r="A144">
        <f t="shared" si="20"/>
        <v>150000000000</v>
      </c>
      <c r="B144">
        <f t="shared" si="26"/>
        <v>0</v>
      </c>
      <c r="C144">
        <f t="shared" si="27"/>
        <v>0</v>
      </c>
      <c r="D144">
        <f t="shared" si="27"/>
        <v>0</v>
      </c>
      <c r="E144">
        <f t="shared" si="25"/>
        <v>0</v>
      </c>
      <c r="F144">
        <f t="shared" si="25"/>
        <v>0</v>
      </c>
      <c r="G144">
        <f t="shared" si="25"/>
        <v>0</v>
      </c>
      <c r="H144">
        <f t="shared" si="25"/>
        <v>0</v>
      </c>
      <c r="I144">
        <f t="shared" si="25"/>
        <v>0</v>
      </c>
      <c r="J144">
        <f t="shared" si="25"/>
        <v>0</v>
      </c>
    </row>
    <row r="145" spans="1:10" x14ac:dyDescent="0.3">
      <c r="A145">
        <f t="shared" si="20"/>
        <v>180000000000</v>
      </c>
      <c r="B145">
        <f t="shared" si="26"/>
        <v>0</v>
      </c>
      <c r="C145">
        <f t="shared" si="27"/>
        <v>0</v>
      </c>
      <c r="D145">
        <f t="shared" si="27"/>
        <v>0</v>
      </c>
      <c r="E145">
        <f t="shared" si="25"/>
        <v>0</v>
      </c>
      <c r="F145">
        <f t="shared" si="25"/>
        <v>0</v>
      </c>
      <c r="G145">
        <f t="shared" si="25"/>
        <v>0</v>
      </c>
      <c r="H145">
        <f t="shared" si="25"/>
        <v>0</v>
      </c>
      <c r="I145">
        <f t="shared" si="25"/>
        <v>0</v>
      </c>
      <c r="J145">
        <f t="shared" si="25"/>
        <v>0</v>
      </c>
    </row>
    <row r="146" spans="1:10" x14ac:dyDescent="0.3">
      <c r="A146">
        <f t="shared" si="20"/>
        <v>220000000000</v>
      </c>
      <c r="B146">
        <f t="shared" si="26"/>
        <v>0</v>
      </c>
      <c r="C146">
        <f t="shared" si="27"/>
        <v>0</v>
      </c>
      <c r="D146">
        <f t="shared" si="27"/>
        <v>0</v>
      </c>
      <c r="E146">
        <f t="shared" si="25"/>
        <v>0</v>
      </c>
      <c r="F146">
        <f t="shared" si="25"/>
        <v>0</v>
      </c>
      <c r="G146">
        <f t="shared" si="25"/>
        <v>0</v>
      </c>
      <c r="H146">
        <f t="shared" si="25"/>
        <v>0</v>
      </c>
      <c r="I146">
        <f t="shared" si="25"/>
        <v>0</v>
      </c>
      <c r="J146">
        <f t="shared" si="25"/>
        <v>0</v>
      </c>
    </row>
    <row r="147" spans="1:10" x14ac:dyDescent="0.3">
      <c r="A147">
        <f t="shared" si="20"/>
        <v>270000000000</v>
      </c>
      <c r="B147">
        <f t="shared" si="26"/>
        <v>0</v>
      </c>
      <c r="C147">
        <f t="shared" si="27"/>
        <v>0</v>
      </c>
      <c r="D147">
        <f t="shared" si="27"/>
        <v>0</v>
      </c>
      <c r="E147">
        <f t="shared" si="25"/>
        <v>0</v>
      </c>
      <c r="F147">
        <f t="shared" si="25"/>
        <v>0</v>
      </c>
      <c r="G147">
        <f t="shared" si="25"/>
        <v>0</v>
      </c>
      <c r="H147">
        <f t="shared" si="25"/>
        <v>0</v>
      </c>
      <c r="I147">
        <f t="shared" si="25"/>
        <v>0</v>
      </c>
      <c r="J147">
        <f t="shared" si="25"/>
        <v>0</v>
      </c>
    </row>
    <row r="148" spans="1:10" x14ac:dyDescent="0.3">
      <c r="A148">
        <f t="shared" si="20"/>
        <v>330000000000</v>
      </c>
      <c r="B148">
        <f t="shared" si="26"/>
        <v>0</v>
      </c>
      <c r="C148">
        <f t="shared" si="27"/>
        <v>0</v>
      </c>
      <c r="D148">
        <f t="shared" si="27"/>
        <v>0</v>
      </c>
      <c r="E148">
        <f t="shared" si="25"/>
        <v>0</v>
      </c>
      <c r="F148">
        <f t="shared" si="25"/>
        <v>0</v>
      </c>
      <c r="G148">
        <f t="shared" si="25"/>
        <v>0</v>
      </c>
      <c r="H148">
        <f t="shared" si="25"/>
        <v>0</v>
      </c>
      <c r="I148">
        <f t="shared" si="25"/>
        <v>0</v>
      </c>
      <c r="J148">
        <f t="shared" si="25"/>
        <v>0</v>
      </c>
    </row>
    <row r="149" spans="1:10" x14ac:dyDescent="0.3">
      <c r="A149">
        <f t="shared" si="20"/>
        <v>390000000000</v>
      </c>
      <c r="B149">
        <f t="shared" si="26"/>
        <v>0</v>
      </c>
      <c r="C149">
        <f t="shared" si="27"/>
        <v>0</v>
      </c>
      <c r="D149">
        <f t="shared" si="27"/>
        <v>0</v>
      </c>
      <c r="E149">
        <f t="shared" si="25"/>
        <v>0</v>
      </c>
      <c r="F149">
        <f t="shared" si="25"/>
        <v>0</v>
      </c>
      <c r="G149">
        <f t="shared" si="25"/>
        <v>0</v>
      </c>
      <c r="H149">
        <f t="shared" si="25"/>
        <v>0</v>
      </c>
      <c r="I149">
        <f t="shared" si="25"/>
        <v>0</v>
      </c>
      <c r="J149">
        <f t="shared" si="25"/>
        <v>0</v>
      </c>
    </row>
    <row r="150" spans="1:10" x14ac:dyDescent="0.3">
      <c r="A150">
        <f t="shared" si="20"/>
        <v>470000000000</v>
      </c>
      <c r="B150">
        <f t="shared" si="26"/>
        <v>0</v>
      </c>
      <c r="C150">
        <f t="shared" si="27"/>
        <v>0</v>
      </c>
      <c r="D150">
        <f t="shared" si="27"/>
        <v>0</v>
      </c>
      <c r="E150">
        <f t="shared" si="25"/>
        <v>0</v>
      </c>
      <c r="F150">
        <f t="shared" si="25"/>
        <v>0</v>
      </c>
      <c r="G150">
        <f t="shared" si="25"/>
        <v>0</v>
      </c>
      <c r="H150">
        <f t="shared" si="25"/>
        <v>0</v>
      </c>
      <c r="I150">
        <f t="shared" si="25"/>
        <v>0</v>
      </c>
      <c r="J150">
        <f t="shared" si="25"/>
        <v>0</v>
      </c>
    </row>
    <row r="151" spans="1:10" x14ac:dyDescent="0.3">
      <c r="A151">
        <f t="shared" si="20"/>
        <v>560000000000</v>
      </c>
      <c r="B151">
        <f t="shared" si="26"/>
        <v>0</v>
      </c>
      <c r="C151">
        <f t="shared" si="27"/>
        <v>0</v>
      </c>
      <c r="D151">
        <f t="shared" si="27"/>
        <v>0</v>
      </c>
      <c r="E151">
        <f t="shared" si="25"/>
        <v>0</v>
      </c>
      <c r="F151">
        <f t="shared" si="25"/>
        <v>0</v>
      </c>
      <c r="G151">
        <f t="shared" si="25"/>
        <v>0</v>
      </c>
      <c r="H151">
        <f t="shared" si="25"/>
        <v>0</v>
      </c>
      <c r="I151">
        <f t="shared" si="25"/>
        <v>0</v>
      </c>
      <c r="J151">
        <f t="shared" si="25"/>
        <v>0</v>
      </c>
    </row>
    <row r="152" spans="1:10" x14ac:dyDescent="0.3">
      <c r="A152">
        <f t="shared" si="20"/>
        <v>680000000000</v>
      </c>
      <c r="B152">
        <f t="shared" si="26"/>
        <v>0</v>
      </c>
      <c r="C152">
        <f t="shared" si="27"/>
        <v>0</v>
      </c>
      <c r="D152">
        <f t="shared" si="27"/>
        <v>0</v>
      </c>
      <c r="E152">
        <f t="shared" si="25"/>
        <v>0</v>
      </c>
      <c r="F152">
        <f t="shared" si="25"/>
        <v>0</v>
      </c>
      <c r="G152">
        <f t="shared" si="25"/>
        <v>0</v>
      </c>
      <c r="H152">
        <f t="shared" si="25"/>
        <v>0</v>
      </c>
      <c r="I152">
        <f t="shared" si="25"/>
        <v>0</v>
      </c>
      <c r="J152">
        <f t="shared" si="25"/>
        <v>0</v>
      </c>
    </row>
    <row r="153" spans="1:10" x14ac:dyDescent="0.3">
      <c r="A153">
        <f t="shared" si="20"/>
        <v>820000000000</v>
      </c>
      <c r="B153">
        <f t="shared" si="26"/>
        <v>0</v>
      </c>
      <c r="C153">
        <f t="shared" si="27"/>
        <v>0</v>
      </c>
      <c r="D153">
        <f t="shared" si="27"/>
        <v>0</v>
      </c>
      <c r="E153">
        <f t="shared" si="25"/>
        <v>0</v>
      </c>
      <c r="F153">
        <f t="shared" si="25"/>
        <v>0</v>
      </c>
      <c r="G153">
        <f t="shared" si="25"/>
        <v>0</v>
      </c>
      <c r="H153">
        <f t="shared" si="25"/>
        <v>0</v>
      </c>
      <c r="I153">
        <f t="shared" si="25"/>
        <v>0</v>
      </c>
      <c r="J153">
        <f t="shared" si="25"/>
        <v>0</v>
      </c>
    </row>
    <row r="154" spans="1:10" x14ac:dyDescent="0.3">
      <c r="A154">
        <f t="shared" si="20"/>
        <v>1000000000000</v>
      </c>
      <c r="B154">
        <f t="shared" si="26"/>
        <v>0</v>
      </c>
      <c r="C154">
        <f t="shared" si="27"/>
        <v>0</v>
      </c>
      <c r="D154">
        <f t="shared" si="27"/>
        <v>0</v>
      </c>
      <c r="E154">
        <f t="shared" si="25"/>
        <v>0</v>
      </c>
      <c r="F154">
        <f t="shared" si="25"/>
        <v>0</v>
      </c>
      <c r="G154">
        <f t="shared" si="25"/>
        <v>0</v>
      </c>
      <c r="H154">
        <f t="shared" si="25"/>
        <v>0</v>
      </c>
      <c r="I154">
        <f t="shared" si="25"/>
        <v>0</v>
      </c>
      <c r="J154">
        <f t="shared" si="25"/>
        <v>0</v>
      </c>
    </row>
    <row r="155" spans="1:10" x14ac:dyDescent="0.3">
      <c r="A155">
        <f t="shared" si="20"/>
        <v>1200000000000</v>
      </c>
      <c r="B155">
        <f t="shared" si="26"/>
        <v>0</v>
      </c>
      <c r="C155">
        <f t="shared" si="27"/>
        <v>0</v>
      </c>
      <c r="D155">
        <f t="shared" si="27"/>
        <v>0</v>
      </c>
      <c r="E155">
        <f t="shared" si="25"/>
        <v>0</v>
      </c>
      <c r="F155">
        <f t="shared" si="25"/>
        <v>0</v>
      </c>
      <c r="G155">
        <f t="shared" si="25"/>
        <v>0</v>
      </c>
      <c r="H155">
        <f t="shared" si="25"/>
        <v>0</v>
      </c>
      <c r="I155">
        <f t="shared" si="25"/>
        <v>0</v>
      </c>
      <c r="J155">
        <f t="shared" si="25"/>
        <v>0</v>
      </c>
    </row>
    <row r="156" spans="1:10" x14ac:dyDescent="0.3">
      <c r="A156">
        <f t="shared" si="20"/>
        <v>1500000000000</v>
      </c>
      <c r="B156">
        <f t="shared" si="26"/>
        <v>0</v>
      </c>
      <c r="C156">
        <f t="shared" si="27"/>
        <v>0</v>
      </c>
      <c r="D156">
        <f t="shared" si="27"/>
        <v>0</v>
      </c>
      <c r="E156">
        <f t="shared" si="25"/>
        <v>0</v>
      </c>
      <c r="F156">
        <f t="shared" si="25"/>
        <v>0</v>
      </c>
      <c r="G156">
        <f t="shared" si="25"/>
        <v>0</v>
      </c>
      <c r="H156">
        <f t="shared" si="25"/>
        <v>0</v>
      </c>
      <c r="I156">
        <f t="shared" si="25"/>
        <v>0</v>
      </c>
      <c r="J156">
        <f t="shared" si="25"/>
        <v>0</v>
      </c>
    </row>
    <row r="157" spans="1:10" x14ac:dyDescent="0.3">
      <c r="A157">
        <f t="shared" si="20"/>
        <v>1800000000000</v>
      </c>
      <c r="B157">
        <f t="shared" si="26"/>
        <v>0</v>
      </c>
      <c r="C157">
        <f t="shared" si="27"/>
        <v>0</v>
      </c>
      <c r="D157">
        <f t="shared" si="27"/>
        <v>0</v>
      </c>
      <c r="E157">
        <f t="shared" si="25"/>
        <v>0</v>
      </c>
      <c r="F157">
        <f t="shared" si="25"/>
        <v>0</v>
      </c>
      <c r="G157">
        <f t="shared" si="25"/>
        <v>0</v>
      </c>
      <c r="H157">
        <f t="shared" si="25"/>
        <v>0</v>
      </c>
      <c r="I157">
        <f t="shared" si="25"/>
        <v>0</v>
      </c>
      <c r="J157">
        <f t="shared" si="25"/>
        <v>0</v>
      </c>
    </row>
    <row r="158" spans="1:10" x14ac:dyDescent="0.3">
      <c r="A158">
        <f t="shared" si="20"/>
        <v>2200000000000</v>
      </c>
      <c r="B158">
        <f t="shared" si="26"/>
        <v>0</v>
      </c>
      <c r="C158">
        <f t="shared" si="27"/>
        <v>0</v>
      </c>
      <c r="D158">
        <f t="shared" si="27"/>
        <v>0</v>
      </c>
      <c r="E158">
        <f t="shared" si="25"/>
        <v>0</v>
      </c>
      <c r="F158">
        <f t="shared" si="25"/>
        <v>0</v>
      </c>
      <c r="G158">
        <f t="shared" si="25"/>
        <v>0</v>
      </c>
      <c r="H158">
        <f t="shared" si="25"/>
        <v>0</v>
      </c>
      <c r="I158">
        <f t="shared" si="25"/>
        <v>0</v>
      </c>
      <c r="J158">
        <f t="shared" si="25"/>
        <v>0</v>
      </c>
    </row>
    <row r="159" spans="1:10" x14ac:dyDescent="0.3">
      <c r="A159" s="43">
        <f t="shared" si="20"/>
        <v>2700000000000</v>
      </c>
      <c r="B159">
        <f t="shared" si="26"/>
        <v>2700000000000</v>
      </c>
      <c r="C159">
        <f t="shared" si="27"/>
        <v>2700000000000</v>
      </c>
      <c r="D159">
        <f t="shared" si="27"/>
        <v>2700000000000</v>
      </c>
      <c r="E159">
        <f t="shared" si="25"/>
        <v>2700000000000</v>
      </c>
      <c r="F159">
        <f t="shared" si="25"/>
        <v>2700000000000</v>
      </c>
      <c r="G159">
        <f t="shared" si="25"/>
        <v>2700000000000</v>
      </c>
      <c r="H159">
        <f t="shared" si="25"/>
        <v>2700000000000</v>
      </c>
      <c r="I159">
        <f t="shared" si="25"/>
        <v>0</v>
      </c>
      <c r="J159">
        <f t="shared" si="25"/>
        <v>2700000000000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"/>
  <sheetViews>
    <sheetView workbookViewId="0">
      <selection activeCell="M42" sqref="M42"/>
    </sheetView>
  </sheetViews>
  <sheetFormatPr defaultRowHeight="12.45" x14ac:dyDescent="0.3"/>
  <cols>
    <col min="1" max="1" width="18.53515625" customWidth="1"/>
    <col min="2" max="2" width="9.3046875" customWidth="1"/>
    <col min="4" max="4" width="11.15234375" customWidth="1"/>
  </cols>
  <sheetData>
    <row r="1" spans="1:5" x14ac:dyDescent="0.3">
      <c r="C1" t="s">
        <v>219</v>
      </c>
      <c r="D1" t="s">
        <v>218</v>
      </c>
    </row>
    <row r="2" spans="1:5" x14ac:dyDescent="0.3">
      <c r="A2" t="s">
        <v>216</v>
      </c>
      <c r="B2" s="47">
        <v>85</v>
      </c>
      <c r="C2" t="s">
        <v>217</v>
      </c>
      <c r="D2">
        <f>B2*1000000</f>
        <v>85000000</v>
      </c>
      <c r="E2" t="s">
        <v>10</v>
      </c>
    </row>
    <row r="3" spans="1:5" x14ac:dyDescent="0.3">
      <c r="A3" t="s">
        <v>220</v>
      </c>
      <c r="B3" s="47">
        <v>3000</v>
      </c>
      <c r="C3" t="s">
        <v>32</v>
      </c>
      <c r="D3">
        <f>B3*0.000000000001</f>
        <v>3E-9</v>
      </c>
      <c r="E3" t="s">
        <v>26</v>
      </c>
    </row>
    <row r="4" spans="1:5" x14ac:dyDescent="0.3">
      <c r="A4" t="s">
        <v>222</v>
      </c>
      <c r="B4" s="48">
        <f>1000000000*1/((D2*2*3.14159)^2*D3)</f>
        <v>1.1686430773614742</v>
      </c>
      <c r="C4" t="s">
        <v>223</v>
      </c>
      <c r="D4">
        <f>B4/1000000000</f>
        <v>1.1686430773614743E-9</v>
      </c>
      <c r="E4" t="s">
        <v>20</v>
      </c>
    </row>
    <row r="5" spans="1:5" x14ac:dyDescent="0.3">
      <c r="A5" t="s">
        <v>221</v>
      </c>
      <c r="B5">
        <f>4*B3</f>
        <v>12000</v>
      </c>
      <c r="C5" t="s">
        <v>32</v>
      </c>
      <c r="D5">
        <f>B5*0.000000000001</f>
        <v>1.2E-8</v>
      </c>
      <c r="E5" t="s">
        <v>26</v>
      </c>
    </row>
    <row r="6" spans="1:5" x14ac:dyDescent="0.3">
      <c r="A6" t="s">
        <v>224</v>
      </c>
      <c r="B6" s="4">
        <f>SQRT(D4/D3)</f>
        <v>0.62413755891936573</v>
      </c>
      <c r="C6" s="4" t="s">
        <v>169</v>
      </c>
      <c r="D6" s="4">
        <f>B6</f>
        <v>0.62413755891936573</v>
      </c>
      <c r="E6" t="s">
        <v>169</v>
      </c>
    </row>
    <row r="7" spans="1:5" x14ac:dyDescent="0.3">
      <c r="B7" s="4"/>
      <c r="C7" s="4"/>
      <c r="D7" s="4"/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E16"/>
  <sheetViews>
    <sheetView workbookViewId="0">
      <selection activeCell="G37" sqref="G37"/>
    </sheetView>
  </sheetViews>
  <sheetFormatPr defaultRowHeight="12.45" x14ac:dyDescent="0.3"/>
  <sheetData>
    <row r="3" spans="1:5" x14ac:dyDescent="0.3">
      <c r="A3" t="s">
        <v>186</v>
      </c>
      <c r="B3" t="e">
        <f>Iripple1</f>
        <v>#NAME?</v>
      </c>
    </row>
    <row r="4" spans="1:5" x14ac:dyDescent="0.3">
      <c r="A4" t="s">
        <v>7</v>
      </c>
      <c r="B4">
        <f>Fsw</f>
        <v>600000</v>
      </c>
    </row>
    <row r="6" spans="1:5" x14ac:dyDescent="0.3">
      <c r="A6" t="s">
        <v>173</v>
      </c>
      <c r="B6" s="41">
        <v>0.5</v>
      </c>
      <c r="C6" t="s">
        <v>67</v>
      </c>
      <c r="D6">
        <f>B6/1000</f>
        <v>5.0000000000000001E-4</v>
      </c>
      <c r="E6" t="s">
        <v>21</v>
      </c>
    </row>
    <row r="7" spans="1:5" x14ac:dyDescent="0.3">
      <c r="A7" t="s">
        <v>184</v>
      </c>
      <c r="B7" s="41">
        <v>20</v>
      </c>
      <c r="C7" t="s">
        <v>25</v>
      </c>
      <c r="D7">
        <f>B7/1000000</f>
        <v>2.0000000000000002E-5</v>
      </c>
      <c r="E7" t="s">
        <v>26</v>
      </c>
    </row>
    <row r="9" spans="1:5" x14ac:dyDescent="0.3">
      <c r="A9" t="s">
        <v>174</v>
      </c>
      <c r="B9" s="41">
        <v>20</v>
      </c>
      <c r="C9" t="s">
        <v>67</v>
      </c>
      <c r="D9">
        <f>B9/1000</f>
        <v>0.02</v>
      </c>
      <c r="E9" t="s">
        <v>21</v>
      </c>
    </row>
    <row r="10" spans="1:5" x14ac:dyDescent="0.3">
      <c r="A10" t="s">
        <v>185</v>
      </c>
      <c r="B10" s="41">
        <v>68</v>
      </c>
      <c r="C10" t="s">
        <v>25</v>
      </c>
      <c r="D10">
        <f>B10/1000000</f>
        <v>6.7999999999999999E-5</v>
      </c>
      <c r="E10" t="s">
        <v>26</v>
      </c>
    </row>
    <row r="12" spans="1:5" x14ac:dyDescent="0.3">
      <c r="A12" t="s">
        <v>188</v>
      </c>
      <c r="B12">
        <f>(D7/(D7+D10))*SQRT((D9*D10*B4)^2+1)/SQRT((((D6+D9)*D7*D10/(D10+D7))*B4)^2+1)</f>
        <v>0.28817610934128135</v>
      </c>
      <c r="C12" t="s">
        <v>187</v>
      </c>
    </row>
    <row r="13" spans="1:5" x14ac:dyDescent="0.3">
      <c r="A13" t="s">
        <v>189</v>
      </c>
      <c r="B13">
        <f>1-B12</f>
        <v>0.71182389065871865</v>
      </c>
      <c r="C13" t="s">
        <v>187</v>
      </c>
    </row>
    <row r="15" spans="1:5" x14ac:dyDescent="0.3">
      <c r="A15" t="s">
        <v>188</v>
      </c>
      <c r="B15" t="e">
        <f>B12*(Iripple1/(2*SQRT(3)))</f>
        <v>#NAME?</v>
      </c>
      <c r="C15" t="s">
        <v>2</v>
      </c>
    </row>
    <row r="16" spans="1:5" x14ac:dyDescent="0.3">
      <c r="A16" t="s">
        <v>189</v>
      </c>
      <c r="B16" t="e">
        <f>B13*(Iripple1/(2*SQRT(3)))</f>
        <v>#NAME?</v>
      </c>
      <c r="C16" t="s">
        <v>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252</vt:i4>
      </vt:variant>
    </vt:vector>
  </HeadingPairs>
  <TitlesOfParts>
    <vt:vector size="265" baseType="lpstr">
      <vt:lpstr>Design Converter</vt:lpstr>
      <vt:lpstr>BOM &amp; Schematic</vt:lpstr>
      <vt:lpstr>Licenses</vt:lpstr>
      <vt:lpstr>EVMs</vt:lpstr>
      <vt:lpstr>Variable Management</vt:lpstr>
      <vt:lpstr>Schematic Management</vt:lpstr>
      <vt:lpstr>Efficiency Plot Management</vt:lpstr>
      <vt:lpstr>Efficiency vs VIN Calculations</vt:lpstr>
      <vt:lpstr>Efficiency vs Load Calculations</vt:lpstr>
      <vt:lpstr>Stability Calculations</vt:lpstr>
      <vt:lpstr>Standard Value Calculator</vt:lpstr>
      <vt:lpstr>Snubber</vt:lpstr>
      <vt:lpstr>Parallel Output Caps</vt:lpstr>
      <vt:lpstr>_Don1</vt:lpstr>
      <vt:lpstr>_Don2</vt:lpstr>
      <vt:lpstr>Acs</vt:lpstr>
      <vt:lpstr>Adc</vt:lpstr>
      <vt:lpstr>AEA</vt:lpstr>
      <vt:lpstr>Afb</vt:lpstr>
      <vt:lpstr>Am</vt:lpstr>
      <vt:lpstr>Am_boost</vt:lpstr>
      <vt:lpstr>Am_buck</vt:lpstr>
      <vt:lpstr>Boost_CS_Threshold</vt:lpstr>
      <vt:lpstr>Boost_CS_Threshold_max</vt:lpstr>
      <vt:lpstr>Boost_CS_Threshold_min</vt:lpstr>
      <vt:lpstr>Buck_CS_threshold</vt:lpstr>
      <vt:lpstr>Buck_CS_threshold_max</vt:lpstr>
      <vt:lpstr>Buck_CS_threshold_min</vt:lpstr>
      <vt:lpstr>Cb</vt:lpstr>
      <vt:lpstr>Cbw</vt:lpstr>
      <vt:lpstr>Cby</vt:lpstr>
      <vt:lpstr>Cc1ea</vt:lpstr>
      <vt:lpstr>Cc1ea_u</vt:lpstr>
      <vt:lpstr>Cc2ea</vt:lpstr>
      <vt:lpstr>Cc2ea_u</vt:lpstr>
      <vt:lpstr>Cdither</vt:lpstr>
      <vt:lpstr>Cin</vt:lpstr>
      <vt:lpstr>CinEsrMax</vt:lpstr>
      <vt:lpstr>Cinmin</vt:lpstr>
      <vt:lpstr>Constant_Current_Loop_Setpoint</vt:lpstr>
      <vt:lpstr>Cout</vt:lpstr>
      <vt:lpstr>CoutEsr</vt:lpstr>
      <vt:lpstr>CoutEsrMax</vt:lpstr>
      <vt:lpstr>Coutmin</vt:lpstr>
      <vt:lpstr>CSAmp_gain</vt:lpstr>
      <vt:lpstr>Csb</vt:lpstr>
      <vt:lpstr>Csby</vt:lpstr>
      <vt:lpstr>Csideal</vt:lpstr>
      <vt:lpstr>Cslope</vt:lpstr>
      <vt:lpstr>Cslope_ideal</vt:lpstr>
      <vt:lpstr>Css</vt:lpstr>
      <vt:lpstr>Css_u</vt:lpstr>
      <vt:lpstr>D_max_buck_BB</vt:lpstr>
      <vt:lpstr>D_max_buck_enterBB</vt:lpstr>
      <vt:lpstr>D_max_exitBB_to_buck</vt:lpstr>
      <vt:lpstr>D_min_boost</vt:lpstr>
      <vt:lpstr>D_min_boost_exitBB_to_buck</vt:lpstr>
      <vt:lpstr>Deadtime</vt:lpstr>
      <vt:lpstr>DITHER</vt:lpstr>
      <vt:lpstr>Doff1</vt:lpstr>
      <vt:lpstr>Doff2</vt:lpstr>
      <vt:lpstr>Don_buckboost</vt:lpstr>
      <vt:lpstr>Don_Vinmax</vt:lpstr>
      <vt:lpstr>Don_Vinmax_2</vt:lpstr>
      <vt:lpstr>Don_Vinmin</vt:lpstr>
      <vt:lpstr>Don_Vinmin_2</vt:lpstr>
      <vt:lpstr>Don_Vinnom</vt:lpstr>
      <vt:lpstr>Don_Vinnom_2</vt:lpstr>
      <vt:lpstr>EFF_IOUT</vt:lpstr>
      <vt:lpstr>EFF_VIN</vt:lpstr>
      <vt:lpstr>Efficiency</vt:lpstr>
      <vt:lpstr>Fcross</vt:lpstr>
      <vt:lpstr>Fdither</vt:lpstr>
      <vt:lpstr>Fesr</vt:lpstr>
      <vt:lpstr>Fload_u</vt:lpstr>
      <vt:lpstr>Fp_dominant</vt:lpstr>
      <vt:lpstr>Fp1_u</vt:lpstr>
      <vt:lpstr>Fp2_u</vt:lpstr>
      <vt:lpstr>Frhp</vt:lpstr>
      <vt:lpstr>Fsw</vt:lpstr>
      <vt:lpstr>Fz1_u</vt:lpstr>
      <vt:lpstr>GBW</vt:lpstr>
      <vt:lpstr>Gfs_Q1</vt:lpstr>
      <vt:lpstr>Gfs_Q2</vt:lpstr>
      <vt:lpstr>Gfs_Q3</vt:lpstr>
      <vt:lpstr>Gfs_Q4</vt:lpstr>
      <vt:lpstr>gm</vt:lpstr>
      <vt:lpstr>gm_slopecomp</vt:lpstr>
      <vt:lpstr>Icoutrms</vt:lpstr>
      <vt:lpstr>Iin_Vinmax</vt:lpstr>
      <vt:lpstr>Iin_Vinmin</vt:lpstr>
      <vt:lpstr>Iin_Vinnom</vt:lpstr>
      <vt:lpstr>IL_peak_OCP</vt:lpstr>
      <vt:lpstr>Ilimit_DC</vt:lpstr>
      <vt:lpstr>ILpeak_OCP_Vinmax</vt:lpstr>
      <vt:lpstr>ILpeak_OCP_Vinmin</vt:lpstr>
      <vt:lpstr>ILpeak_OCP_Vinnom</vt:lpstr>
      <vt:lpstr>Iout</vt:lpstr>
      <vt:lpstr>Iout_OCP_Vinmax</vt:lpstr>
      <vt:lpstr>Iout_OCP_Vinmin</vt:lpstr>
      <vt:lpstr>Iout_OCP_Vinnom</vt:lpstr>
      <vt:lpstr>Iout_threshold</vt:lpstr>
      <vt:lpstr>Iq</vt:lpstr>
      <vt:lpstr>Ireverse</vt:lpstr>
      <vt:lpstr>Iripple_edgebuckboost</vt:lpstr>
      <vt:lpstr>Iripple_Vinmax</vt:lpstr>
      <vt:lpstr>Iripple_Vinmin</vt:lpstr>
      <vt:lpstr>Iripple_Vinnom</vt:lpstr>
      <vt:lpstr>Isc_const</vt:lpstr>
      <vt:lpstr>Islope_fixed</vt:lpstr>
      <vt:lpstr>Iss</vt:lpstr>
      <vt:lpstr>Iuvlo_hys</vt:lpstr>
      <vt:lpstr>Iuvlo1</vt:lpstr>
      <vt:lpstr>Iuvlo2</vt:lpstr>
      <vt:lpstr>k</vt:lpstr>
      <vt:lpstr>K_1</vt:lpstr>
      <vt:lpstr>k_boost</vt:lpstr>
      <vt:lpstr>k_buck</vt:lpstr>
      <vt:lpstr>K_SL</vt:lpstr>
      <vt:lpstr>KD</vt:lpstr>
      <vt:lpstr>KM</vt:lpstr>
      <vt:lpstr>Lf</vt:lpstr>
      <vt:lpstr>Lopt</vt:lpstr>
      <vt:lpstr>Ltc</vt:lpstr>
      <vt:lpstr>mc</vt:lpstr>
      <vt:lpstr>mc_boost</vt:lpstr>
      <vt:lpstr>mc_buck</vt:lpstr>
      <vt:lpstr>Pi</vt:lpstr>
      <vt:lpstr>Pin</vt:lpstr>
      <vt:lpstr>PLOT_TYPE</vt:lpstr>
      <vt:lpstr>pole1</vt:lpstr>
      <vt:lpstr>Pole2</vt:lpstr>
      <vt:lpstr>pole3</vt:lpstr>
      <vt:lpstr>pole4</vt:lpstr>
      <vt:lpstr>Pout</vt:lpstr>
      <vt:lpstr>'BOM &amp; Schematic'!Print_Area</vt:lpstr>
      <vt:lpstr>'Design Converter'!Print_Area</vt:lpstr>
      <vt:lpstr>pterm1</vt:lpstr>
      <vt:lpstr>pterm2</vt:lpstr>
      <vt:lpstr>Q</vt:lpstr>
      <vt:lpstr>Qg_Q1</vt:lpstr>
      <vt:lpstr>Qg_Q2</vt:lpstr>
      <vt:lpstr>Qg_Q3</vt:lpstr>
      <vt:lpstr>Qg_Q4</vt:lpstr>
      <vt:lpstr>Qgd_Q1</vt:lpstr>
      <vt:lpstr>Qgd_Q2</vt:lpstr>
      <vt:lpstr>Qgd_Q3</vt:lpstr>
      <vt:lpstr>Qgd_Q4</vt:lpstr>
      <vt:lpstr>Qgs_Q1</vt:lpstr>
      <vt:lpstr>Qgs_Q2</vt:lpstr>
      <vt:lpstr>Qgs_Q3</vt:lpstr>
      <vt:lpstr>Qgs_Q4</vt:lpstr>
      <vt:lpstr>Qrr_Q1</vt:lpstr>
      <vt:lpstr>Qrr_Q2</vt:lpstr>
      <vt:lpstr>Qrr_Q3</vt:lpstr>
      <vt:lpstr>Qrr_Q4</vt:lpstr>
      <vt:lpstr>QrrSky_Q2</vt:lpstr>
      <vt:lpstr>QrrSky_Q3</vt:lpstr>
      <vt:lpstr>radconv</vt:lpstr>
      <vt:lpstr>Rcea1</vt:lpstr>
      <vt:lpstr>Rcea1_u</vt:lpstr>
      <vt:lpstr>RCinEsr</vt:lpstr>
      <vt:lpstr>RCoutEsr</vt:lpstr>
      <vt:lpstr>Rdcr</vt:lpstr>
      <vt:lpstr>Rdson1</vt:lpstr>
      <vt:lpstr>Rdson2</vt:lpstr>
      <vt:lpstr>Rdson3</vt:lpstr>
      <vt:lpstr>Rdson4</vt:lpstr>
      <vt:lpstr>RdsonBotTc</vt:lpstr>
      <vt:lpstr>RdsonDRB</vt:lpstr>
      <vt:lpstr>RdsonDRB2</vt:lpstr>
      <vt:lpstr>RdsonDRT</vt:lpstr>
      <vt:lpstr>RdsonDRT2</vt:lpstr>
      <vt:lpstr>RdsonTopTc</vt:lpstr>
      <vt:lpstr>Rfadj</vt:lpstr>
      <vt:lpstr>Rfb1_</vt:lpstr>
      <vt:lpstr>Rfb2_</vt:lpstr>
      <vt:lpstr>Rfb2_u</vt:lpstr>
      <vt:lpstr>Rfets</vt:lpstr>
      <vt:lpstr>Rgate1</vt:lpstr>
      <vt:lpstr>Rgate2</vt:lpstr>
      <vt:lpstr>Rgate3</vt:lpstr>
      <vt:lpstr>Rgate4</vt:lpstr>
      <vt:lpstr>Ri</vt:lpstr>
      <vt:lpstr>Ro</vt:lpstr>
      <vt:lpstr>RoEA</vt:lpstr>
      <vt:lpstr>Rout</vt:lpstr>
      <vt:lpstr>Rpg</vt:lpstr>
      <vt:lpstr>Rs</vt:lpstr>
      <vt:lpstr>Rs_ideal</vt:lpstr>
      <vt:lpstr>Rsb</vt:lpstr>
      <vt:lpstr>Rshunt</vt:lpstr>
      <vt:lpstr>Rshunt_std</vt:lpstr>
      <vt:lpstr>Ruvlo1</vt:lpstr>
      <vt:lpstr>Ruvlo2</vt:lpstr>
      <vt:lpstr>SCH_DITH</vt:lpstr>
      <vt:lpstr>SCH_NO_DITH</vt:lpstr>
      <vt:lpstr>SCH_WITH_DITH</vt:lpstr>
      <vt:lpstr>Se</vt:lpstr>
      <vt:lpstr>Se_ext</vt:lpstr>
      <vt:lpstr>Se_fixed</vt:lpstr>
      <vt:lpstr>Se_proportional</vt:lpstr>
      <vt:lpstr>Sf</vt:lpstr>
      <vt:lpstr>Sn</vt:lpstr>
      <vt:lpstr>Ta</vt:lpstr>
      <vt:lpstr>Tf_boost</vt:lpstr>
      <vt:lpstr>Tf_buck</vt:lpstr>
      <vt:lpstr>ThetaCa</vt:lpstr>
      <vt:lpstr>ThetaJA_Q1</vt:lpstr>
      <vt:lpstr>ThetaJA_Q2</vt:lpstr>
      <vt:lpstr>ThetaJA_Q3</vt:lpstr>
      <vt:lpstr>ThetaJA_Q4</vt:lpstr>
      <vt:lpstr>ThetaJaCtrl</vt:lpstr>
      <vt:lpstr>TL</vt:lpstr>
      <vt:lpstr>Toff_min_buck</vt:lpstr>
      <vt:lpstr>Toff_Vinmax</vt:lpstr>
      <vt:lpstr>Ton_min_boost</vt:lpstr>
      <vt:lpstr>Ton_Vinmin</vt:lpstr>
      <vt:lpstr>Tr_boost</vt:lpstr>
      <vt:lpstr>Tr_buck</vt:lpstr>
      <vt:lpstr>Trr_Q1</vt:lpstr>
      <vt:lpstr>Trr_Q2</vt:lpstr>
      <vt:lpstr>Trr_Q3</vt:lpstr>
      <vt:lpstr>Trr_Q4</vt:lpstr>
      <vt:lpstr>Ts</vt:lpstr>
      <vt:lpstr>Tss</vt:lpstr>
      <vt:lpstr>V_sc_fixed</vt:lpstr>
      <vt:lpstr>V_sc_proportional</vt:lpstr>
      <vt:lpstr>V_sc_total</vt:lpstr>
      <vt:lpstr>Vdd</vt:lpstr>
      <vt:lpstr>VfdSky_Q2</vt:lpstr>
      <vt:lpstr>VfdSky_Q3</vt:lpstr>
      <vt:lpstr>Vin</vt:lpstr>
      <vt:lpstr>VIN_BB_to_buck</vt:lpstr>
      <vt:lpstr>VIN_boost_to_BB</vt:lpstr>
      <vt:lpstr>VIN_edgebuckboost</vt:lpstr>
      <vt:lpstr>VIN_max</vt:lpstr>
      <vt:lpstr>VIN_min</vt:lpstr>
      <vt:lpstr>VIN_nom</vt:lpstr>
      <vt:lpstr>Vinripple1</vt:lpstr>
      <vt:lpstr>Vinripple2</vt:lpstr>
      <vt:lpstr>VINuvlo_off</vt:lpstr>
      <vt:lpstr>VINuvlo_on</vt:lpstr>
      <vt:lpstr>Vout</vt:lpstr>
      <vt:lpstr>Vref</vt:lpstr>
      <vt:lpstr>Vripple1</vt:lpstr>
      <vt:lpstr>Vripple2</vt:lpstr>
      <vt:lpstr>Vsd_Q1</vt:lpstr>
      <vt:lpstr>Vsd_Q2</vt:lpstr>
      <vt:lpstr>Vsd_Q3</vt:lpstr>
      <vt:lpstr>Vsd_Q4</vt:lpstr>
      <vt:lpstr>Vsp_Q1</vt:lpstr>
      <vt:lpstr>Vsp_Q2</vt:lpstr>
      <vt:lpstr>Vsp_Q3</vt:lpstr>
      <vt:lpstr>Vsp_Q4</vt:lpstr>
      <vt:lpstr>Vth_Q1</vt:lpstr>
      <vt:lpstr>Vth_Q2</vt:lpstr>
      <vt:lpstr>Vth_Q3</vt:lpstr>
      <vt:lpstr>Vth_Q4</vt:lpstr>
      <vt:lpstr>Vuvlo_hys</vt:lpstr>
      <vt:lpstr>Vuvlo_off</vt:lpstr>
      <vt:lpstr>Vuvlo_on</vt:lpstr>
      <vt:lpstr>z_RHP</vt:lpstr>
      <vt:lpstr>Zero1</vt:lpstr>
      <vt:lpstr>Zero2</vt:lpstr>
    </vt:vector>
  </TitlesOfParts>
  <Company>Texas Instruments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LM5176 Quickstart Tool</dc:title>
  <dc:creator>Vijay Choudhary</dc:creator>
  <cp:keywords>LM5176, PWM controller, current mode, PCB layout</cp:keywords>
  <cp:lastModifiedBy>Docker</cp:lastModifiedBy>
  <cp:lastPrinted>2014-12-22T00:10:27Z</cp:lastPrinted>
  <dcterms:created xsi:type="dcterms:W3CDTF">1996-10-14T23:33:28Z</dcterms:created>
  <dcterms:modified xsi:type="dcterms:W3CDTF">2026-04-05T05:09:25Z</dcterms:modified>
</cp:coreProperties>
</file>