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s" sheetId="1" r:id="rId4"/>
    <sheet state="visible" name="Train on Full Data" sheetId="2" r:id="rId5"/>
    <sheet state="visible" name="Different Training Data" sheetId="3" r:id="rId6"/>
    <sheet state="visible" name="Different Scenarios" sheetId="4" r:id="rId7"/>
  </sheets>
  <definedNames/>
  <calcPr/>
</workbook>
</file>

<file path=xl/sharedStrings.xml><?xml version="1.0" encoding="utf-8"?>
<sst xmlns="http://schemas.openxmlformats.org/spreadsheetml/2006/main" count="226" uniqueCount="70">
  <si>
    <t>Model Evaluation</t>
  </si>
  <si>
    <t>Univariate Random Forest Regression</t>
  </si>
  <si>
    <t>Multivariate Random Forest Regression</t>
  </si>
  <si>
    <t>Univariate Neural Network</t>
  </si>
  <si>
    <t>Multivariate Neural Network</t>
  </si>
  <si>
    <t>Best Model on Different Scenarios</t>
  </si>
  <si>
    <t>7:30 - 8:30</t>
  </si>
  <si>
    <t>Full Data Set:  5:00 - 9:45</t>
  </si>
  <si>
    <t>5:00 - 6:00</t>
  </si>
  <si>
    <t>8:45 - 9:45</t>
  </si>
  <si>
    <t>5:00 - 7:30 and 8:30 - 9:45</t>
  </si>
  <si>
    <t>Isolated Worst Portal</t>
  </si>
  <si>
    <t>Isolated Average Portal</t>
  </si>
  <si>
    <t>Isolated Best Portal</t>
  </si>
  <si>
    <t>Change Training Data</t>
  </si>
  <si>
    <t>Original Full Dataset</t>
  </si>
  <si>
    <t>Single Portal Evaluated on Same Portal</t>
  </si>
  <si>
    <t>7:30 - 8:30 and Single Portal</t>
  </si>
  <si>
    <t>Only 3 Most Important Input Features</t>
  </si>
  <si>
    <t>All Portals</t>
  </si>
  <si>
    <t>Worst Isolated Portal</t>
  </si>
  <si>
    <t>Average Isolated Portal</t>
  </si>
  <si>
    <t>Best Isolated Portal</t>
  </si>
  <si>
    <t>All Months</t>
  </si>
  <si>
    <t>January</t>
  </si>
  <si>
    <t>February</t>
  </si>
  <si>
    <t>Mars</t>
  </si>
  <si>
    <t>April</t>
  </si>
  <si>
    <t>May</t>
  </si>
  <si>
    <t>June</t>
  </si>
  <si>
    <t>January - April</t>
  </si>
  <si>
    <t>Flow MAE</t>
  </si>
  <si>
    <t>Flow RMSE</t>
  </si>
  <si>
    <t>Flow R2</t>
  </si>
  <si>
    <t>Speed MAE</t>
  </si>
  <si>
    <t>Speed RMSE</t>
  </si>
  <si>
    <t>Speed R2</t>
  </si>
  <si>
    <t>Univariate NN</t>
  </si>
  <si>
    <t>Test data from train/test split</t>
  </si>
  <si>
    <t>All-day evaluation data</t>
  </si>
  <si>
    <t>Peak hour Evaluation data</t>
  </si>
  <si>
    <t>Flow MSE</t>
  </si>
  <si>
    <t>Flow R²</t>
  </si>
  <si>
    <t>Speed MSE</t>
  </si>
  <si>
    <t>Speed R²</t>
  </si>
  <si>
    <t>Multivriate NN</t>
  </si>
  <si>
    <t>Univariate RFR</t>
  </si>
  <si>
    <t>Multivariate RFR</t>
  </si>
  <si>
    <t>Univariate NN 7:30 - 8:30</t>
  </si>
  <si>
    <t>Univariate NN Single Portal</t>
  </si>
  <si>
    <t>Univariate NN Peak and Single Portal</t>
  </si>
  <si>
    <t>Univariate NN 3 Best Features</t>
  </si>
  <si>
    <t>Univariate NN Isolated Portal E4S 58.140</t>
  </si>
  <si>
    <t>Portals</t>
  </si>
  <si>
    <t>E4S 55.620</t>
  </si>
  <si>
    <t>E4S 56.160</t>
  </si>
  <si>
    <t>E4S 56.490</t>
  </si>
  <si>
    <t>E4S 56.780</t>
  </si>
  <si>
    <t>E4S 57.055</t>
  </si>
  <si>
    <t>E4S 57.435</t>
  </si>
  <si>
    <t>E4S 57.820</t>
  </si>
  <si>
    <t>E4S 58.140</t>
  </si>
  <si>
    <t>Mean</t>
  </si>
  <si>
    <t>Univariate NN Off Peak</t>
  </si>
  <si>
    <t>Univariate NN 5:00 - 6:00</t>
  </si>
  <si>
    <t>Univariate NN 8:45 - 9:45</t>
  </si>
  <si>
    <t>Univariate NN June</t>
  </si>
  <si>
    <t>Month</t>
  </si>
  <si>
    <t xml:space="preserve">May </t>
  </si>
  <si>
    <t>May - June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</si>
</sst>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  <scheme val="minor"/>
    </font>
    <font>
      <b/>
      <sz val="10.0"/>
      <color rgb="FFFFFFFF"/>
      <name val="Nunito"/>
    </font>
    <font>
      <b/>
      <color rgb="FFFFFFFF"/>
      <name val="Nunito"/>
    </font>
    <font>
      <color theme="1"/>
      <name val="Arial"/>
      <scheme val="minor"/>
    </font>
    <font>
      <b/>
      <sz val="9.0"/>
      <color rgb="FF073763"/>
      <name val="Verdana"/>
    </font>
    <font>
      <sz val="10.0"/>
      <color rgb="FF041F38"/>
      <name val="Montserrat"/>
    </font>
    <font>
      <b/>
      <sz val="9.0"/>
      <color rgb="FF000000"/>
      <name val="Arial"/>
    </font>
    <font>
      <sz val="9.0"/>
      <color rgb="FF000000"/>
      <name val="&quot;Courier New&quot;"/>
    </font>
    <font>
      <sz val="9.0"/>
      <color rgb="FF212121"/>
      <name val="&quot;Courier New&quot;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bottom style="thick">
        <color rgb="FFCFE2F3"/>
      </bottom>
    </border>
    <border>
      <bottom style="medium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0" fillId="0" fontId="3" numFmtId="0" xfId="0" applyFont="1"/>
    <xf borderId="1" fillId="2" fontId="2" numFmtId="0" xfId="0" applyAlignment="1" applyBorder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horizontal="left" readingOrder="0" shrinkToFit="0" vertical="bottom" wrapText="1"/>
    </xf>
    <xf borderId="0" fillId="4" fontId="5" numFmtId="164" xfId="0" applyAlignment="1" applyFill="1" applyFont="1" applyNumberFormat="1">
      <alignment readingOrder="0" shrinkToFit="0" vertical="bottom" wrapText="1"/>
    </xf>
    <xf borderId="0" fillId="0" fontId="3" numFmtId="164" xfId="0" applyFont="1" applyNumberFormat="1"/>
    <xf borderId="0" fillId="4" fontId="5" numFmtId="164" xfId="0" applyAlignment="1" applyFont="1" applyNumberFormat="1">
      <alignment readingOrder="0" shrinkToFit="0" vertical="bottom" wrapText="1"/>
    </xf>
    <xf borderId="0" fillId="3" fontId="4" numFmtId="164" xfId="0" applyAlignment="1" applyFont="1" applyNumberFormat="1">
      <alignment shrinkToFit="0" vertical="bottom" wrapText="1"/>
    </xf>
    <xf borderId="2" fillId="3" fontId="4" numFmtId="0" xfId="0" applyAlignment="1" applyBorder="1" applyFont="1">
      <alignment horizontal="left" readingOrder="0" shrinkToFit="0" vertical="bottom" wrapText="1"/>
    </xf>
    <xf borderId="2" fillId="4" fontId="5" numFmtId="164" xfId="0" applyAlignment="1" applyBorder="1" applyFont="1" applyNumberFormat="1">
      <alignment readingOrder="0" shrinkToFit="0" vertical="bottom" wrapText="1"/>
    </xf>
    <xf borderId="2" fillId="3" fontId="4" numFmtId="164" xfId="0" applyAlignment="1" applyBorder="1" applyFont="1" applyNumberFormat="1">
      <alignment shrinkToFit="0" vertical="bottom" wrapText="1"/>
    </xf>
    <xf borderId="0" fillId="3" fontId="4" numFmtId="0" xfId="0" applyAlignment="1" applyFont="1">
      <alignment shrinkToFit="0" vertical="bottom" wrapText="1"/>
    </xf>
    <xf borderId="3" fillId="5" fontId="3" numFmtId="0" xfId="0" applyAlignment="1" applyBorder="1" applyFill="1" applyFont="1">
      <alignment horizontal="center" readingOrder="0" shrinkToFit="0" wrapText="1"/>
    </xf>
    <xf borderId="3" fillId="0" fontId="6" numFmtId="0" xfId="0" applyAlignment="1" applyBorder="1" applyFont="1">
      <alignment horizontal="right" readingOrder="0" shrinkToFit="0" wrapText="1"/>
    </xf>
    <xf borderId="3" fillId="0" fontId="6" numFmtId="0" xfId="0" applyAlignment="1" applyBorder="1" applyFont="1">
      <alignment horizontal="center" readingOrder="0" shrinkToFit="0" wrapText="1"/>
    </xf>
    <xf borderId="3" fillId="0" fontId="7" numFmtId="0" xfId="0" applyAlignment="1" applyBorder="1" applyFont="1">
      <alignment horizontal="right" readingOrder="0" shrinkToFit="0" wrapText="1"/>
    </xf>
    <xf borderId="3" fillId="0" fontId="7" numFmtId="0" xfId="0" applyAlignment="1" applyBorder="1" applyFont="1">
      <alignment horizontal="center" readingOrder="0" shrinkToFit="0" wrapText="1"/>
    </xf>
    <xf borderId="3" fillId="0" fontId="8" numFmtId="0" xfId="0" applyAlignment="1" applyBorder="1" applyFont="1">
      <alignment horizontal="right" readingOrder="0" shrinkToFit="0" wrapText="1"/>
    </xf>
    <xf borderId="3" fillId="0" fontId="8" numFmtId="0" xfId="0" applyAlignment="1" applyBorder="1" applyFont="1">
      <alignment horizontal="center" readingOrder="0" shrinkToFit="0" wrapText="1"/>
    </xf>
    <xf borderId="3" fillId="4" fontId="8" numFmtId="0" xfId="0" applyAlignment="1" applyBorder="1" applyFont="1">
      <alignment horizontal="right" readingOrder="0" shrinkToFit="0" wrapText="1"/>
    </xf>
    <xf borderId="3" fillId="4" fontId="8" numFmtId="0" xfId="0" applyAlignment="1" applyBorder="1" applyFont="1">
      <alignment horizontal="center" readingOrder="0" shrinkToFit="0" wrapText="1"/>
    </xf>
    <xf borderId="3" fillId="0" fontId="7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6EDF3"/>
          <bgColor rgb="FFE6EDF3"/>
        </patternFill>
      </fill>
      <border/>
    </dxf>
  </dxfs>
  <tableStyles count="5">
    <tableStyle count="3" pivot="0" name="Comparisons-style">
      <tableStyleElement dxfId="1" type="headerRow"/>
      <tableStyleElement dxfId="2" type="firstRowStripe"/>
      <tableStyleElement dxfId="3" type="secondRowStripe"/>
    </tableStyle>
    <tableStyle count="3" pivot="0" name="Comparisons-style 2">
      <tableStyleElement dxfId="1" type="headerRow"/>
      <tableStyleElement dxfId="2" type="firstRowStripe"/>
      <tableStyleElement dxfId="3" type="secondRowStripe"/>
    </tableStyle>
    <tableStyle count="3" pivot="0" name="Comparisons-style 3">
      <tableStyleElement dxfId="1" type="headerRow"/>
      <tableStyleElement dxfId="2" type="firstRowStripe"/>
      <tableStyleElement dxfId="3" type="secondRowStripe"/>
    </tableStyle>
    <tableStyle count="3" pivot="0" name="Comparisons-style 4">
      <tableStyleElement dxfId="1" type="headerRow"/>
      <tableStyleElement dxfId="2" type="firstRowStripe"/>
      <tableStyleElement dxfId="3" type="secondRowStripe"/>
    </tableStyle>
    <tableStyle count="2" pivot="0" name="Comparisons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0.png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9.png"/><Relationship Id="rId4" Type="http://schemas.openxmlformats.org/officeDocument/2006/relationships/image" Target="../media/image11.png"/><Relationship Id="rId5" Type="http://schemas.openxmlformats.org/officeDocument/2006/relationships/image" Target="../media/image5.png"/><Relationship Id="rId6" Type="http://schemas.openxmlformats.org/officeDocument/2006/relationships/image" Target="../media/image2.png"/><Relationship Id="rId7" Type="http://schemas.openxmlformats.org/officeDocument/2006/relationships/image" Target="../media/image4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28575</xdr:rowOff>
    </xdr:from>
    <xdr:ext cx="1143000" cy="8477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3</xdr:row>
      <xdr:rowOff>161925</xdr:rowOff>
    </xdr:from>
    <xdr:ext cx="1143000" cy="78105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57150</xdr:colOff>
      <xdr:row>8</xdr:row>
      <xdr:rowOff>171450</xdr:rowOff>
    </xdr:from>
    <xdr:ext cx="2047875" cy="1362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342900</xdr:rowOff>
    </xdr:from>
    <xdr:ext cx="809625" cy="58102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</xdr:row>
      <xdr:rowOff>171450</xdr:rowOff>
    </xdr:from>
    <xdr:ext cx="933450" cy="7143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12</xdr:row>
      <xdr:rowOff>19050</xdr:rowOff>
    </xdr:from>
    <xdr:ext cx="933450" cy="714375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8</xdr:row>
      <xdr:rowOff>323850</xdr:rowOff>
    </xdr:from>
    <xdr:ext cx="704850" cy="504825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16</xdr:row>
      <xdr:rowOff>228600</xdr:rowOff>
    </xdr:from>
    <xdr:ext cx="933450" cy="71437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19</xdr:row>
      <xdr:rowOff>190500</xdr:rowOff>
    </xdr:from>
    <xdr:ext cx="933450" cy="714375"/>
    <xdr:pic>
      <xdr:nvPicPr>
        <xdr:cNvPr id="0" name="image2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24</xdr:row>
      <xdr:rowOff>390525</xdr:rowOff>
    </xdr:from>
    <xdr:ext cx="809625" cy="619125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28</xdr:row>
      <xdr:rowOff>9525</xdr:rowOff>
    </xdr:from>
    <xdr:ext cx="933450" cy="619125"/>
    <xdr:pic>
      <xdr:nvPicPr>
        <xdr:cNvPr id="0" name="image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7" displayName="Table_1" name="Table_1" id="1">
  <tableColumns count="5">
    <tableColumn name="Model Evaluation" id="1"/>
    <tableColumn name="Univariate Random Forest Regression" id="2"/>
    <tableColumn name="Multivariate Random Forest Regression" id="3"/>
    <tableColumn name="Univariate Neural Network" id="4"/>
    <tableColumn name="Multivariate Neural Network" id="5"/>
  </tableColumns>
  <tableStyleInfo name="Comparisons-style" showColumnStripes="0" showFirstColumn="1" showLastColumn="1" showRowStripes="1"/>
</table>
</file>

<file path=xl/tables/table2.xml><?xml version="1.0" encoding="utf-8"?>
<table xmlns="http://schemas.openxmlformats.org/spreadsheetml/2006/main" ref="H1:P7" displayName="Table_2" name="Table_2" id="2">
  <tableColumns count="9">
    <tableColumn name="Best Model on Different Scenarios" id="1"/>
    <tableColumn name="7:30 - 8:30" id="2"/>
    <tableColumn name="Full Data Set:  5:00 - 9:45" id="3"/>
    <tableColumn name="5:00 - 6:00" id="4"/>
    <tableColumn name="8:45 - 9:45" id="5"/>
    <tableColumn name="5:00 - 7:30 and 8:30 - 9:45" id="6"/>
    <tableColumn name="Isolated Worst Portal" id="7"/>
    <tableColumn name="Isolated Average Portal" id="8"/>
    <tableColumn name="Isolated Best Portal" id="9"/>
  </tableColumns>
  <tableStyleInfo name="Comparisons-style 2" showColumnStripes="0" showFirstColumn="1" showLastColumn="1" showRowStripes="1"/>
</table>
</file>

<file path=xl/tables/table3.xml><?xml version="1.0" encoding="utf-8"?>
<table xmlns="http://schemas.openxmlformats.org/spreadsheetml/2006/main" headerRowCount="0" ref="S1:X1" displayName="Table_3" 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omparison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A1:AN7" displayName="Table_4" name="Table_4" id="4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Comparison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S2:U7" displayName="Table_5" name="Table_5" id="5">
  <tableColumns count="3">
    <tableColumn name="Column1" id="1"/>
    <tableColumn name="Column2" id="2"/>
    <tableColumn name="Column3" id="3"/>
  </tableColumns>
  <tableStyleInfo name="Comparison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15.88"/>
    <col customWidth="1" min="3" max="3" width="17.25"/>
    <col customWidth="1" min="4" max="5" width="13.38"/>
    <col customWidth="1" min="13" max="13" width="13.63"/>
    <col customWidth="1" min="16" max="16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2" t="s">
        <v>12</v>
      </c>
      <c r="P1" s="1" t="s">
        <v>13</v>
      </c>
      <c r="S1" s="1" t="s">
        <v>14</v>
      </c>
      <c r="T1" s="1" t="s">
        <v>15</v>
      </c>
      <c r="U1" s="1" t="s">
        <v>6</v>
      </c>
      <c r="V1" s="1" t="s">
        <v>16</v>
      </c>
      <c r="W1" s="1" t="s">
        <v>17</v>
      </c>
      <c r="X1" s="1" t="s">
        <v>18</v>
      </c>
      <c r="Z1" s="1" t="s">
        <v>5</v>
      </c>
      <c r="AA1" s="1" t="s">
        <v>19</v>
      </c>
      <c r="AB1" s="1" t="s">
        <v>20</v>
      </c>
      <c r="AC1" s="2" t="s">
        <v>21</v>
      </c>
      <c r="AD1" s="1" t="s">
        <v>22</v>
      </c>
      <c r="AE1" s="3"/>
      <c r="AF1" s="4" t="s">
        <v>5</v>
      </c>
      <c r="AG1" s="2" t="s">
        <v>23</v>
      </c>
      <c r="AH1" s="2" t="s">
        <v>24</v>
      </c>
      <c r="AI1" s="2" t="s">
        <v>25</v>
      </c>
      <c r="AJ1" s="2" t="s">
        <v>26</v>
      </c>
      <c r="AK1" s="5" t="s">
        <v>27</v>
      </c>
      <c r="AL1" s="5" t="s">
        <v>28</v>
      </c>
      <c r="AM1" s="5" t="s">
        <v>29</v>
      </c>
      <c r="AN1" s="5" t="s">
        <v>30</v>
      </c>
    </row>
    <row r="2">
      <c r="A2" s="6" t="s">
        <v>31</v>
      </c>
      <c r="B2" s="7">
        <f>'Train on Full Data'!D18</f>
        <v>45.241</v>
      </c>
      <c r="C2" s="7">
        <f>'Train on Full Data'!D26</f>
        <v>45.269</v>
      </c>
      <c r="D2" s="7">
        <f>'Train on Full Data'!D2</f>
        <v>42.73789531</v>
      </c>
      <c r="E2" s="7">
        <f>'Train on Full Data'!D10</f>
        <v>42.45413433</v>
      </c>
      <c r="H2" s="6" t="s">
        <v>31</v>
      </c>
      <c r="I2" s="7">
        <f>'Train on Full Data'!D2</f>
        <v>42.73789531</v>
      </c>
      <c r="J2" s="7">
        <f>'Train on Full Data'!C2</f>
        <v>42.29049895</v>
      </c>
      <c r="K2" s="7">
        <f>'Different Scenarios'!D18</f>
        <v>36.51066104</v>
      </c>
      <c r="L2" s="7">
        <f>'Different Scenarios'!D26</f>
        <v>44.66630843</v>
      </c>
      <c r="M2" s="7">
        <f>'Different Scenarios'!D10</f>
        <v>42.15849525</v>
      </c>
      <c r="N2" s="8">
        <f>'Different Scenarios'!G2</f>
        <v>44.35644021</v>
      </c>
      <c r="O2" s="8">
        <f>'Different Scenarios'!O2</f>
        <v>42.51523762</v>
      </c>
      <c r="P2" s="8">
        <f>'Different Scenarios'!M2</f>
        <v>35.9419818</v>
      </c>
      <c r="S2" s="6" t="s">
        <v>31</v>
      </c>
      <c r="T2" s="7">
        <f>'Train on Full Data'!D2</f>
        <v>42.73789531</v>
      </c>
      <c r="U2" s="9">
        <f>'Different Training Data'!D2</f>
        <v>42.6142374</v>
      </c>
      <c r="V2" s="9">
        <f>'Different Training Data'!D10</f>
        <v>40.68531232</v>
      </c>
      <c r="W2" s="9">
        <f>'Different Training Data'!D18</f>
        <v>38.6229336</v>
      </c>
      <c r="X2" s="9">
        <f>'Different Training Data'!D26</f>
        <v>44.23494606</v>
      </c>
      <c r="Z2" s="6" t="s">
        <v>31</v>
      </c>
      <c r="AA2" s="9">
        <f t="shared" ref="AA2:AA7" si="1">D2</f>
        <v>42.73789531</v>
      </c>
      <c r="AB2" s="9">
        <f>'Different Scenarios'!G2</f>
        <v>44.35644021</v>
      </c>
      <c r="AC2" s="9">
        <f>'Different Scenarios'!O2</f>
        <v>42.51523762</v>
      </c>
      <c r="AD2" s="9">
        <f>'Different Scenarios'!M2</f>
        <v>35.9419818</v>
      </c>
      <c r="AE2" s="8"/>
      <c r="AF2" s="10" t="s">
        <v>31</v>
      </c>
      <c r="AG2" s="9">
        <f t="shared" ref="AG2:AG7" si="2">D2</f>
        <v>42.73789531</v>
      </c>
      <c r="AH2" s="9">
        <f>'Different Scenarios'!G34</f>
        <v>36.29230681</v>
      </c>
      <c r="AI2" s="9">
        <f>'Different Scenarios'!H34</f>
        <v>43.13861814</v>
      </c>
      <c r="AJ2" s="9">
        <f>'Different Scenarios'!I34</f>
        <v>41.56036046</v>
      </c>
      <c r="AK2" s="9">
        <f>'Different Scenarios'!J34</f>
        <v>40.79764643</v>
      </c>
      <c r="AL2" s="9">
        <f>'Different Scenarios'!K34</f>
        <v>47.87814436</v>
      </c>
      <c r="AM2" s="9">
        <f>'Different Scenarios'!L34</f>
        <v>45.01416929</v>
      </c>
      <c r="AN2" s="9">
        <f>'Different Scenarios'!N34</f>
        <v>40.88084639</v>
      </c>
    </row>
    <row r="3">
      <c r="A3" s="6" t="s">
        <v>32</v>
      </c>
      <c r="B3" s="7">
        <f>sqrt('Train on Full Data'!D19)</f>
        <v>67.64676637</v>
      </c>
      <c r="C3" s="7">
        <f>sqrt('Train on Full Data'!D27)</f>
        <v>67.713</v>
      </c>
      <c r="D3" s="7">
        <f>sqrt('Train on Full Data'!D3)</f>
        <v>63.47907239</v>
      </c>
      <c r="E3" s="7">
        <f>sqrt('Train on Full Data'!D11)</f>
        <v>62.89323427</v>
      </c>
      <c r="H3" s="6" t="s">
        <v>32</v>
      </c>
      <c r="I3" s="7">
        <f>sqrt('Train on Full Data'!D3)</f>
        <v>63.47907239</v>
      </c>
      <c r="J3" s="7">
        <f>sqrt('Train on Full Data'!C3)</f>
        <v>61.99800969</v>
      </c>
      <c r="K3" s="7">
        <f>sqrt('Different Scenarios'!D19)</f>
        <v>55.56992991</v>
      </c>
      <c r="L3" s="7">
        <f>sqrt('Different Scenarios'!D27)</f>
        <v>60.95229457</v>
      </c>
      <c r="M3" s="7">
        <f>sqrt('Different Scenarios'!D11)</f>
        <v>61.56394679</v>
      </c>
      <c r="N3" s="8">
        <f>'Different Scenarios'!G3</f>
        <v>63.88113929</v>
      </c>
      <c r="O3" s="8">
        <f>'Different Scenarios'!O3</f>
        <v>62.76458156</v>
      </c>
      <c r="P3" s="8">
        <f>'Different Scenarios'!M3</f>
        <v>48.78038148</v>
      </c>
      <c r="S3" s="6" t="s">
        <v>32</v>
      </c>
      <c r="T3" s="7">
        <f>sqrt('Train on Full Data'!D3)</f>
        <v>63.47907239</v>
      </c>
      <c r="U3" s="9">
        <f>sqrt('Different Training Data'!D3)</f>
        <v>62.96082958</v>
      </c>
      <c r="V3" s="9">
        <f>sqrt('Different Training Data'!D11)</f>
        <v>61.09535542</v>
      </c>
      <c r="W3" s="9">
        <f>sqrt('Different Training Data'!D19)</f>
        <v>59.05415347</v>
      </c>
      <c r="X3" s="9">
        <f>sqrt('Different Training Data'!D27)</f>
        <v>64.11704589</v>
      </c>
      <c r="Z3" s="6" t="s">
        <v>32</v>
      </c>
      <c r="AA3" s="9">
        <f t="shared" si="1"/>
        <v>63.47907239</v>
      </c>
      <c r="AB3" s="9">
        <f>'Different Scenarios'!G3</f>
        <v>63.88113929</v>
      </c>
      <c r="AC3" s="9">
        <f>'Different Scenarios'!O3</f>
        <v>62.76458156</v>
      </c>
      <c r="AD3" s="9">
        <f>'Different Scenarios'!M3</f>
        <v>48.78038148</v>
      </c>
      <c r="AE3" s="8"/>
      <c r="AF3" s="10" t="s">
        <v>32</v>
      </c>
      <c r="AG3" s="9">
        <f t="shared" si="2"/>
        <v>63.47907239</v>
      </c>
      <c r="AH3" s="9">
        <f>'Different Scenarios'!G35</f>
        <v>49.8400935</v>
      </c>
      <c r="AI3" s="9">
        <f>'Different Scenarios'!H35</f>
        <v>56.39758847</v>
      </c>
      <c r="AJ3" s="9">
        <f>'Different Scenarios'!I35</f>
        <v>54.66242615</v>
      </c>
      <c r="AK3" s="9">
        <f>'Different Scenarios'!J35</f>
        <v>58.06718795</v>
      </c>
      <c r="AL3" s="9">
        <f>'Different Scenarios'!K35</f>
        <v>80.41328881</v>
      </c>
      <c r="AM3" s="9">
        <f>'Different Scenarios'!L35</f>
        <v>73.62681989</v>
      </c>
      <c r="AN3" s="9">
        <f>'Different Scenarios'!N35</f>
        <v>55.34689168</v>
      </c>
    </row>
    <row r="4">
      <c r="A4" s="11" t="s">
        <v>33</v>
      </c>
      <c r="B4" s="7">
        <f>'Train on Full Data'!D20</f>
        <v>0.932</v>
      </c>
      <c r="C4" s="7">
        <f>'Train on Full Data'!D28</f>
        <v>0.932</v>
      </c>
      <c r="D4" s="7">
        <f>'Train on Full Data'!D4</f>
        <v>0.9403314185</v>
      </c>
      <c r="E4" s="7">
        <f>'Train on Full Data'!D12</f>
        <v>0.9414276798</v>
      </c>
      <c r="H4" s="11" t="s">
        <v>33</v>
      </c>
      <c r="I4" s="7">
        <f>'Train on Full Data'!D4</f>
        <v>0.9403314185</v>
      </c>
      <c r="J4" s="7">
        <f>'Train on Full Data'!C4</f>
        <v>0.9536084798</v>
      </c>
      <c r="K4" s="12">
        <f>'Different Scenarios'!D20</f>
        <v>0.9705317626</v>
      </c>
      <c r="L4" s="12">
        <f>'Different Scenarios'!D28</f>
        <v>0.8909613869</v>
      </c>
      <c r="M4" s="12">
        <f>'Different Scenarios'!D12</f>
        <v>0.9559475754</v>
      </c>
      <c r="N4" s="8">
        <f>'Different Scenarios'!G4</f>
        <v>0.8810876954</v>
      </c>
      <c r="O4" s="8">
        <f>'Different Scenarios'!O4</f>
        <v>0.9284748595</v>
      </c>
      <c r="P4" s="8">
        <f>'Different Scenarios'!M4</f>
        <v>0.9770387903</v>
      </c>
      <c r="S4" s="11" t="s">
        <v>33</v>
      </c>
      <c r="T4" s="7">
        <f>'Train on Full Data'!D4</f>
        <v>0.9403314185</v>
      </c>
      <c r="U4" s="9">
        <f>'Different Training Data'!D4</f>
        <v>0.9413017095</v>
      </c>
      <c r="V4" s="9">
        <f>'Different Training Data'!D12</f>
        <v>0.9628542492</v>
      </c>
      <c r="W4" s="9">
        <f>'Different Training Data'!D20</f>
        <v>0.9652948723</v>
      </c>
      <c r="X4" s="9">
        <f>'Different Training Data'!D28</f>
        <v>0.9391260366</v>
      </c>
      <c r="Z4" s="11" t="s">
        <v>33</v>
      </c>
      <c r="AA4" s="9">
        <f t="shared" si="1"/>
        <v>0.9403314185</v>
      </c>
      <c r="AB4" s="9">
        <f>'Different Scenarios'!G4</f>
        <v>0.8810876954</v>
      </c>
      <c r="AC4" s="9">
        <f>'Different Scenarios'!O4</f>
        <v>0.9284748595</v>
      </c>
      <c r="AD4" s="9">
        <f>'Different Scenarios'!M4</f>
        <v>0.9770387903</v>
      </c>
      <c r="AE4" s="8"/>
      <c r="AF4" s="13" t="s">
        <v>33</v>
      </c>
      <c r="AG4" s="9">
        <f t="shared" si="2"/>
        <v>0.9403314185</v>
      </c>
      <c r="AH4" s="9">
        <f>'Different Scenarios'!G36</f>
        <v>0.9640033662</v>
      </c>
      <c r="AI4" s="9">
        <f>'Different Scenarios'!H36</f>
        <v>0.9534323901</v>
      </c>
      <c r="AJ4" s="9">
        <f>'Different Scenarios'!I36</f>
        <v>0.953581205</v>
      </c>
      <c r="AK4" s="9">
        <f>'Different Scenarios'!J36</f>
        <v>0.9414744945</v>
      </c>
      <c r="AL4" s="9">
        <f>'Different Scenarios'!K36</f>
        <v>0.8746758911</v>
      </c>
      <c r="AM4" s="9">
        <f>'Different Scenarios'!L36</f>
        <v>0.8807750105</v>
      </c>
      <c r="AN4" s="9">
        <f>'Different Scenarios'!N36</f>
        <v>0.959335473</v>
      </c>
    </row>
    <row r="5">
      <c r="A5" s="6" t="s">
        <v>34</v>
      </c>
      <c r="B5" s="7">
        <f>'Train on Full Data'!D21</f>
        <v>0.387</v>
      </c>
      <c r="C5" s="7">
        <f>'Train on Full Data'!D29</f>
        <v>0.444</v>
      </c>
      <c r="D5" s="7">
        <f>'Train on Full Data'!D5</f>
        <v>0.3643216429</v>
      </c>
      <c r="E5" s="7">
        <f>'Train on Full Data'!D13</f>
        <v>0.3642500432</v>
      </c>
      <c r="H5" s="6" t="s">
        <v>34</v>
      </c>
      <c r="I5" s="7">
        <f>'Train on Full Data'!D5</f>
        <v>0.3643216429</v>
      </c>
      <c r="J5" s="7">
        <f>'Train on Full Data'!C5</f>
        <v>0.3687524792</v>
      </c>
      <c r="K5" s="7">
        <f>'Different Scenarios'!D21</f>
        <v>0.3343894803</v>
      </c>
      <c r="L5" s="7">
        <f>'Different Scenarios'!D29</f>
        <v>0.3505990396</v>
      </c>
      <c r="M5" s="7">
        <f>'Different Scenarios'!D13</f>
        <v>0.3698708618</v>
      </c>
      <c r="N5" s="8">
        <f>'Different Scenarios'!G5</f>
        <v>0.4266783402</v>
      </c>
      <c r="O5" s="8">
        <f>'Different Scenarios'!O5</f>
        <v>0.3632201903</v>
      </c>
      <c r="P5" s="8">
        <f>'Different Scenarios'!M5</f>
        <v>0.3205922908</v>
      </c>
      <c r="S5" s="6" t="s">
        <v>34</v>
      </c>
      <c r="T5" s="7">
        <f>'Train on Full Data'!D5</f>
        <v>0.3643216429</v>
      </c>
      <c r="U5" s="9">
        <f>'Different Training Data'!D5</f>
        <v>0.3723132417</v>
      </c>
      <c r="V5" s="9">
        <f>'Different Training Data'!D13</f>
        <v>0.3427397513</v>
      </c>
      <c r="W5" s="9">
        <f>'Different Training Data'!D21</f>
        <v>0.3473737784</v>
      </c>
      <c r="X5" s="9">
        <f>'Different Training Data'!D29</f>
        <v>0.3786136103</v>
      </c>
      <c r="Z5" s="6" t="s">
        <v>34</v>
      </c>
      <c r="AA5" s="9">
        <f t="shared" si="1"/>
        <v>0.3643216429</v>
      </c>
      <c r="AB5" s="9">
        <f>'Different Scenarios'!G5</f>
        <v>0.4266783402</v>
      </c>
      <c r="AC5" s="9">
        <f>'Different Scenarios'!O5</f>
        <v>0.3632201903</v>
      </c>
      <c r="AD5" s="9">
        <f>'Different Scenarios'!M5</f>
        <v>0.3205922908</v>
      </c>
      <c r="AF5" s="14" t="s">
        <v>34</v>
      </c>
      <c r="AG5" s="9">
        <f t="shared" si="2"/>
        <v>0.3643216429</v>
      </c>
      <c r="AH5" s="9">
        <f>'Different Scenarios'!G37</f>
        <v>0.28439892</v>
      </c>
      <c r="AI5" s="9">
        <f>'Different Scenarios'!H37</f>
        <v>0.2800037392</v>
      </c>
      <c r="AJ5" s="9">
        <f>'Different Scenarios'!I37</f>
        <v>0.3294354306</v>
      </c>
      <c r="AK5" s="9">
        <f>'Different Scenarios'!J37</f>
        <v>0.4388579589</v>
      </c>
      <c r="AL5" s="9">
        <f>'Different Scenarios'!K37</f>
        <v>0.421984435</v>
      </c>
      <c r="AM5" s="9">
        <f>'Different Scenarios'!L37</f>
        <v>0.41208149</v>
      </c>
      <c r="AN5" s="9">
        <f>'Different Scenarios'!N37</f>
        <v>0.3643216429</v>
      </c>
    </row>
    <row r="6">
      <c r="A6" s="6" t="s">
        <v>35</v>
      </c>
      <c r="B6" s="7">
        <f>sqrt('Train on Full Data'!D22)</f>
        <v>0.893</v>
      </c>
      <c r="C6" s="7">
        <f>('Train on Full Data'!D30)</f>
        <v>1.008016</v>
      </c>
      <c r="D6" s="7">
        <f>sqrt('Train on Full Data'!D6)</f>
        <v>0.8627280124</v>
      </c>
      <c r="E6" s="7">
        <f>sqrt('Train on Full Data'!D14)</f>
        <v>0.921702603</v>
      </c>
      <c r="H6" s="6" t="s">
        <v>35</v>
      </c>
      <c r="I6" s="7">
        <f>sqrt('Train on Full Data'!D6)</f>
        <v>0.8627280124</v>
      </c>
      <c r="J6" s="7">
        <f>sqrt('Train on Full Data'!C6)</f>
        <v>0.8421807295</v>
      </c>
      <c r="K6" s="7">
        <f>sqrt('Different Scenarios'!D22)</f>
        <v>0.6626739637</v>
      </c>
      <c r="L6" s="7">
        <f>sqrt('Different Scenarios'!D30)</f>
        <v>0.8303689706</v>
      </c>
      <c r="M6" s="7">
        <f>'Different Scenarios'!D14</f>
        <v>0.6998612994</v>
      </c>
      <c r="N6" s="8">
        <f>'Different Scenarios'!G6</f>
        <v>1.03788281</v>
      </c>
      <c r="O6" s="8">
        <f>'Different Scenarios'!O6</f>
        <v>0.8513420711</v>
      </c>
      <c r="P6" s="8">
        <f>'Different Scenarios'!M6</f>
        <v>0.7407446982</v>
      </c>
      <c r="S6" s="6" t="s">
        <v>35</v>
      </c>
      <c r="T6" s="7">
        <f>sqrt('Train on Full Data'!D6)</f>
        <v>0.8627280124</v>
      </c>
      <c r="U6" s="9">
        <f>sqrt('Different Training Data'!D6)</f>
        <v>0.8894610177</v>
      </c>
      <c r="V6" s="9">
        <f>sqrt('Different Training Data'!D14)</f>
        <v>0.7809746779</v>
      </c>
      <c r="W6" s="9">
        <f>sqrt('Different Training Data'!D22)</f>
        <v>0.8512900918</v>
      </c>
      <c r="X6" s="9">
        <f>'Different Training Data'!D30</f>
        <v>0.7618956255</v>
      </c>
      <c r="Z6" s="6" t="s">
        <v>35</v>
      </c>
      <c r="AA6" s="9">
        <f t="shared" si="1"/>
        <v>0.8627280124</v>
      </c>
      <c r="AB6" s="9">
        <f>'Different Scenarios'!G6</f>
        <v>1.03788281</v>
      </c>
      <c r="AC6" s="9">
        <f>'Different Scenarios'!O6</f>
        <v>0.8513420711</v>
      </c>
      <c r="AD6" s="9">
        <f>'Different Scenarios'!M6</f>
        <v>0.7407446982</v>
      </c>
      <c r="AF6" s="14" t="s">
        <v>35</v>
      </c>
      <c r="AG6" s="9">
        <f t="shared" si="2"/>
        <v>0.8627280124</v>
      </c>
      <c r="AH6" s="9">
        <f>'Different Scenarios'!G38</f>
        <v>0.3659159169</v>
      </c>
      <c r="AI6" s="9">
        <f>'Different Scenarios'!H38</f>
        <v>0.417926886</v>
      </c>
      <c r="AJ6" s="9">
        <f>'Different Scenarios'!I38</f>
        <v>0.7235074862</v>
      </c>
      <c r="AK6" s="9">
        <f>'Different Scenarios'!J38</f>
        <v>1.061659814</v>
      </c>
      <c r="AL6" s="9">
        <f>'Different Scenarios'!K38</f>
        <v>1.093742566</v>
      </c>
      <c r="AM6" s="9">
        <f>'Different Scenarios'!L38</f>
        <v>1.080595442</v>
      </c>
      <c r="AN6" s="9">
        <f>'Different Scenarios'!N38</f>
        <v>0.8627280124</v>
      </c>
    </row>
    <row r="7">
      <c r="A7" s="6" t="s">
        <v>36</v>
      </c>
      <c r="B7" s="7">
        <f>'Train on Full Data'!D23</f>
        <v>0.819</v>
      </c>
      <c r="C7" s="7">
        <f>'Train on Full Data'!D31</f>
        <v>0.771</v>
      </c>
      <c r="D7" s="7">
        <f>'Train on Full Data'!D7</f>
        <v>0.8306646783</v>
      </c>
      <c r="E7" s="7">
        <f>'Train on Full Data'!D15</f>
        <v>0.8067224615</v>
      </c>
      <c r="H7" s="6" t="s">
        <v>36</v>
      </c>
      <c r="I7" s="7">
        <f>'Train on Full Data'!D7</f>
        <v>0.8306646783</v>
      </c>
      <c r="J7" s="7">
        <f>'Train on Full Data'!C7</f>
        <v>0.8444555264</v>
      </c>
      <c r="K7" s="7">
        <f>'Different Scenarios'!D23</f>
        <v>0.86106443</v>
      </c>
      <c r="L7" s="7">
        <f>'Different Scenarios'!D31</f>
        <v>0.7675972176</v>
      </c>
      <c r="M7" s="7">
        <f>'Different Scenarios'!D15</f>
        <v>0.8473434651</v>
      </c>
      <c r="N7" s="8">
        <f>'Different Scenarios'!G7</f>
        <v>0.8013959126</v>
      </c>
      <c r="O7" s="8">
        <f>'Different Scenarios'!O7</f>
        <v>0.7813155634</v>
      </c>
      <c r="P7" s="8">
        <f>'Different Scenarios'!M7</f>
        <v>0.7979582273</v>
      </c>
      <c r="S7" s="6" t="s">
        <v>36</v>
      </c>
      <c r="T7" s="7">
        <f>'Train on Full Data'!D7</f>
        <v>0.8306646783</v>
      </c>
      <c r="U7" s="9">
        <f>'Different Training Data'!D7</f>
        <v>0.8200078369</v>
      </c>
      <c r="V7" s="9">
        <f>'Different Training Data'!D15</f>
        <v>0.7710100697</v>
      </c>
      <c r="W7" s="9">
        <f>'Different Training Data'!D23</f>
        <v>0.7279193623</v>
      </c>
      <c r="X7" s="9">
        <f>'Different Training Data'!D31</f>
        <v>0.8266614186</v>
      </c>
      <c r="Z7" s="6" t="s">
        <v>36</v>
      </c>
      <c r="AA7" s="9">
        <f t="shared" si="1"/>
        <v>0.8306646783</v>
      </c>
      <c r="AB7" s="9">
        <f>'Different Scenarios'!G7</f>
        <v>0.8013959126</v>
      </c>
      <c r="AC7" s="9">
        <f>'Different Scenarios'!O7</f>
        <v>0.7813155634</v>
      </c>
      <c r="AD7" s="9">
        <f>'Different Scenarios'!M7</f>
        <v>0.7979582273</v>
      </c>
      <c r="AF7" s="14" t="s">
        <v>36</v>
      </c>
      <c r="AG7" s="9">
        <f t="shared" si="2"/>
        <v>0.8306646783</v>
      </c>
      <c r="AH7" s="9">
        <f>'Different Scenarios'!G39</f>
        <v>0.93975672</v>
      </c>
      <c r="AI7" s="9">
        <f>'Different Scenarios'!H39</f>
        <v>0.919513173</v>
      </c>
      <c r="AJ7" s="9">
        <f>'Different Scenarios'!I39</f>
        <v>0.8422142497</v>
      </c>
      <c r="AK7" s="9">
        <f>'Different Scenarios'!J39</f>
        <v>0.7654695352</v>
      </c>
      <c r="AL7" s="9">
        <f>'Different Scenarios'!K39</f>
        <v>0.8396924091</v>
      </c>
      <c r="AM7" s="9">
        <f>'Different Scenarios'!L39</f>
        <v>0.8052981887</v>
      </c>
      <c r="AN7" s="9">
        <f>'Different Scenarios'!N39</f>
        <v>0.8306646783</v>
      </c>
    </row>
    <row r="16"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</sheetData>
  <conditionalFormatting sqref="B3:E3">
    <cfRule type="colorScale" priority="1">
      <colorScale>
        <cfvo type="min"/>
        <cfvo type="max"/>
        <color rgb="FF57BB8A"/>
        <color rgb="FFFFFFFF"/>
      </colorScale>
    </cfRule>
  </conditionalFormatting>
  <conditionalFormatting sqref="B4:E4">
    <cfRule type="colorScale" priority="2">
      <colorScale>
        <cfvo type="min"/>
        <cfvo type="max"/>
        <color rgb="FFFFFFFF"/>
        <color rgb="FF57BB8A"/>
      </colorScale>
    </cfRule>
  </conditionalFormatting>
  <conditionalFormatting sqref="B5:E5">
    <cfRule type="colorScale" priority="3">
      <colorScale>
        <cfvo type="min"/>
        <cfvo type="max"/>
        <color rgb="FF57BB8A"/>
        <color rgb="FFFFFFFF"/>
      </colorScale>
    </cfRule>
  </conditionalFormatting>
  <conditionalFormatting sqref="B6:E6">
    <cfRule type="colorScale" priority="4">
      <colorScale>
        <cfvo type="min"/>
        <cfvo type="max"/>
        <color rgb="FF57BB8A"/>
        <color rgb="FFFFFFFF"/>
      </colorScale>
    </cfRule>
  </conditionalFormatting>
  <conditionalFormatting sqref="B7:E7">
    <cfRule type="colorScale" priority="5">
      <colorScale>
        <cfvo type="min"/>
        <cfvo type="max"/>
        <color rgb="FFFFFFFF"/>
        <color rgb="FF57BB8A"/>
      </colorScale>
    </cfRule>
  </conditionalFormatting>
  <conditionalFormatting sqref="B2:E2">
    <cfRule type="colorScale" priority="6">
      <colorScale>
        <cfvo type="min"/>
        <cfvo type="max"/>
        <color rgb="FF57BB8A"/>
        <color rgb="FFFFFFFF"/>
      </colorScale>
    </cfRule>
  </conditionalFormatting>
  <conditionalFormatting sqref="T2:X2">
    <cfRule type="colorScale" priority="7">
      <colorScale>
        <cfvo type="min"/>
        <cfvo type="percent" val="50"/>
        <cfvo type="max"/>
        <color rgb="FF57BB8A"/>
        <color rgb="FFABDDC5"/>
        <color rgb="FFFFFFFF"/>
      </colorScale>
    </cfRule>
  </conditionalFormatting>
  <conditionalFormatting sqref="T3:X3">
    <cfRule type="colorScale" priority="8">
      <colorScale>
        <cfvo type="min"/>
        <cfvo type="percent" val="50"/>
        <cfvo type="max"/>
        <color rgb="FF57BB8A"/>
        <color rgb="FFABDDC5"/>
        <color rgb="FFFFFFFF"/>
      </colorScale>
    </cfRule>
  </conditionalFormatting>
  <conditionalFormatting sqref="T4:X4">
    <cfRule type="colorScale" priority="9">
      <colorScale>
        <cfvo type="min"/>
        <cfvo type="max"/>
        <color rgb="FFFFFFFF"/>
        <color rgb="FF57BB8A"/>
      </colorScale>
    </cfRule>
  </conditionalFormatting>
  <conditionalFormatting sqref="T5:X5">
    <cfRule type="colorScale" priority="10">
      <colorScale>
        <cfvo type="min"/>
        <cfvo type="max"/>
        <color rgb="FF57BB8A"/>
        <color rgb="FFFFFFFF"/>
      </colorScale>
    </cfRule>
  </conditionalFormatting>
  <conditionalFormatting sqref="T6:X6">
    <cfRule type="colorScale" priority="11">
      <colorScale>
        <cfvo type="min"/>
        <cfvo type="max"/>
        <color rgb="FF57BB8A"/>
        <color rgb="FFFFFFFF"/>
      </colorScale>
    </cfRule>
  </conditionalFormatting>
  <conditionalFormatting sqref="T7:X7">
    <cfRule type="colorScale" priority="12">
      <colorScale>
        <cfvo type="min"/>
        <cfvo type="max"/>
        <color rgb="FFFFFFFF"/>
        <color rgb="FF57BB8A"/>
      </colorScale>
    </cfRule>
  </conditionalFormatting>
  <conditionalFormatting sqref="I2:M2">
    <cfRule type="colorScale" priority="13">
      <colorScale>
        <cfvo type="min"/>
        <cfvo type="max"/>
        <color rgb="FF57BB8A"/>
        <color rgb="FFFFFFFF"/>
      </colorScale>
    </cfRule>
  </conditionalFormatting>
  <conditionalFormatting sqref="I3:M3">
    <cfRule type="colorScale" priority="14">
      <colorScale>
        <cfvo type="min"/>
        <cfvo type="max"/>
        <color rgb="FF57BB8A"/>
        <color rgb="FFFFFFFF"/>
      </colorScale>
    </cfRule>
  </conditionalFormatting>
  <conditionalFormatting sqref="I4:M4">
    <cfRule type="colorScale" priority="15">
      <colorScale>
        <cfvo type="min"/>
        <cfvo type="max"/>
        <color rgb="FFFFFFFF"/>
        <color rgb="FF57BB8A"/>
      </colorScale>
    </cfRule>
  </conditionalFormatting>
  <conditionalFormatting sqref="I5:M5">
    <cfRule type="colorScale" priority="16">
      <colorScale>
        <cfvo type="min"/>
        <cfvo type="max"/>
        <color rgb="FF57BB8A"/>
        <color rgb="FFFFFFFF"/>
      </colorScale>
    </cfRule>
  </conditionalFormatting>
  <conditionalFormatting sqref="I6:M6">
    <cfRule type="colorScale" priority="17">
      <colorScale>
        <cfvo type="min"/>
        <cfvo type="max"/>
        <color rgb="FF57BB8A"/>
        <color rgb="FFFFFFFF"/>
      </colorScale>
    </cfRule>
  </conditionalFormatting>
  <conditionalFormatting sqref="I7:M7">
    <cfRule type="colorScale" priority="18">
      <colorScale>
        <cfvo type="min"/>
        <cfvo type="max"/>
        <color rgb="FFFFFFFF"/>
        <color rgb="FF57BB8A"/>
      </colorScale>
    </cfRule>
  </conditionalFormatting>
  <conditionalFormatting sqref="AG2:AN2">
    <cfRule type="colorScale" priority="19">
      <colorScale>
        <cfvo type="min"/>
        <cfvo type="max"/>
        <color rgb="FF57BB8A"/>
        <color rgb="FFFFFFFF"/>
      </colorScale>
    </cfRule>
  </conditionalFormatting>
  <conditionalFormatting sqref="AG3:AN3">
    <cfRule type="colorScale" priority="20">
      <colorScale>
        <cfvo type="min"/>
        <cfvo type="max"/>
        <color rgb="FF57BB8A"/>
        <color rgb="FFFFFFFF"/>
      </colorScale>
    </cfRule>
  </conditionalFormatting>
  <conditionalFormatting sqref="AG4:AN4">
    <cfRule type="colorScale" priority="21">
      <colorScale>
        <cfvo type="min"/>
        <cfvo type="max"/>
        <color rgb="FFFFFFFF"/>
        <color rgb="FF57BB8A"/>
      </colorScale>
    </cfRule>
  </conditionalFormatting>
  <conditionalFormatting sqref="AG5:AN5">
    <cfRule type="colorScale" priority="22">
      <colorScale>
        <cfvo type="min"/>
        <cfvo type="max"/>
        <color rgb="FF57BB8A"/>
        <color rgb="FFFFFFFF"/>
      </colorScale>
    </cfRule>
  </conditionalFormatting>
  <conditionalFormatting sqref="AG6:AN6">
    <cfRule type="colorScale" priority="23">
      <colorScale>
        <cfvo type="min"/>
        <cfvo type="max"/>
        <color rgb="FF57BB8A"/>
        <color rgb="FFFFFFFF"/>
      </colorScale>
    </cfRule>
  </conditionalFormatting>
  <conditionalFormatting sqref="AG7:AN7">
    <cfRule type="colorScale" priority="24">
      <colorScale>
        <cfvo type="min"/>
        <cfvo type="max"/>
        <color rgb="FFFFFFFF"/>
        <color rgb="FF57BB8A"/>
      </colorScale>
    </cfRule>
  </conditionalFormatting>
  <conditionalFormatting sqref="AA2:AD2">
    <cfRule type="colorScale" priority="25">
      <colorScale>
        <cfvo type="min"/>
        <cfvo type="max"/>
        <color rgb="FF57BB8A"/>
        <color rgb="FFFFFFFF"/>
      </colorScale>
    </cfRule>
  </conditionalFormatting>
  <conditionalFormatting sqref="AA3:AD3">
    <cfRule type="colorScale" priority="26">
      <colorScale>
        <cfvo type="min"/>
        <cfvo type="max"/>
        <color rgb="FF57BB8A"/>
        <color rgb="FFFFFFFF"/>
      </colorScale>
    </cfRule>
  </conditionalFormatting>
  <conditionalFormatting sqref="AA4:AD4">
    <cfRule type="colorScale" priority="27">
      <colorScale>
        <cfvo type="min"/>
        <cfvo type="max"/>
        <color rgb="FFFFFFFF"/>
        <color rgb="FF57BB8A"/>
      </colorScale>
    </cfRule>
  </conditionalFormatting>
  <conditionalFormatting sqref="AA5:AD5">
    <cfRule type="colorScale" priority="28">
      <colorScale>
        <cfvo type="min"/>
        <cfvo type="max"/>
        <color rgb="FF57BB8A"/>
        <color rgb="FFFFFFFF"/>
      </colorScale>
    </cfRule>
  </conditionalFormatting>
  <conditionalFormatting sqref="AA6:AD6">
    <cfRule type="colorScale" priority="29">
      <colorScale>
        <cfvo type="min"/>
        <cfvo type="max"/>
        <color rgb="FF57BB8A"/>
        <color rgb="FFFFFFFF"/>
      </colorScale>
    </cfRule>
  </conditionalFormatting>
  <conditionalFormatting sqref="AA7:AD7">
    <cfRule type="colorScale" priority="30">
      <colorScale>
        <cfvo type="min"/>
        <cfvo type="max"/>
        <color rgb="FFFFFFFF"/>
        <color rgb="FF57BB8A"/>
      </colorScale>
    </cfRule>
  </conditionalFormatting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37</v>
      </c>
      <c r="B1" s="16" t="s">
        <v>38</v>
      </c>
      <c r="C1" s="17" t="s">
        <v>39</v>
      </c>
      <c r="D1" s="17" t="s">
        <v>40</v>
      </c>
    </row>
    <row r="2">
      <c r="A2" s="16" t="s">
        <v>31</v>
      </c>
      <c r="B2" s="18">
        <v>35.8036679028989</v>
      </c>
      <c r="C2" s="19">
        <v>42.2904989469809</v>
      </c>
      <c r="D2" s="19">
        <v>42.7378953057391</v>
      </c>
    </row>
    <row r="3">
      <c r="A3" s="16" t="s">
        <v>41</v>
      </c>
      <c r="B3" s="18">
        <v>2647.59922535216</v>
      </c>
      <c r="C3" s="19">
        <v>3843.75320548428</v>
      </c>
      <c r="D3" s="19">
        <v>4029.59263194601</v>
      </c>
    </row>
    <row r="4">
      <c r="A4" s="16" t="s">
        <v>42</v>
      </c>
      <c r="B4" s="18">
        <v>0.967121930376661</v>
      </c>
      <c r="C4" s="19">
        <v>0.953608479831827</v>
      </c>
      <c r="D4" s="19">
        <v>0.94033141846985</v>
      </c>
    </row>
    <row r="5">
      <c r="A5" s="16" t="s">
        <v>34</v>
      </c>
      <c r="B5" s="20">
        <v>0.327669346773485</v>
      </c>
      <c r="C5" s="21">
        <v>0.368752479174607</v>
      </c>
      <c r="D5" s="19">
        <v>0.364321642936621</v>
      </c>
    </row>
    <row r="6">
      <c r="A6" s="16" t="s">
        <v>43</v>
      </c>
      <c r="B6" s="20">
        <v>0.468549152249028</v>
      </c>
      <c r="C6" s="21">
        <v>0.70926838109757</v>
      </c>
      <c r="D6" s="19">
        <v>0.744299623295296</v>
      </c>
    </row>
    <row r="7">
      <c r="A7" s="16" t="s">
        <v>44</v>
      </c>
      <c r="B7" s="22">
        <v>0.888096668921035</v>
      </c>
      <c r="C7" s="23">
        <v>0.844455526393472</v>
      </c>
      <c r="D7" s="19">
        <v>0.830664678288691</v>
      </c>
    </row>
    <row r="8">
      <c r="A8" s="3"/>
      <c r="B8" s="3"/>
      <c r="C8" s="3"/>
      <c r="D8" s="3"/>
    </row>
    <row r="9">
      <c r="A9" s="15" t="s">
        <v>45</v>
      </c>
      <c r="B9" s="16" t="s">
        <v>38</v>
      </c>
      <c r="C9" s="17" t="s">
        <v>39</v>
      </c>
      <c r="D9" s="17" t="s">
        <v>40</v>
      </c>
    </row>
    <row r="10">
      <c r="A10" s="16" t="s">
        <v>31</v>
      </c>
      <c r="B10" s="18">
        <v>36.416876815182</v>
      </c>
      <c r="C10" s="19">
        <v>42.0522702037666</v>
      </c>
      <c r="D10" s="19">
        <v>42.4541343250114</v>
      </c>
    </row>
    <row r="11">
      <c r="A11" s="16" t="s">
        <v>41</v>
      </c>
      <c r="B11" s="18">
        <v>2685.14015491887</v>
      </c>
      <c r="C11" s="19">
        <v>4032.55884863713</v>
      </c>
      <c r="D11" s="19">
        <v>3955.55891722008</v>
      </c>
    </row>
    <row r="12">
      <c r="A12" s="16" t="s">
        <v>42</v>
      </c>
      <c r="B12" s="18">
        <v>0.966655744526401</v>
      </c>
      <c r="C12" s="19">
        <v>0.9513297224991</v>
      </c>
      <c r="D12" s="19">
        <v>0.941427679840809</v>
      </c>
    </row>
    <row r="13">
      <c r="A13" s="16" t="s">
        <v>34</v>
      </c>
      <c r="B13" s="20">
        <v>0.309012986377839</v>
      </c>
      <c r="C13" s="21">
        <v>0.367157194330992</v>
      </c>
      <c r="D13" s="19">
        <v>0.364250043237299</v>
      </c>
    </row>
    <row r="14">
      <c r="A14" s="16" t="s">
        <v>43</v>
      </c>
      <c r="B14" s="20">
        <v>0.420621139819394</v>
      </c>
      <c r="C14" s="21">
        <v>0.81936729503965</v>
      </c>
      <c r="D14" s="19">
        <v>0.84953568841036</v>
      </c>
    </row>
    <row r="15">
      <c r="A15" s="16" t="s">
        <v>44</v>
      </c>
      <c r="B15" s="22">
        <v>0.899543289232108</v>
      </c>
      <c r="C15" s="23">
        <v>0.820310536894193</v>
      </c>
      <c r="D15" s="19">
        <v>0.806722461492994</v>
      </c>
    </row>
    <row r="17">
      <c r="A17" s="15" t="s">
        <v>46</v>
      </c>
      <c r="B17" s="16" t="s">
        <v>38</v>
      </c>
      <c r="C17" s="17" t="s">
        <v>39</v>
      </c>
      <c r="D17" s="17" t="s">
        <v>40</v>
      </c>
    </row>
    <row r="18">
      <c r="A18" s="16" t="s">
        <v>31</v>
      </c>
      <c r="B18" s="20">
        <v>30.084</v>
      </c>
      <c r="C18" s="21">
        <v>44.364</v>
      </c>
      <c r="D18" s="21">
        <v>45.241</v>
      </c>
    </row>
    <row r="19">
      <c r="A19" s="16" t="s">
        <v>41</v>
      </c>
      <c r="B19" s="20">
        <v>1899.372</v>
      </c>
      <c r="C19" s="21">
        <v>4281.085</v>
      </c>
      <c r="D19" s="21">
        <v>4576.085</v>
      </c>
    </row>
    <row r="20">
      <c r="A20" s="16" t="s">
        <v>42</v>
      </c>
      <c r="B20" s="20">
        <v>0.976</v>
      </c>
      <c r="C20" s="21">
        <v>0.948</v>
      </c>
      <c r="D20" s="21">
        <v>0.932</v>
      </c>
    </row>
    <row r="21">
      <c r="A21" s="16" t="s">
        <v>34</v>
      </c>
      <c r="B21" s="18">
        <v>0.265</v>
      </c>
      <c r="C21" s="19">
        <v>0.391</v>
      </c>
      <c r="D21" s="24">
        <v>0.387</v>
      </c>
    </row>
    <row r="22">
      <c r="A22" s="16" t="s">
        <v>43</v>
      </c>
      <c r="B22" s="18">
        <f>0.571^2</f>
        <v>0.326041</v>
      </c>
      <c r="C22" s="19">
        <f>0.859^2</f>
        <v>0.737881</v>
      </c>
      <c r="D22" s="24">
        <f>0.893^2</f>
        <v>0.797449</v>
      </c>
    </row>
    <row r="23">
      <c r="A23" s="16" t="s">
        <v>44</v>
      </c>
      <c r="B23" s="18">
        <v>0.922</v>
      </c>
      <c r="C23" s="19">
        <v>0.838</v>
      </c>
      <c r="D23" s="24">
        <v>0.819</v>
      </c>
    </row>
    <row r="25">
      <c r="A25" s="15" t="s">
        <v>47</v>
      </c>
      <c r="B25" s="16" t="s">
        <v>38</v>
      </c>
      <c r="C25" s="17" t="s">
        <v>39</v>
      </c>
      <c r="D25" s="17" t="s">
        <v>40</v>
      </c>
    </row>
    <row r="26">
      <c r="A26" s="16" t="s">
        <v>31</v>
      </c>
      <c r="B26" s="18">
        <v>30.092</v>
      </c>
      <c r="C26" s="19">
        <v>44.342</v>
      </c>
      <c r="D26" s="21">
        <v>45.269</v>
      </c>
    </row>
    <row r="27">
      <c r="A27" s="16" t="s">
        <v>41</v>
      </c>
      <c r="B27" s="18">
        <f>43.618^2</f>
        <v>1902.529924</v>
      </c>
      <c r="C27" s="19">
        <f>65.37^2</f>
        <v>4273.2369</v>
      </c>
      <c r="D27" s="19">
        <f>67.713^2</f>
        <v>4585.050369</v>
      </c>
    </row>
    <row r="28">
      <c r="A28" s="16" t="s">
        <v>42</v>
      </c>
      <c r="B28" s="18">
        <v>0.976</v>
      </c>
      <c r="C28" s="19">
        <v>0.948</v>
      </c>
      <c r="D28" s="19">
        <v>0.932</v>
      </c>
    </row>
    <row r="29">
      <c r="A29" s="16" t="s">
        <v>34</v>
      </c>
      <c r="B29" s="20">
        <v>0.312</v>
      </c>
      <c r="C29" s="21">
        <v>0.449</v>
      </c>
      <c r="D29" s="19">
        <v>0.444</v>
      </c>
    </row>
    <row r="30">
      <c r="A30" s="16" t="s">
        <v>43</v>
      </c>
      <c r="B30" s="20">
        <f>0.611^2</f>
        <v>0.373321</v>
      </c>
      <c r="C30" s="21">
        <f>0.994^2</f>
        <v>0.988036</v>
      </c>
      <c r="D30" s="19">
        <f>1.004^2</f>
        <v>1.008016</v>
      </c>
    </row>
    <row r="31">
      <c r="A31" s="16" t="s">
        <v>44</v>
      </c>
      <c r="B31" s="22">
        <v>0.911</v>
      </c>
      <c r="C31" s="23">
        <v>0.783</v>
      </c>
      <c r="D31" s="19">
        <v>0.771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48</v>
      </c>
      <c r="B1" s="16" t="s">
        <v>38</v>
      </c>
      <c r="C1" s="17" t="s">
        <v>39</v>
      </c>
      <c r="D1" s="17" t="s">
        <v>40</v>
      </c>
    </row>
    <row r="2">
      <c r="A2" s="16" t="s">
        <v>31</v>
      </c>
      <c r="B2" s="18">
        <v>36.9431239441378</v>
      </c>
      <c r="C2" s="19">
        <v>90.9093305442511</v>
      </c>
      <c r="D2" s="19">
        <v>42.614237395469</v>
      </c>
    </row>
    <row r="3">
      <c r="A3" s="16" t="s">
        <v>41</v>
      </c>
      <c r="B3" s="18">
        <v>2772.54857992659</v>
      </c>
      <c r="C3" s="19">
        <v>14613.2235306238</v>
      </c>
      <c r="D3" s="19">
        <v>3964.06606125102</v>
      </c>
    </row>
    <row r="4">
      <c r="A4" s="16" t="s">
        <v>42</v>
      </c>
      <c r="B4" s="18">
        <v>0.955505866385255</v>
      </c>
      <c r="C4" s="19">
        <v>0.823628204543495</v>
      </c>
      <c r="D4" s="19">
        <v>0.941301709485102</v>
      </c>
    </row>
    <row r="5">
      <c r="A5" s="16" t="s">
        <v>34</v>
      </c>
      <c r="B5" s="20">
        <v>0.306245963108746</v>
      </c>
      <c r="C5" s="21">
        <v>0.594375400354157</v>
      </c>
      <c r="D5" s="19">
        <v>0.372313241669806</v>
      </c>
    </row>
    <row r="6">
      <c r="A6" s="16" t="s">
        <v>43</v>
      </c>
      <c r="B6" s="20">
        <v>0.341970422083313</v>
      </c>
      <c r="C6" s="21">
        <v>1.197835325038</v>
      </c>
      <c r="D6" s="19">
        <v>0.791140902069596</v>
      </c>
    </row>
    <row r="7">
      <c r="A7" s="16" t="s">
        <v>44</v>
      </c>
      <c r="B7" s="22">
        <v>0.903345523017225</v>
      </c>
      <c r="C7" s="23">
        <v>0.737311474660662</v>
      </c>
      <c r="D7" s="19">
        <v>0.82000783692755</v>
      </c>
    </row>
    <row r="8">
      <c r="A8" s="3"/>
      <c r="B8" s="3"/>
      <c r="C8" s="3"/>
      <c r="D8" s="3"/>
    </row>
    <row r="9">
      <c r="A9" s="15" t="s">
        <v>49</v>
      </c>
      <c r="B9" s="16" t="s">
        <v>38</v>
      </c>
      <c r="C9" s="17" t="s">
        <v>39</v>
      </c>
      <c r="D9" s="17" t="s">
        <v>40</v>
      </c>
    </row>
    <row r="10">
      <c r="A10" s="16" t="s">
        <v>31</v>
      </c>
      <c r="B10" s="18">
        <v>30.4533663446145</v>
      </c>
      <c r="C10" s="19">
        <v>39.325700279237</v>
      </c>
      <c r="D10" s="19">
        <v>40.6853123152779</v>
      </c>
    </row>
    <row r="11">
      <c r="A11" s="16" t="s">
        <v>41</v>
      </c>
      <c r="B11" s="18">
        <v>1894.22841701147</v>
      </c>
      <c r="C11" s="19">
        <v>3174.06189170793</v>
      </c>
      <c r="D11" s="19">
        <v>3732.64245434625</v>
      </c>
    </row>
    <row r="12">
      <c r="A12" s="16" t="s">
        <v>42</v>
      </c>
      <c r="B12" s="18">
        <v>0.980227396715852</v>
      </c>
      <c r="C12" s="19">
        <v>0.968495231381559</v>
      </c>
      <c r="D12" s="19">
        <v>0.962854249192487</v>
      </c>
    </row>
    <row r="13">
      <c r="A13" s="16" t="s">
        <v>34</v>
      </c>
      <c r="B13" s="20">
        <v>0.25607078801819</v>
      </c>
      <c r="C13" s="21">
        <v>0.36446011207662</v>
      </c>
      <c r="D13" s="19">
        <v>0.34273975131553</v>
      </c>
    </row>
    <row r="14">
      <c r="A14" s="16" t="s">
        <v>43</v>
      </c>
      <c r="B14" s="20">
        <v>0.246399977697998</v>
      </c>
      <c r="C14" s="21">
        <v>0.613612459121637</v>
      </c>
      <c r="D14" s="19">
        <v>0.609921447552979</v>
      </c>
    </row>
    <row r="15">
      <c r="A15" s="16" t="s">
        <v>44</v>
      </c>
      <c r="B15" s="22">
        <v>0.866405637687316</v>
      </c>
      <c r="C15" s="23">
        <v>0.74993964442189</v>
      </c>
      <c r="D15" s="19">
        <v>0.771010069703371</v>
      </c>
    </row>
    <row r="17">
      <c r="A17" s="15" t="s">
        <v>50</v>
      </c>
      <c r="B17" s="16" t="s">
        <v>38</v>
      </c>
      <c r="C17" s="17" t="s">
        <v>39</v>
      </c>
      <c r="D17" s="17" t="s">
        <v>40</v>
      </c>
    </row>
    <row r="18">
      <c r="A18" s="16" t="s">
        <v>31</v>
      </c>
      <c r="B18" s="20">
        <v>32.0850276797072</v>
      </c>
      <c r="C18" s="21">
        <v>93.5940383913394</v>
      </c>
      <c r="D18" s="21">
        <v>38.6229336041392</v>
      </c>
    </row>
    <row r="19">
      <c r="A19" s="16" t="s">
        <v>41</v>
      </c>
      <c r="B19" s="20">
        <v>1961.63408785729</v>
      </c>
      <c r="C19" s="21">
        <v>17639.7300825683</v>
      </c>
      <c r="D19" s="21">
        <v>3487.39304228185</v>
      </c>
    </row>
    <row r="20">
      <c r="A20" s="16" t="s">
        <v>42</v>
      </c>
      <c r="B20" s="20">
        <v>0.979662193226513</v>
      </c>
      <c r="C20" s="21">
        <v>0.82491342837552</v>
      </c>
      <c r="D20" s="21">
        <v>0.965294872332168</v>
      </c>
    </row>
    <row r="21">
      <c r="A21" s="16" t="s">
        <v>34</v>
      </c>
      <c r="B21" s="18">
        <v>0.281419880574395</v>
      </c>
      <c r="C21" s="19">
        <v>0.532191645945256</v>
      </c>
      <c r="D21" s="24">
        <v>0.347373778384521</v>
      </c>
    </row>
    <row r="22">
      <c r="A22" s="16" t="s">
        <v>43</v>
      </c>
      <c r="B22" s="18">
        <v>0.270869015976057</v>
      </c>
      <c r="C22" s="19">
        <v>0.962149908744193</v>
      </c>
      <c r="D22" s="24">
        <v>0.724694820446943</v>
      </c>
    </row>
    <row r="23">
      <c r="A23" s="16" t="s">
        <v>44</v>
      </c>
      <c r="B23" s="18">
        <v>0.809028883993619</v>
      </c>
      <c r="C23" s="19">
        <v>0.607903091400031</v>
      </c>
      <c r="D23" s="24">
        <v>0.727919362261713</v>
      </c>
    </row>
    <row r="25">
      <c r="A25" s="15" t="s">
        <v>51</v>
      </c>
      <c r="B25" s="16" t="s">
        <v>38</v>
      </c>
      <c r="C25" s="17" t="s">
        <v>39</v>
      </c>
      <c r="D25" s="17" t="s">
        <v>40</v>
      </c>
    </row>
    <row r="26">
      <c r="A26" s="16" t="s">
        <v>31</v>
      </c>
      <c r="B26" s="18">
        <v>42.5439361617854</v>
      </c>
      <c r="C26" s="19">
        <v>45.8794817181503</v>
      </c>
      <c r="D26" s="19">
        <v>44.2349460640366</v>
      </c>
    </row>
    <row r="27">
      <c r="A27" s="16" t="s">
        <v>41</v>
      </c>
      <c r="B27" s="18">
        <v>3631.90570378953</v>
      </c>
      <c r="C27" s="19">
        <v>4394.20311501906</v>
      </c>
      <c r="D27" s="19">
        <v>4110.99557316216</v>
      </c>
    </row>
    <row r="28">
      <c r="A28" s="16" t="s">
        <v>42</v>
      </c>
      <c r="B28" s="18">
        <v>0.954898744700036</v>
      </c>
      <c r="C28" s="19">
        <v>0.946964919042513</v>
      </c>
      <c r="D28" s="19">
        <v>0.939126036566914</v>
      </c>
    </row>
    <row r="29">
      <c r="A29" s="16" t="s">
        <v>34</v>
      </c>
      <c r="B29" s="20">
        <v>0.369743348517544</v>
      </c>
      <c r="C29" s="21">
        <v>0.399954706252765</v>
      </c>
      <c r="D29" s="19">
        <v>0.378613610314847</v>
      </c>
    </row>
    <row r="30">
      <c r="A30" s="16" t="s">
        <v>43</v>
      </c>
      <c r="B30" s="20">
        <v>0.525401867728896</v>
      </c>
      <c r="C30" s="21">
        <v>0.732439893398266</v>
      </c>
      <c r="D30" s="19">
        <v>0.761895625532879</v>
      </c>
    </row>
    <row r="31">
      <c r="A31" s="16" t="s">
        <v>44</v>
      </c>
      <c r="B31" s="22">
        <v>0.874518566789072</v>
      </c>
      <c r="C31" s="23">
        <v>0.83937395109767</v>
      </c>
      <c r="D31" s="19">
        <v>0.82666141857113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88"/>
  </cols>
  <sheetData>
    <row r="1">
      <c r="A1" s="15" t="s">
        <v>52</v>
      </c>
      <c r="B1" s="16" t="s">
        <v>38</v>
      </c>
      <c r="C1" s="17" t="s">
        <v>39</v>
      </c>
      <c r="D1" s="17" t="s">
        <v>40</v>
      </c>
      <c r="F1" s="25" t="s">
        <v>53</v>
      </c>
      <c r="G1" s="25" t="s">
        <v>54</v>
      </c>
      <c r="H1" s="25" t="s">
        <v>55</v>
      </c>
      <c r="I1" s="25" t="s">
        <v>56</v>
      </c>
      <c r="J1" s="25" t="s">
        <v>57</v>
      </c>
      <c r="K1" s="25" t="s">
        <v>58</v>
      </c>
      <c r="L1" s="25" t="s">
        <v>59</v>
      </c>
      <c r="M1" s="25" t="s">
        <v>60</v>
      </c>
      <c r="N1" s="25" t="s">
        <v>61</v>
      </c>
      <c r="O1" s="25" t="s">
        <v>62</v>
      </c>
    </row>
    <row r="2">
      <c r="A2" s="16" t="s">
        <v>31</v>
      </c>
      <c r="B2" s="18"/>
      <c r="C2" s="19">
        <v>38.6710266391741</v>
      </c>
      <c r="D2" s="19">
        <v>40.4201246241459</v>
      </c>
      <c r="F2" s="16" t="s">
        <v>31</v>
      </c>
      <c r="G2" s="3">
        <v>44.3564402108735</v>
      </c>
      <c r="H2" s="3">
        <v>45.0262215563727</v>
      </c>
      <c r="I2" s="3">
        <v>45.0726995373785</v>
      </c>
      <c r="J2" s="3">
        <v>44.0541507752473</v>
      </c>
      <c r="K2" s="3">
        <v>45.0589411321676</v>
      </c>
      <c r="L2" s="3">
        <v>40.1913413385965</v>
      </c>
      <c r="M2" s="3">
        <v>35.9419817997859</v>
      </c>
      <c r="N2" s="3">
        <v>40.4201246241459</v>
      </c>
      <c r="O2" s="25">
        <f t="shared" ref="O2:O7" si="1">AVERAGE(G2:N2)</f>
        <v>42.51523762</v>
      </c>
    </row>
    <row r="3">
      <c r="A3" s="16" t="s">
        <v>41</v>
      </c>
      <c r="B3" s="18"/>
      <c r="C3" s="19">
        <v>3214.77059457491</v>
      </c>
      <c r="D3" s="19">
        <v>4081.21517795427</v>
      </c>
      <c r="F3" s="16" t="s">
        <v>41</v>
      </c>
      <c r="G3" s="3">
        <f>sqrt(4080.79995667215)</f>
        <v>63.88113929</v>
      </c>
      <c r="H3" s="3">
        <f>sqrt(4404.95390713304)</f>
        <v>66.36982678</v>
      </c>
      <c r="I3" s="3">
        <f>sqrt(4497.34907491564)</f>
        <v>67.06227759</v>
      </c>
      <c r="J3" s="3">
        <f>sqrt(4588.76276866208)</f>
        <v>67.74040721</v>
      </c>
      <c r="K3" s="3">
        <f>sqrt(3747.36644014225)</f>
        <v>61.21573687</v>
      </c>
      <c r="L3" s="3">
        <f>sqrt(3992.02756305672)</f>
        <v>63.18249412</v>
      </c>
      <c r="M3" s="3">
        <f>sqrt(2379.5256172015)</f>
        <v>48.78038148</v>
      </c>
      <c r="N3" s="3">
        <f>sqrt(4081.21517795427)</f>
        <v>63.88438916</v>
      </c>
      <c r="O3" s="25">
        <f t="shared" si="1"/>
        <v>62.76458156</v>
      </c>
    </row>
    <row r="4">
      <c r="A4" s="16" t="s">
        <v>42</v>
      </c>
      <c r="B4" s="18"/>
      <c r="C4" s="19">
        <v>0.968091169233959</v>
      </c>
      <c r="D4" s="19">
        <v>0.959385394168785</v>
      </c>
      <c r="F4" s="16" t="s">
        <v>42</v>
      </c>
      <c r="G4" s="3">
        <v>0.881087695440304</v>
      </c>
      <c r="H4" s="3">
        <v>0.884317364566613</v>
      </c>
      <c r="I4" s="3">
        <v>0.932172177605123</v>
      </c>
      <c r="J4" s="3">
        <v>0.921775594942502</v>
      </c>
      <c r="K4" s="3">
        <v>0.913576578863312</v>
      </c>
      <c r="L4" s="3">
        <v>0.958445279903885</v>
      </c>
      <c r="M4" s="3">
        <v>0.977038790268784</v>
      </c>
      <c r="N4" s="3">
        <v>0.959385394168785</v>
      </c>
      <c r="O4" s="25">
        <f t="shared" si="1"/>
        <v>0.9284748595</v>
      </c>
    </row>
    <row r="5">
      <c r="A5" s="16" t="s">
        <v>34</v>
      </c>
      <c r="B5" s="20"/>
      <c r="C5" s="21">
        <v>0.346030716347913</v>
      </c>
      <c r="D5" s="19">
        <v>0.329031547403294</v>
      </c>
      <c r="F5" s="16" t="s">
        <v>34</v>
      </c>
      <c r="G5" s="25">
        <v>0.426678340216422</v>
      </c>
      <c r="H5" s="25">
        <v>0.424393529870513</v>
      </c>
      <c r="I5" s="25">
        <v>0.35205180882739</v>
      </c>
      <c r="J5" s="25">
        <v>0.36439924940934</v>
      </c>
      <c r="K5" s="25">
        <v>0.380988683139984</v>
      </c>
      <c r="L5" s="25">
        <v>0.307626072489719</v>
      </c>
      <c r="M5" s="25">
        <v>0.320592290847809</v>
      </c>
      <c r="N5" s="25">
        <v>0.329031547403294</v>
      </c>
      <c r="O5" s="25">
        <f t="shared" si="1"/>
        <v>0.3632201903</v>
      </c>
    </row>
    <row r="6">
      <c r="A6" s="16" t="s">
        <v>43</v>
      </c>
      <c r="B6" s="20"/>
      <c r="C6" s="21">
        <v>0.589617591545632</v>
      </c>
      <c r="D6" s="19">
        <v>0.58100208614692</v>
      </c>
      <c r="F6" s="16" t="s">
        <v>43</v>
      </c>
      <c r="G6" s="25">
        <f>sqrt(1.07720072792504)</f>
        <v>1.03788281</v>
      </c>
      <c r="H6" s="25">
        <f>sqrt(1.14580726467902)</f>
        <v>1.070423872</v>
      </c>
      <c r="I6" s="25">
        <f>sqrt(0.698656560701829)</f>
        <v>0.8358567824</v>
      </c>
      <c r="J6" s="25">
        <f>sqrt(0.574742876120916)</f>
        <v>0.758117983</v>
      </c>
      <c r="K6" s="25">
        <f>sqrt(0.688220930118482)</f>
        <v>0.8295908209</v>
      </c>
      <c r="L6" s="25">
        <f>sqrt(0.601997027903857)</f>
        <v>0.7758846744</v>
      </c>
      <c r="M6" s="25">
        <f>sqrt(0.548702707956632)</f>
        <v>0.7407446982</v>
      </c>
      <c r="N6" s="25">
        <f>sqrt(0.58100208614692)</f>
        <v>0.7622349284</v>
      </c>
      <c r="O6" s="25">
        <f t="shared" si="1"/>
        <v>0.8513420711</v>
      </c>
    </row>
    <row r="7">
      <c r="A7" s="16" t="s">
        <v>44</v>
      </c>
      <c r="B7" s="22"/>
      <c r="C7" s="23">
        <v>0.759718072204622</v>
      </c>
      <c r="D7" s="19">
        <v>0.781867603208981</v>
      </c>
      <c r="F7" s="16" t="s">
        <v>44</v>
      </c>
      <c r="G7" s="25">
        <v>0.801395912601181</v>
      </c>
      <c r="H7" s="25">
        <v>0.779169446826659</v>
      </c>
      <c r="I7" s="25">
        <v>0.791366536084798</v>
      </c>
      <c r="J7" s="25">
        <v>0.733717796032752</v>
      </c>
      <c r="K7" s="25">
        <v>0.726163659655179</v>
      </c>
      <c r="L7" s="25">
        <v>0.838885325571656</v>
      </c>
      <c r="M7" s="25">
        <v>0.79795822726789</v>
      </c>
      <c r="N7" s="25">
        <v>0.781867603208981</v>
      </c>
      <c r="O7" s="25">
        <f t="shared" si="1"/>
        <v>0.7813155634</v>
      </c>
    </row>
    <row r="8">
      <c r="A8" s="3"/>
      <c r="B8" s="3"/>
      <c r="C8" s="3"/>
      <c r="D8" s="3"/>
    </row>
    <row r="9">
      <c r="A9" s="15" t="s">
        <v>63</v>
      </c>
      <c r="B9" s="16" t="s">
        <v>38</v>
      </c>
      <c r="C9" s="17" t="s">
        <v>39</v>
      </c>
      <c r="D9" s="17" t="s">
        <v>40</v>
      </c>
    </row>
    <row r="10">
      <c r="A10" s="16" t="s">
        <v>31</v>
      </c>
      <c r="B10" s="18"/>
      <c r="C10" s="19"/>
      <c r="D10" s="19">
        <v>42.1584952539787</v>
      </c>
    </row>
    <row r="11">
      <c r="A11" s="16" t="s">
        <v>41</v>
      </c>
      <c r="B11" s="18"/>
      <c r="C11" s="19"/>
      <c r="D11" s="19">
        <v>3790.11954398736</v>
      </c>
    </row>
    <row r="12">
      <c r="A12" s="16" t="s">
        <v>42</v>
      </c>
      <c r="B12" s="18"/>
      <c r="C12" s="19"/>
      <c r="D12" s="19">
        <v>0.955947575352201</v>
      </c>
    </row>
    <row r="13">
      <c r="A13" s="16" t="s">
        <v>34</v>
      </c>
      <c r="B13" s="20"/>
      <c r="C13" s="21"/>
      <c r="D13" s="19">
        <v>0.369870861798085</v>
      </c>
    </row>
    <row r="14">
      <c r="A14" s="16" t="s">
        <v>43</v>
      </c>
      <c r="B14" s="20"/>
      <c r="C14" s="21"/>
      <c r="D14" s="19">
        <v>0.699861299437451</v>
      </c>
    </row>
    <row r="15">
      <c r="A15" s="16" t="s">
        <v>44</v>
      </c>
      <c r="B15" s="22"/>
      <c r="C15" s="23"/>
      <c r="D15" s="19">
        <v>0.84734346514412</v>
      </c>
    </row>
    <row r="17">
      <c r="A17" s="15" t="s">
        <v>64</v>
      </c>
      <c r="B17" s="16" t="s">
        <v>38</v>
      </c>
      <c r="C17" s="17" t="s">
        <v>39</v>
      </c>
      <c r="D17" s="17" t="s">
        <v>40</v>
      </c>
    </row>
    <row r="18">
      <c r="A18" s="16" t="s">
        <v>31</v>
      </c>
      <c r="B18" s="20"/>
      <c r="C18" s="21"/>
      <c r="D18" s="21">
        <v>36.5106610400752</v>
      </c>
    </row>
    <row r="19">
      <c r="A19" s="16" t="s">
        <v>41</v>
      </c>
      <c r="B19" s="20"/>
      <c r="C19" s="21"/>
      <c r="D19" s="21">
        <v>3088.01711042133</v>
      </c>
    </row>
    <row r="20">
      <c r="A20" s="16" t="s">
        <v>42</v>
      </c>
      <c r="B20" s="20"/>
      <c r="C20" s="21"/>
      <c r="D20" s="21">
        <v>0.970531762612082</v>
      </c>
    </row>
    <row r="21">
      <c r="A21" s="16" t="s">
        <v>34</v>
      </c>
      <c r="B21" s="18"/>
      <c r="C21" s="19"/>
      <c r="D21" s="24">
        <v>0.334389480269931</v>
      </c>
    </row>
    <row r="22">
      <c r="A22" s="16" t="s">
        <v>43</v>
      </c>
      <c r="B22" s="18"/>
      <c r="C22" s="19"/>
      <c r="D22" s="24">
        <v>0.439136782140347</v>
      </c>
    </row>
    <row r="23">
      <c r="A23" s="16" t="s">
        <v>44</v>
      </c>
      <c r="B23" s="18"/>
      <c r="C23" s="19"/>
      <c r="D23" s="24">
        <v>0.861064429979464</v>
      </c>
    </row>
    <row r="25">
      <c r="A25" s="15" t="s">
        <v>65</v>
      </c>
      <c r="B25" s="16" t="s">
        <v>38</v>
      </c>
      <c r="C25" s="17" t="s">
        <v>39</v>
      </c>
      <c r="D25" s="17" t="s">
        <v>40</v>
      </c>
    </row>
    <row r="26">
      <c r="A26" s="16" t="s">
        <v>31</v>
      </c>
      <c r="B26" s="18"/>
      <c r="C26" s="19"/>
      <c r="D26" s="19">
        <v>44.6663084338792</v>
      </c>
    </row>
    <row r="27">
      <c r="A27" s="16" t="s">
        <v>41</v>
      </c>
      <c r="B27" s="18"/>
      <c r="C27" s="19"/>
      <c r="D27" s="19">
        <v>3715.18221346012</v>
      </c>
    </row>
    <row r="28">
      <c r="A28" s="16" t="s">
        <v>42</v>
      </c>
      <c r="B28" s="18"/>
      <c r="C28" s="19"/>
      <c r="D28" s="19">
        <v>0.890961386868292</v>
      </c>
    </row>
    <row r="29">
      <c r="A29" s="16" t="s">
        <v>34</v>
      </c>
      <c r="B29" s="20"/>
      <c r="C29" s="21"/>
      <c r="D29" s="19">
        <v>0.350599039586017</v>
      </c>
    </row>
    <row r="30">
      <c r="A30" s="16" t="s">
        <v>43</v>
      </c>
      <c r="B30" s="20"/>
      <c r="C30" s="21"/>
      <c r="D30" s="19">
        <v>0.689512627319631</v>
      </c>
    </row>
    <row r="31">
      <c r="A31" s="16" t="s">
        <v>44</v>
      </c>
      <c r="B31" s="22"/>
      <c r="C31" s="23"/>
      <c r="D31" s="19">
        <v>0.767597217649459</v>
      </c>
    </row>
    <row r="33">
      <c r="A33" s="15" t="s">
        <v>66</v>
      </c>
      <c r="B33" s="16" t="s">
        <v>38</v>
      </c>
      <c r="C33" s="17" t="s">
        <v>39</v>
      </c>
      <c r="D33" s="17" t="s">
        <v>40</v>
      </c>
      <c r="F33" s="25" t="s">
        <v>67</v>
      </c>
      <c r="G33" s="25" t="s">
        <v>24</v>
      </c>
      <c r="H33" s="25" t="s">
        <v>25</v>
      </c>
      <c r="I33" s="25" t="s">
        <v>26</v>
      </c>
      <c r="J33" s="25" t="s">
        <v>27</v>
      </c>
      <c r="K33" s="25" t="s">
        <v>68</v>
      </c>
      <c r="L33" s="25" t="s">
        <v>29</v>
      </c>
      <c r="M33" s="25" t="s">
        <v>62</v>
      </c>
      <c r="N33" s="25" t="s">
        <v>30</v>
      </c>
      <c r="O33" s="25" t="s">
        <v>69</v>
      </c>
    </row>
    <row r="34">
      <c r="A34" s="16" t="s">
        <v>31</v>
      </c>
      <c r="B34" s="18"/>
      <c r="C34" s="19"/>
      <c r="D34" s="19">
        <v>45.1046831385796</v>
      </c>
      <c r="F34" s="16" t="s">
        <v>31</v>
      </c>
      <c r="G34" s="25">
        <v>36.29230681427</v>
      </c>
      <c r="H34" s="25">
        <v>43.138618143867</v>
      </c>
      <c r="I34" s="25">
        <v>41.5603604589189</v>
      </c>
      <c r="J34" s="25">
        <v>40.7976464291413</v>
      </c>
      <c r="K34" s="25">
        <v>47.8781443628571</v>
      </c>
      <c r="L34" s="25">
        <v>45.0141692884958</v>
      </c>
      <c r="M34" s="26">
        <f t="shared" ref="M34:M39" si="2">AVERAGE(G34:L34)</f>
        <v>42.44687425</v>
      </c>
      <c r="N34" s="25">
        <v>40.8808463907612</v>
      </c>
    </row>
    <row r="35">
      <c r="A35" s="16" t="s">
        <v>41</v>
      </c>
      <c r="B35" s="18"/>
      <c r="C35" s="19"/>
      <c r="D35" s="19">
        <v>5106.5603226543</v>
      </c>
      <c r="F35" s="16" t="s">
        <v>41</v>
      </c>
      <c r="G35" s="25">
        <f>sqrt(2484.03492006291)</f>
        <v>49.8400935</v>
      </c>
      <c r="H35" s="25">
        <f>sqrt(3180.68798576842)</f>
        <v>56.39758847</v>
      </c>
      <c r="I35" s="25">
        <f>sqrt(2987.98083210144)</f>
        <v>54.66242615</v>
      </c>
      <c r="J35" s="25">
        <f>sqrt(3371.79831691026)</f>
        <v>58.06718795</v>
      </c>
      <c r="K35" s="25">
        <f>sqrt(6466.29701700457)</f>
        <v>80.41328881</v>
      </c>
      <c r="L35" s="25">
        <f>sqrt(5420.90860678218)</f>
        <v>73.62681989</v>
      </c>
      <c r="M35" s="26">
        <f t="shared" si="2"/>
        <v>62.1679008</v>
      </c>
      <c r="N35" s="25">
        <f>sqrt(3063.27841889756)</f>
        <v>55.34689168</v>
      </c>
    </row>
    <row r="36">
      <c r="A36" s="16" t="s">
        <v>42</v>
      </c>
      <c r="B36" s="18"/>
      <c r="C36" s="19"/>
      <c r="D36" s="19">
        <v>0.923653127186977</v>
      </c>
      <c r="F36" s="16" t="s">
        <v>42</v>
      </c>
      <c r="G36" s="25">
        <v>0.964003366218239</v>
      </c>
      <c r="H36" s="25">
        <v>0.953432390142762</v>
      </c>
      <c r="I36" s="25">
        <v>0.953581204970729</v>
      </c>
      <c r="J36" s="25">
        <v>0.941474494525841</v>
      </c>
      <c r="K36" s="25">
        <v>0.874675891129197</v>
      </c>
      <c r="L36" s="25">
        <v>0.88077501049445</v>
      </c>
      <c r="M36" s="26">
        <f t="shared" si="2"/>
        <v>0.9279903929</v>
      </c>
      <c r="N36" s="25">
        <v>0.959335472970417</v>
      </c>
    </row>
    <row r="37">
      <c r="A37" s="16" t="s">
        <v>34</v>
      </c>
      <c r="B37" s="20"/>
      <c r="C37" s="21"/>
      <c r="D37" s="19"/>
      <c r="F37" s="16" t="s">
        <v>34</v>
      </c>
      <c r="G37" s="25">
        <v>0.284398920026837</v>
      </c>
      <c r="H37" s="25">
        <v>0.280003739180002</v>
      </c>
      <c r="I37" s="25">
        <v>0.329435430583484</v>
      </c>
      <c r="J37" s="25">
        <v>0.438857958864528</v>
      </c>
      <c r="K37" s="3">
        <v>0.421984435008149</v>
      </c>
      <c r="L37" s="3">
        <v>0.412081490020294</v>
      </c>
      <c r="M37" s="26">
        <f t="shared" si="2"/>
        <v>0.3611269956</v>
      </c>
      <c r="N37" s="25">
        <v>0.364321642936621</v>
      </c>
      <c r="O37" s="25">
        <v>0.416686124608623</v>
      </c>
    </row>
    <row r="38">
      <c r="A38" s="16" t="s">
        <v>43</v>
      </c>
      <c r="B38" s="20"/>
      <c r="C38" s="21"/>
      <c r="D38" s="19"/>
      <c r="F38" s="16" t="s">
        <v>43</v>
      </c>
      <c r="G38" s="25">
        <f>sqrt(0.133894458208328)</f>
        <v>0.3659159169</v>
      </c>
      <c r="H38" s="25">
        <f>sqrt(0.174662882046601)</f>
        <v>0.417926886</v>
      </c>
      <c r="I38" s="25">
        <f>sqrt(0.523463082536169)</f>
        <v>0.7235074862</v>
      </c>
      <c r="J38" s="25">
        <f>sqrt(1.12712155989684)</f>
        <v>1.061659814</v>
      </c>
      <c r="K38" s="3">
        <f>sqrt(1.19627279994883)</f>
        <v>1.093742566</v>
      </c>
      <c r="L38" s="3">
        <f>sqrt(1.1676865101234)</f>
        <v>1.080595442</v>
      </c>
      <c r="M38" s="3">
        <f t="shared" si="2"/>
        <v>0.7905580185</v>
      </c>
      <c r="N38" s="25">
        <f>sqrt(0.744299623295296)</f>
        <v>0.8627280124</v>
      </c>
      <c r="O38" s="25">
        <f>sqrt(1.18097845665872)</f>
        <v>1.086728327</v>
      </c>
    </row>
    <row r="39">
      <c r="A39" s="16" t="s">
        <v>44</v>
      </c>
      <c r="B39" s="22"/>
      <c r="C39" s="23"/>
      <c r="D39" s="19"/>
      <c r="F39" s="16" t="s">
        <v>44</v>
      </c>
      <c r="G39" s="25">
        <v>0.939756719965051</v>
      </c>
      <c r="H39" s="25">
        <v>0.919513172961263</v>
      </c>
      <c r="I39" s="25">
        <v>0.842214249699735</v>
      </c>
      <c r="J39" s="25">
        <v>0.765469535214675</v>
      </c>
      <c r="K39" s="3">
        <v>0.839692409102398</v>
      </c>
      <c r="L39" s="3">
        <v>0.80529818869987</v>
      </c>
      <c r="M39" s="26">
        <f t="shared" si="2"/>
        <v>0.8519907126</v>
      </c>
      <c r="N39" s="25">
        <v>0.830664678288691</v>
      </c>
      <c r="O39" s="25">
        <v>0.82322429652282</v>
      </c>
    </row>
  </sheetData>
  <drawing r:id="rId1"/>
</worksheet>
</file>