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5" i="1" l="1"/>
  <c r="S105" i="1"/>
  <c r="R106" i="1"/>
  <c r="S106" i="1"/>
  <c r="Q106" i="1"/>
  <c r="Q105" i="1"/>
  <c r="S103" i="1"/>
  <c r="R103" i="1"/>
  <c r="Q103" i="1"/>
  <c r="S102" i="1"/>
  <c r="R102" i="1"/>
  <c r="Q102" i="1"/>
  <c r="Q109" i="1"/>
  <c r="R109" i="1"/>
  <c r="S109" i="1"/>
  <c r="R108" i="1"/>
  <c r="S108" i="1"/>
  <c r="Q108" i="1"/>
  <c r="S100" i="1"/>
  <c r="R100" i="1"/>
  <c r="Q100" i="1"/>
  <c r="S99" i="1"/>
  <c r="R99" i="1"/>
  <c r="Q99" i="1"/>
  <c r="S97" i="1"/>
  <c r="R97" i="1"/>
  <c r="Q97" i="1"/>
  <c r="S96" i="1"/>
  <c r="R96" i="1"/>
  <c r="Q96" i="1"/>
  <c r="S94" i="1"/>
  <c r="R94" i="1"/>
  <c r="Q94" i="1"/>
  <c r="S93" i="1"/>
  <c r="R93" i="1"/>
  <c r="Q93" i="1"/>
  <c r="S91" i="1"/>
  <c r="R91" i="1"/>
  <c r="Q91" i="1"/>
  <c r="S90" i="1"/>
  <c r="R90" i="1"/>
  <c r="Q90" i="1"/>
  <c r="S88" i="1"/>
  <c r="R88" i="1"/>
  <c r="Q88" i="1"/>
  <c r="S87" i="1"/>
  <c r="R87" i="1"/>
  <c r="Q87" i="1"/>
  <c r="S85" i="1"/>
  <c r="R85" i="1"/>
  <c r="Q85" i="1"/>
  <c r="S84" i="1"/>
  <c r="R84" i="1"/>
  <c r="Q84" i="1"/>
  <c r="S82" i="1"/>
  <c r="R82" i="1"/>
  <c r="Q82" i="1"/>
  <c r="S81" i="1"/>
  <c r="R81" i="1"/>
  <c r="Q81" i="1"/>
  <c r="R79" i="1"/>
  <c r="S79" i="1"/>
  <c r="Q79" i="1"/>
  <c r="R78" i="1"/>
  <c r="S78" i="1"/>
  <c r="Q78" i="1"/>
  <c r="G75" i="1"/>
  <c r="E75" i="1"/>
  <c r="C75" i="1"/>
  <c r="E78" i="1"/>
  <c r="C80" i="1"/>
  <c r="C79" i="1"/>
  <c r="C76" i="1"/>
  <c r="J13" i="1"/>
  <c r="K13" i="1"/>
  <c r="L13" i="1"/>
  <c r="M13" i="1"/>
  <c r="J14" i="1"/>
  <c r="K14" i="1"/>
  <c r="L14" i="1"/>
  <c r="M14" i="1"/>
  <c r="N14" i="1"/>
  <c r="N13" i="1"/>
  <c r="L80" i="1"/>
  <c r="L79" i="1"/>
  <c r="M78" i="1"/>
  <c r="N78" i="1"/>
  <c r="L78" i="1"/>
  <c r="N77" i="1"/>
  <c r="M77" i="1"/>
  <c r="L77" i="1"/>
  <c r="A76" i="1"/>
  <c r="A75" i="1"/>
  <c r="I14" i="1"/>
  <c r="C68" i="1"/>
  <c r="I13" i="1"/>
  <c r="C67" i="1"/>
  <c r="A68" i="1"/>
  <c r="A67" i="1"/>
  <c r="H14" i="1"/>
  <c r="C61" i="1"/>
  <c r="H13" i="1"/>
  <c r="C60" i="1"/>
  <c r="A61" i="1"/>
  <c r="A60" i="1"/>
  <c r="G14" i="1"/>
  <c r="E49" i="1"/>
  <c r="C54" i="1"/>
  <c r="G13" i="1"/>
  <c r="C49" i="1"/>
  <c r="C53" i="1"/>
  <c r="I50" i="1"/>
  <c r="I49" i="1"/>
  <c r="A50" i="1"/>
  <c r="A49" i="1"/>
  <c r="D14" i="1"/>
  <c r="E14" i="1"/>
  <c r="F14" i="1"/>
  <c r="E39" i="1"/>
  <c r="C43" i="1"/>
  <c r="D13" i="1"/>
  <c r="E13" i="1"/>
  <c r="F13" i="1"/>
  <c r="C39" i="1"/>
  <c r="C42" i="1"/>
  <c r="J43" i="1"/>
  <c r="J42" i="1"/>
  <c r="M38" i="1"/>
  <c r="N38" i="1"/>
  <c r="O38" i="1"/>
  <c r="M37" i="1"/>
  <c r="N37" i="1"/>
  <c r="O37" i="1"/>
  <c r="I38" i="1"/>
  <c r="I37" i="1"/>
  <c r="I36" i="1"/>
  <c r="A39" i="1"/>
  <c r="A38" i="1"/>
  <c r="N24" i="1"/>
  <c r="L25" i="1"/>
  <c r="M25" i="1"/>
  <c r="J26" i="1"/>
  <c r="C13" i="1"/>
  <c r="C24" i="1"/>
  <c r="C26" i="1"/>
  <c r="C14" i="1"/>
  <c r="E24" i="1"/>
  <c r="D26" i="1"/>
  <c r="C27" i="1"/>
  <c r="E29" i="1"/>
  <c r="J27" i="1"/>
  <c r="E31" i="1"/>
  <c r="J28" i="1"/>
  <c r="P26" i="1"/>
  <c r="O28" i="1"/>
  <c r="M6" i="1"/>
  <c r="B14" i="1"/>
  <c r="E18" i="1"/>
  <c r="B13" i="1"/>
  <c r="C18" i="1"/>
  <c r="X6" i="1"/>
  <c r="Y6" i="1"/>
  <c r="X5" i="1"/>
  <c r="Y5" i="1"/>
  <c r="W5" i="1"/>
  <c r="W6" i="1"/>
  <c r="Q10" i="1"/>
  <c r="M9" i="1"/>
  <c r="M10" i="1"/>
  <c r="P6" i="1"/>
  <c r="M5" i="1"/>
  <c r="M7" i="1"/>
  <c r="N10" i="1"/>
  <c r="O6" i="1"/>
  <c r="N7" i="1"/>
  <c r="K29" i="1"/>
  <c r="J29" i="1"/>
  <c r="A26" i="1"/>
  <c r="A25" i="1"/>
  <c r="A20" i="1"/>
  <c r="A19" i="1"/>
  <c r="A14" i="1"/>
  <c r="A13" i="1"/>
  <c r="A7" i="1"/>
  <c r="B8" i="1"/>
  <c r="C8" i="1"/>
  <c r="D8" i="1"/>
  <c r="E8" i="1"/>
  <c r="F8" i="1"/>
  <c r="G8" i="1"/>
  <c r="A8" i="1"/>
  <c r="B7" i="1"/>
  <c r="C7" i="1"/>
  <c r="D7" i="1"/>
  <c r="E7" i="1"/>
  <c r="F7" i="1"/>
  <c r="G7" i="1"/>
  <c r="R6" i="1"/>
  <c r="Q6" i="1"/>
</calcChain>
</file>

<file path=xl/sharedStrings.xml><?xml version="1.0" encoding="utf-8"?>
<sst xmlns="http://schemas.openxmlformats.org/spreadsheetml/2006/main" count="194" uniqueCount="148">
  <si>
    <t>look at xml for load values and meter values</t>
  </si>
  <si>
    <t>outside</t>
  </si>
  <si>
    <t>m652</t>
  </si>
  <si>
    <t>m611</t>
  </si>
  <si>
    <t>m675</t>
  </si>
  <si>
    <t>m634</t>
  </si>
  <si>
    <t>m646</t>
  </si>
  <si>
    <t>m680</t>
  </si>
  <si>
    <t>m650</t>
  </si>
  <si>
    <t>123974+83295.2i</t>
  </si>
  <si>
    <t>843000-145407i</t>
  </si>
  <si>
    <t>171431-30017.4j</t>
  </si>
  <si>
    <t>400000+290000j</t>
  </si>
  <si>
    <t>240958+138289j</t>
  </si>
  <si>
    <t>3.59521e+06+1.69721e+06i</t>
  </si>
  <si>
    <t>losses</t>
  </si>
  <si>
    <t>m684_m652</t>
  </si>
  <si>
    <t>683.635+45.6164i</t>
  </si>
  <si>
    <t>m684_m611</t>
  </si>
  <si>
    <t>415.996+420.104i</t>
  </si>
  <si>
    <t>inner meters</t>
  </si>
  <si>
    <t>m684</t>
  </si>
  <si>
    <t>296505+53743.5i</t>
  </si>
  <si>
    <t>m684 calculated</t>
  </si>
  <si>
    <t>real</t>
  </si>
  <si>
    <t>reactive</t>
  </si>
  <si>
    <t>m692</t>
  </si>
  <si>
    <t>m675_m692</t>
  </si>
  <si>
    <t>4127.42+2488.58i</t>
  </si>
  <si>
    <t>1.0269e+06-6974.87i</t>
  </si>
  <si>
    <t>m684 = m652 + m611 + m684_m652 + m684_m611</t>
  </si>
  <si>
    <t xml:space="preserve">voltage </t>
  </si>
  <si>
    <t xml:space="preserve">current </t>
  </si>
  <si>
    <t>l611</t>
  </si>
  <si>
    <t>2345.18+115.659i</t>
  </si>
  <si>
    <t>-6.5443+77.9524j</t>
  </si>
  <si>
    <t xml:space="preserve">impedance </t>
  </si>
  <si>
    <t>0.00 - 57.6854i</t>
  </si>
  <si>
    <t>124658+83340.8i</t>
  </si>
  <si>
    <t>171847-29597.3j</t>
  </si>
  <si>
    <t>This branch works</t>
  </si>
  <si>
    <t>l692</t>
  </si>
  <si>
    <t>The voltage current calculations are not consistent. L692 does not add up to get the meter reading</t>
  </si>
  <si>
    <t>4123.62+145.483d</t>
  </si>
  <si>
    <t>from m675_m692 and m675</t>
  </si>
  <si>
    <t>difference between m692 and the loads behind it</t>
  </si>
  <si>
    <t>If we divide difference by l692 voltage</t>
  </si>
  <si>
    <t xml:space="preserve">If we divide difference by l692 current </t>
  </si>
  <si>
    <t>inner meter</t>
  </si>
  <si>
    <t>m671</t>
  </si>
  <si>
    <t>2.54569e+06+745897i</t>
  </si>
  <si>
    <t>m692_m671</t>
  </si>
  <si>
    <t>m684_m671</t>
  </si>
  <si>
    <t>m680_m671</t>
  </si>
  <si>
    <t>from m692_m671, m692, m684_m671, m684, m680_m671</t>
  </si>
  <si>
    <t>4.5357-4.5357i</t>
  </si>
  <si>
    <t>610.047+490.038i</t>
  </si>
  <si>
    <t>2.62465-24.2078i</t>
  </si>
  <si>
    <t>So it all adds up if imaginary component of current switch signs</t>
  </si>
  <si>
    <t>l671</t>
  </si>
  <si>
    <t>l6711</t>
  </si>
  <si>
    <t>5666.67+3333.33j</t>
  </si>
  <si>
    <t>22000+12666.7j</t>
  </si>
  <si>
    <t>39000+22666.7j</t>
  </si>
  <si>
    <t>phase</t>
  </si>
  <si>
    <t>A</t>
  </si>
  <si>
    <t>B</t>
  </si>
  <si>
    <t>C</t>
  </si>
  <si>
    <t xml:space="preserve">Sum of loads </t>
  </si>
  <si>
    <t>Sum of the loads before and the loads on m671</t>
  </si>
  <si>
    <t>m671 confirmed</t>
  </si>
  <si>
    <t>m645</t>
  </si>
  <si>
    <t>411499+263717j</t>
  </si>
  <si>
    <t>from m646_m645, m646</t>
  </si>
  <si>
    <t>m646_m645</t>
  </si>
  <si>
    <t>541.846+428.407j</t>
  </si>
  <si>
    <t>l645</t>
  </si>
  <si>
    <t>170000+125000j</t>
  </si>
  <si>
    <t>Sum of the loads before and the loads on m645</t>
  </si>
  <si>
    <t>m633</t>
  </si>
  <si>
    <t>405434+299881i</t>
  </si>
  <si>
    <t>from m634_m633, m634</t>
  </si>
  <si>
    <t>m634_m633</t>
  </si>
  <si>
    <t>5434.44+9880.81i</t>
  </si>
  <si>
    <t>m633 confirmed</t>
  </si>
  <si>
    <t>m630</t>
  </si>
  <si>
    <t>m650_m630</t>
  </si>
  <si>
    <t>82.9581+1.16415e-10i</t>
  </si>
  <si>
    <t>3.59513e+06+1.69721e+06j</t>
  </si>
  <si>
    <t>from m650_m633, m650</t>
  </si>
  <si>
    <t>this is a bit odd, if the losses were subtracts from m650, then we would have even numbers</t>
  </si>
  <si>
    <t>but we resolve it by having m650 as the provider, sending power to m630</t>
  </si>
  <si>
    <t>so m650 has 3595210 W and then loses about 80 W, resulting in a meter reading of 3595130 W</t>
  </si>
  <si>
    <t>m630 confirmed</t>
  </si>
  <si>
    <t>m632</t>
  </si>
  <si>
    <t>3.5354e+06+1.5046e+06i</t>
  </si>
  <si>
    <t>l6321</t>
  </si>
  <si>
    <t>11333.3+6666.67j</t>
  </si>
  <si>
    <t>44000+25333.3j</t>
  </si>
  <si>
    <t>78000+45333.3j</t>
  </si>
  <si>
    <t>m671_l6321</t>
  </si>
  <si>
    <t>l6321_m632</t>
  </si>
  <si>
    <t>m630_m632</t>
  </si>
  <si>
    <t>m633_m632</t>
  </si>
  <si>
    <t>m645_m632</t>
  </si>
  <si>
    <t>12416.3+30562.3i</t>
  </si>
  <si>
    <t>35577+83793.6i</t>
  </si>
  <si>
    <t>65643+192608j</t>
  </si>
  <si>
    <t>807.228+1025i</t>
  </si>
  <si>
    <t>2769.09+2392.41i</t>
  </si>
  <si>
    <t xml:space="preserve">very close, not sure why not exactly. </t>
  </si>
  <si>
    <t>from m671, m633, m645, l6321, m671_l6321, l6321_m632, m633_m632, m645_m632</t>
  </si>
  <si>
    <t>from m630, m630_m632</t>
  </si>
  <si>
    <t>The two on real power not completely add up. Reactive is almost the same</t>
  </si>
  <si>
    <t>from meters</t>
  </si>
  <si>
    <t>from lines</t>
  </si>
  <si>
    <t>m632 again</t>
  </si>
  <si>
    <t>1.23959e+06+598776i</t>
  </si>
  <si>
    <t>980149+341459j</t>
  </si>
  <si>
    <t>1.31566e+06+564366j</t>
  </si>
  <si>
    <t>162518+114578i</t>
  </si>
  <si>
    <t>121423+92588j</t>
  </si>
  <si>
    <t>121493+92715j</t>
  </si>
  <si>
    <t>0+0j</t>
  </si>
  <si>
    <t>331799+125763j</t>
  </si>
  <si>
    <t>79700.5+137954j</t>
  </si>
  <si>
    <t>1.05452e+06+411282i</t>
  </si>
  <si>
    <t>486294+90973.7j</t>
  </si>
  <si>
    <t>1.00488e+06+243641j</t>
  </si>
  <si>
    <t>m632_m630</t>
  </si>
  <si>
    <t>m632_m645</t>
  </si>
  <si>
    <t>m632_l6321</t>
  </si>
  <si>
    <t>l6321_m671</t>
  </si>
  <si>
    <t>0-0i</t>
  </si>
  <si>
    <t>2548.13+2164.62j</t>
  </si>
  <si>
    <t>220.96+227.788j</t>
  </si>
  <si>
    <t>2456.18+16430.9i</t>
  </si>
  <si>
    <t>1423.09+1195.27j</t>
  </si>
  <si>
    <t>8537.04+12936.1j</t>
  </si>
  <si>
    <t>8408.85+49298.1i</t>
  </si>
  <si>
    <t>4639.91+3179.62j</t>
  </si>
  <si>
    <t>22528.2+31315.9j</t>
  </si>
  <si>
    <t>354.442+520.562i</t>
  </si>
  <si>
    <t>147.867+261.649j</t>
  </si>
  <si>
    <t>304.919+242.786j</t>
  </si>
  <si>
    <t>total besides m632</t>
  </si>
  <si>
    <t xml:space="preserve">differences </t>
  </si>
  <si>
    <t>ok, there is something missing on phase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</si>
</sst>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D4D4D4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0" fillId="2" borderId="0" xfId="0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topLeftCell="B1" workbookViewId="0">
      <selection activeCell="A6" sqref="A6"/>
    </sheetView>
  </sheetViews>
  <sheetFormatPr baseColWidth="10" defaultRowHeight="15" x14ac:dyDescent="0"/>
  <sheetData>
    <row r="1" spans="1:25">
      <c r="A1" t="s">
        <v>0</v>
      </c>
    </row>
    <row r="4" spans="1:25" ht="16">
      <c r="A4" t="s">
        <v>1</v>
      </c>
      <c r="K4" t="s">
        <v>33</v>
      </c>
      <c r="L4" t="s">
        <v>31</v>
      </c>
      <c r="M4" s="1" t="s">
        <v>34</v>
      </c>
    </row>
    <row r="5" spans="1:25" ht="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L5" t="s">
        <v>32</v>
      </c>
      <c r="M5" s="1" t="str">
        <f>COMPLEX(O6,P6)</f>
        <v>-6.5443+77.9524i</v>
      </c>
      <c r="O5" s="1" t="s">
        <v>35</v>
      </c>
      <c r="Q5" t="s">
        <v>36</v>
      </c>
      <c r="R5" t="s">
        <v>37</v>
      </c>
      <c r="W5">
        <f>A7+A13</f>
        <v>124657.63499999999</v>
      </c>
      <c r="X5">
        <f>B7+B13</f>
        <v>171846.99600000001</v>
      </c>
      <c r="Y5">
        <f>W5+X5</f>
        <v>296504.63099999999</v>
      </c>
    </row>
    <row r="6" spans="1:25" ht="16">
      <c r="A6" s="1" t="s">
        <v>9</v>
      </c>
      <c r="B6" s="1" t="s">
        <v>11</v>
      </c>
      <c r="C6" s="1" t="s">
        <v>10</v>
      </c>
      <c r="D6" s="1" t="s">
        <v>12</v>
      </c>
      <c r="E6" s="1" t="s">
        <v>13</v>
      </c>
      <c r="F6">
        <v>0</v>
      </c>
      <c r="G6" s="1" t="s">
        <v>14</v>
      </c>
      <c r="M6" t="str">
        <f>IMPRODUCT(M4,M5)</f>
        <v>-24363.4581056+182055.5022383i</v>
      </c>
      <c r="O6">
        <f>IMREAL(O5)</f>
        <v>-6.5442999999999998</v>
      </c>
      <c r="P6">
        <f>IMAGINARY(O5)</f>
        <v>77.952399999999997</v>
      </c>
      <c r="Q6">
        <f ca="1">IMREAL(Q6)</f>
        <v>0</v>
      </c>
      <c r="R6">
        <f ca="1">IMAGINARY(Q6)</f>
        <v>0</v>
      </c>
      <c r="W6">
        <f>A8+A14</f>
        <v>83340.816399999996</v>
      </c>
      <c r="X6">
        <f>B8+B14</f>
        <v>-29597.296000000002</v>
      </c>
      <c r="Y6">
        <f>W6+X6</f>
        <v>53743.520399999994</v>
      </c>
    </row>
    <row r="7" spans="1:25" ht="16">
      <c r="A7" s="1">
        <f>IMREAL(A6)</f>
        <v>123974</v>
      </c>
      <c r="B7" s="1">
        <f t="shared" ref="B7:G7" si="0">IMREAL(B6)</f>
        <v>171431</v>
      </c>
      <c r="C7" s="1">
        <f t="shared" si="0"/>
        <v>843000</v>
      </c>
      <c r="D7" s="1">
        <f t="shared" si="0"/>
        <v>400000</v>
      </c>
      <c r="E7" s="1">
        <f t="shared" si="0"/>
        <v>240958</v>
      </c>
      <c r="F7" s="1">
        <f t="shared" si="0"/>
        <v>0</v>
      </c>
      <c r="G7" s="1">
        <f t="shared" si="0"/>
        <v>3595210</v>
      </c>
      <c r="M7">
        <f>IMREAL(M6)</f>
        <v>-24363.458105599999</v>
      </c>
      <c r="N7">
        <f>IMAGINARY(M6)</f>
        <v>182055.50223829999</v>
      </c>
      <c r="W7" s="1" t="s">
        <v>38</v>
      </c>
      <c r="X7" s="1" t="s">
        <v>39</v>
      </c>
    </row>
    <row r="8" spans="1:25" ht="16">
      <c r="A8" s="1">
        <f>IMAGINARY(A6)</f>
        <v>83295.199999999997</v>
      </c>
      <c r="B8" s="1">
        <f t="shared" ref="B8:G8" si="1">IMAGINARY(B6)</f>
        <v>-30017.4</v>
      </c>
      <c r="C8" s="1">
        <f t="shared" si="1"/>
        <v>-145407</v>
      </c>
      <c r="D8" s="1">
        <f t="shared" si="1"/>
        <v>290000</v>
      </c>
      <c r="E8" s="1">
        <f t="shared" si="1"/>
        <v>138289</v>
      </c>
      <c r="F8" s="1">
        <f t="shared" si="1"/>
        <v>0</v>
      </c>
      <c r="G8" s="1">
        <f t="shared" si="1"/>
        <v>1697210</v>
      </c>
    </row>
    <row r="9" spans="1:25">
      <c r="M9" t="str">
        <f>IMPRODUCT(IMPRODUCT(M4,M4), IMPRODUCT(0.1,R5))</f>
        <v>3129331.11934783-31649049.8775936i</v>
      </c>
    </row>
    <row r="10" spans="1:25">
      <c r="A10" t="s">
        <v>15</v>
      </c>
      <c r="M10">
        <f>IMREAL(M9)</f>
        <v>3129331.1193478298</v>
      </c>
      <c r="N10">
        <f>IMAGINARY(M9)</f>
        <v>-31649049.877593599</v>
      </c>
      <c r="Q10">
        <f>SUM(M7,M10)</f>
        <v>3104967.6612422299</v>
      </c>
    </row>
    <row r="11" spans="1:25">
      <c r="A11" t="s">
        <v>16</v>
      </c>
      <c r="B11" t="s">
        <v>18</v>
      </c>
      <c r="C11" t="s">
        <v>27</v>
      </c>
      <c r="D11" t="s">
        <v>51</v>
      </c>
      <c r="E11" t="s">
        <v>52</v>
      </c>
      <c r="F11" t="s">
        <v>53</v>
      </c>
      <c r="G11" t="s">
        <v>74</v>
      </c>
      <c r="H11" t="s">
        <v>82</v>
      </c>
      <c r="I11" t="s">
        <v>86</v>
      </c>
      <c r="J11" t="s">
        <v>100</v>
      </c>
      <c r="K11" t="s">
        <v>101</v>
      </c>
      <c r="L11" t="s">
        <v>103</v>
      </c>
      <c r="M11" t="s">
        <v>104</v>
      </c>
      <c r="N11" t="s">
        <v>102</v>
      </c>
    </row>
    <row r="12" spans="1:25" ht="16">
      <c r="A12" s="1" t="s">
        <v>17</v>
      </c>
      <c r="B12" s="1" t="s">
        <v>19</v>
      </c>
      <c r="C12" s="1" t="s">
        <v>28</v>
      </c>
      <c r="D12" s="1" t="s">
        <v>55</v>
      </c>
      <c r="E12" s="1" t="s">
        <v>56</v>
      </c>
      <c r="F12" s="1" t="s">
        <v>57</v>
      </c>
      <c r="G12" s="1" t="s">
        <v>75</v>
      </c>
      <c r="H12" s="1" t="s">
        <v>83</v>
      </c>
      <c r="I12" s="1" t="s">
        <v>87</v>
      </c>
      <c r="J12" s="1" t="s">
        <v>106</v>
      </c>
      <c r="K12" s="1" t="s">
        <v>105</v>
      </c>
      <c r="L12" s="1" t="s">
        <v>108</v>
      </c>
      <c r="M12" s="1" t="s">
        <v>109</v>
      </c>
      <c r="N12" s="1" t="s">
        <v>107</v>
      </c>
    </row>
    <row r="13" spans="1:25" ht="16">
      <c r="A13" s="1">
        <f>IMREAL(A12)</f>
        <v>683.63499999999999</v>
      </c>
      <c r="B13" s="1">
        <f t="shared" ref="B13:K13" si="2">IMREAL(B12)</f>
        <v>415.99599999999998</v>
      </c>
      <c r="C13" s="1">
        <f t="shared" si="2"/>
        <v>4127.42</v>
      </c>
      <c r="D13" s="1">
        <f t="shared" si="2"/>
        <v>4.5357000000000003</v>
      </c>
      <c r="E13" s="1">
        <f t="shared" si="2"/>
        <v>610.04700000000003</v>
      </c>
      <c r="F13" s="1">
        <f t="shared" si="2"/>
        <v>2.6246499999999999</v>
      </c>
      <c r="G13" s="1">
        <f t="shared" si="2"/>
        <v>541.846</v>
      </c>
      <c r="H13" s="1">
        <f t="shared" si="2"/>
        <v>5434.44</v>
      </c>
      <c r="I13" s="1">
        <f t="shared" si="2"/>
        <v>82.958100000000002</v>
      </c>
      <c r="J13" s="1">
        <f t="shared" si="2"/>
        <v>35577</v>
      </c>
      <c r="K13" s="1">
        <f t="shared" si="2"/>
        <v>12416.3</v>
      </c>
      <c r="L13" s="1">
        <f>IMREAL(L12)</f>
        <v>807.22799999999995</v>
      </c>
      <c r="M13" s="1">
        <f>IMREAL(M12)</f>
        <v>2769.09</v>
      </c>
      <c r="N13" s="1">
        <f>IMREAL(N12)</f>
        <v>65643</v>
      </c>
    </row>
    <row r="14" spans="1:25" ht="16">
      <c r="A14" s="1">
        <f>IMAGINARY(A12)</f>
        <v>45.616399999999999</v>
      </c>
      <c r="B14" s="1">
        <f t="shared" ref="B14:K14" si="3">IMAGINARY(B12)</f>
        <v>420.10399999999998</v>
      </c>
      <c r="C14" s="1">
        <f t="shared" si="3"/>
        <v>2488.58</v>
      </c>
      <c r="D14" s="1">
        <f t="shared" si="3"/>
        <v>-4.5357000000000003</v>
      </c>
      <c r="E14" s="1">
        <f t="shared" si="3"/>
        <v>490.03800000000001</v>
      </c>
      <c r="F14" s="1">
        <f t="shared" si="3"/>
        <v>-24.207799999999999</v>
      </c>
      <c r="G14" s="1">
        <f t="shared" si="3"/>
        <v>428.40699999999998</v>
      </c>
      <c r="H14" s="1">
        <f t="shared" si="3"/>
        <v>9880.81</v>
      </c>
      <c r="I14" s="1">
        <f t="shared" si="3"/>
        <v>1.1641500000000001E-10</v>
      </c>
      <c r="J14" s="1">
        <f t="shared" si="3"/>
        <v>83793.600000000006</v>
      </c>
      <c r="K14" s="1">
        <f t="shared" si="3"/>
        <v>30562.3</v>
      </c>
      <c r="L14" s="1">
        <f>IMAGINARY(L12)</f>
        <v>1025</v>
      </c>
      <c r="M14" s="1">
        <f>IMAGINARY(M12)</f>
        <v>2392.41</v>
      </c>
      <c r="N14" s="1">
        <f>IMAGINARY(N12)</f>
        <v>192608</v>
      </c>
    </row>
    <row r="16" spans="1:25">
      <c r="A16" t="s">
        <v>20</v>
      </c>
    </row>
    <row r="17" spans="1:16">
      <c r="A17" t="s">
        <v>21</v>
      </c>
      <c r="B17" t="s">
        <v>23</v>
      </c>
      <c r="D17" t="s">
        <v>30</v>
      </c>
      <c r="H17" t="s">
        <v>40</v>
      </c>
    </row>
    <row r="18" spans="1:16" ht="16">
      <c r="A18" s="1" t="s">
        <v>22</v>
      </c>
      <c r="B18" t="s">
        <v>24</v>
      </c>
      <c r="C18">
        <f>SUM(A7:B7,A13:B13)</f>
        <v>296504.63099999999</v>
      </c>
      <c r="D18" t="s">
        <v>25</v>
      </c>
      <c r="E18">
        <f>SUM(A8:B8,A14:B14)</f>
        <v>53743.520399999994</v>
      </c>
    </row>
    <row r="19" spans="1:16" ht="16">
      <c r="A19" s="1">
        <f>IMREAL(A18)</f>
        <v>296505</v>
      </c>
    </row>
    <row r="20" spans="1:16" ht="16">
      <c r="A20" s="1">
        <f>IMAGINARY(A18)</f>
        <v>53743.5</v>
      </c>
    </row>
    <row r="22" spans="1:16">
      <c r="A22" t="s">
        <v>48</v>
      </c>
    </row>
    <row r="23" spans="1:16">
      <c r="A23" t="s">
        <v>26</v>
      </c>
      <c r="B23" t="s">
        <v>44</v>
      </c>
    </row>
    <row r="24" spans="1:16" ht="16">
      <c r="A24" s="1" t="s">
        <v>29</v>
      </c>
      <c r="B24" t="s">
        <v>24</v>
      </c>
      <c r="C24">
        <f>SUM(C7,C13)</f>
        <v>847127.42</v>
      </c>
      <c r="D24" t="s">
        <v>25</v>
      </c>
      <c r="E24">
        <f>C8+C14</f>
        <v>-142918.42000000001</v>
      </c>
      <c r="H24" t="s">
        <v>41</v>
      </c>
      <c r="J24" s="1" t="s">
        <v>43</v>
      </c>
      <c r="L24">
        <v>4123.6000000000004</v>
      </c>
      <c r="M24">
        <v>145.47999999999999</v>
      </c>
      <c r="N24">
        <f>PI() *M24 /180</f>
        <v>2.5391049958013503</v>
      </c>
    </row>
    <row r="25" spans="1:16" ht="16">
      <c r="A25" s="1">
        <f>IMREAL(A24)</f>
        <v>1026900</v>
      </c>
      <c r="C25" t="s">
        <v>45</v>
      </c>
      <c r="L25">
        <f>L24 * COS(N24)</f>
        <v>-3397.5512547428657</v>
      </c>
      <c r="M25">
        <f>L24*SIN(N24)</f>
        <v>2336.8188700443138</v>
      </c>
    </row>
    <row r="26" spans="1:16" ht="16">
      <c r="A26" s="1">
        <f>IMAGINARY(A24)</f>
        <v>-6974.87</v>
      </c>
      <c r="C26">
        <f>A25-C24</f>
        <v>179772.57999999996</v>
      </c>
      <c r="D26">
        <f>A26 - E24</f>
        <v>135943.55000000002</v>
      </c>
      <c r="I26" t="s">
        <v>31</v>
      </c>
      <c r="J26" s="1" t="str">
        <f>COMPLEX(L25,M25)</f>
        <v>-3397.55125474287+2336.81887004431i</v>
      </c>
      <c r="P26">
        <f>IMAGINARY(J26) *IMAGINARY(J27)</f>
        <v>121205.42010579727</v>
      </c>
    </row>
    <row r="27" spans="1:16" ht="16">
      <c r="C27" t="str">
        <f>COMPLEX(C26,D26)</f>
        <v>179772.58+135943.55i</v>
      </c>
      <c r="I27" t="s">
        <v>32</v>
      </c>
      <c r="J27" s="2" t="str">
        <f>COMPLEX(L27,M27)</f>
        <v>-17.2414+51.8677i</v>
      </c>
      <c r="L27" s="1">
        <v>-17.241399999999999</v>
      </c>
      <c r="M27">
        <v>51.867699999999999</v>
      </c>
    </row>
    <row r="28" spans="1:16">
      <c r="E28" t="s">
        <v>46</v>
      </c>
      <c r="J28" t="str">
        <f>IMPRODUCT(J26,J27)</f>
        <v>-62626.8799022736-216513.198081609i</v>
      </c>
      <c r="O28">
        <f>IMREAL(J26)*IMREAL(J27)</f>
        <v>58578.540203523713</v>
      </c>
    </row>
    <row r="29" spans="1:16">
      <c r="E29" t="str">
        <f>IMDIV(C27,J26)</f>
        <v>-17.2376955559575-51.8682159703216i</v>
      </c>
      <c r="J29">
        <f>IMREAL(J28)</f>
        <v>-62626.879902273598</v>
      </c>
      <c r="K29">
        <f>IMAGINARY(J28)</f>
        <v>-216513.19808160901</v>
      </c>
    </row>
    <row r="30" spans="1:16">
      <c r="E30" t="s">
        <v>47</v>
      </c>
      <c r="J30" t="s">
        <v>42</v>
      </c>
    </row>
    <row r="31" spans="1:16">
      <c r="E31" t="str">
        <f>IMDIV(C27,J27)</f>
        <v>1322.6832899342-3905.65788872596i</v>
      </c>
    </row>
    <row r="32" spans="1:16">
      <c r="B32" t="s">
        <v>58</v>
      </c>
    </row>
    <row r="34" spans="1:15">
      <c r="M34" t="s">
        <v>64</v>
      </c>
    </row>
    <row r="35" spans="1:15">
      <c r="A35" t="s">
        <v>48</v>
      </c>
      <c r="M35" t="s">
        <v>65</v>
      </c>
      <c r="N35" t="s">
        <v>66</v>
      </c>
      <c r="O35" t="s">
        <v>67</v>
      </c>
    </row>
    <row r="36" spans="1:15" ht="16">
      <c r="A36" t="s">
        <v>49</v>
      </c>
      <c r="H36" t="s">
        <v>59</v>
      </c>
      <c r="I36" s="1" t="str">
        <f>COMPLEX(385000 * 3, 220000 * 3)</f>
        <v>1155000+660000i</v>
      </c>
      <c r="L36" t="s">
        <v>60</v>
      </c>
      <c r="M36" s="1" t="s">
        <v>61</v>
      </c>
      <c r="N36" s="1" t="s">
        <v>62</v>
      </c>
      <c r="O36" s="1" t="s">
        <v>63</v>
      </c>
    </row>
    <row r="37" spans="1:15" ht="16">
      <c r="A37" s="1" t="s">
        <v>50</v>
      </c>
      <c r="H37" t="s">
        <v>24</v>
      </c>
      <c r="I37">
        <f>IMREAL(I36)</f>
        <v>1155000</v>
      </c>
      <c r="M37">
        <f t="shared" ref="M37:O37" si="4">IMREAL(M36)</f>
        <v>5666.67</v>
      </c>
      <c r="N37">
        <f t="shared" si="4"/>
        <v>22000</v>
      </c>
      <c r="O37">
        <f t="shared" si="4"/>
        <v>39000</v>
      </c>
    </row>
    <row r="38" spans="1:15">
      <c r="A38">
        <f>IMREAL(A37)</f>
        <v>2545690</v>
      </c>
      <c r="B38" t="s">
        <v>54</v>
      </c>
      <c r="H38" t="s">
        <v>25</v>
      </c>
      <c r="I38">
        <f>IMAGINARY(I36)</f>
        <v>660000</v>
      </c>
      <c r="M38">
        <f t="shared" ref="M38:O38" si="5">IMAGINARY(M36)</f>
        <v>3333.33</v>
      </c>
      <c r="N38">
        <f t="shared" si="5"/>
        <v>12666.7</v>
      </c>
      <c r="O38">
        <f t="shared" si="5"/>
        <v>22666.7</v>
      </c>
    </row>
    <row r="39" spans="1:15">
      <c r="A39">
        <f>IMAGINARY(A37)</f>
        <v>745897</v>
      </c>
      <c r="B39" t="s">
        <v>24</v>
      </c>
      <c r="C39">
        <f>SUM(D13:F13,A19,A25)</f>
        <v>1324022.20735</v>
      </c>
      <c r="D39" t="s">
        <v>25</v>
      </c>
      <c r="E39">
        <f>SUM(D14:F14,A20,A26)</f>
        <v>47229.924500000001</v>
      </c>
    </row>
    <row r="41" spans="1:15">
      <c r="B41" t="s">
        <v>69</v>
      </c>
      <c r="H41" t="s">
        <v>68</v>
      </c>
    </row>
    <row r="42" spans="1:15">
      <c r="B42" t="s">
        <v>24</v>
      </c>
      <c r="C42">
        <f>SUM(C39,J42)</f>
        <v>2545688.8773499997</v>
      </c>
      <c r="I42" t="s">
        <v>24</v>
      </c>
      <c r="J42">
        <f>SUM(I37,M37:O37)</f>
        <v>1221666.67</v>
      </c>
    </row>
    <row r="43" spans="1:15">
      <c r="B43" t="s">
        <v>25</v>
      </c>
      <c r="C43">
        <f>SUM(E39,J43)</f>
        <v>745896.65449999983</v>
      </c>
      <c r="I43" t="s">
        <v>25</v>
      </c>
      <c r="J43">
        <f>SUM(I38,M38:O38)</f>
        <v>698666.72999999986</v>
      </c>
    </row>
    <row r="45" spans="1:15">
      <c r="A45" t="s">
        <v>70</v>
      </c>
    </row>
    <row r="47" spans="1:15">
      <c r="A47" t="s">
        <v>71</v>
      </c>
    </row>
    <row r="48" spans="1:15" ht="16">
      <c r="A48" s="1" t="s">
        <v>72</v>
      </c>
      <c r="B48" t="s">
        <v>73</v>
      </c>
      <c r="H48" t="s">
        <v>76</v>
      </c>
      <c r="I48" s="1" t="s">
        <v>77</v>
      </c>
    </row>
    <row r="49" spans="1:9">
      <c r="A49">
        <f>IMREAL(A48)</f>
        <v>411499</v>
      </c>
      <c r="B49" t="s">
        <v>24</v>
      </c>
      <c r="C49">
        <f>SUM(E7,G13)</f>
        <v>241499.84599999999</v>
      </c>
      <c r="D49" t="s">
        <v>25</v>
      </c>
      <c r="E49">
        <f>SUM(E8,G14)</f>
        <v>138717.40700000001</v>
      </c>
      <c r="H49" t="s">
        <v>24</v>
      </c>
      <c r="I49">
        <f>IMREAL(I48)</f>
        <v>170000</v>
      </c>
    </row>
    <row r="50" spans="1:9">
      <c r="A50">
        <f>IMAGINARY(A48)</f>
        <v>263717</v>
      </c>
      <c r="H50" t="s">
        <v>25</v>
      </c>
      <c r="I50">
        <f>IMAGINARY(I48)</f>
        <v>125000</v>
      </c>
    </row>
    <row r="52" spans="1:9">
      <c r="B52" t="s">
        <v>78</v>
      </c>
    </row>
    <row r="53" spans="1:9">
      <c r="B53" t="s">
        <v>24</v>
      </c>
      <c r="C53">
        <f>SUM(C49,I49)</f>
        <v>411499.84600000002</v>
      </c>
    </row>
    <row r="54" spans="1:9">
      <c r="B54" t="s">
        <v>25</v>
      </c>
      <c r="C54">
        <f>SUM(E49,I50)</f>
        <v>263717.40700000001</v>
      </c>
    </row>
    <row r="56" spans="1:9">
      <c r="A56" t="s">
        <v>70</v>
      </c>
    </row>
    <row r="58" spans="1:9">
      <c r="A58" t="s">
        <v>79</v>
      </c>
    </row>
    <row r="59" spans="1:9" ht="16">
      <c r="A59" s="1" t="s">
        <v>80</v>
      </c>
      <c r="B59" t="s">
        <v>81</v>
      </c>
    </row>
    <row r="60" spans="1:9">
      <c r="A60">
        <f>IMREAL(A59)</f>
        <v>405434</v>
      </c>
      <c r="B60" t="s">
        <v>24</v>
      </c>
      <c r="C60">
        <f>SUM(D7,H13)</f>
        <v>405434.44</v>
      </c>
    </row>
    <row r="61" spans="1:9">
      <c r="A61">
        <f>IMAGINARY(A59)</f>
        <v>299881</v>
      </c>
      <c r="B61" t="s">
        <v>25</v>
      </c>
      <c r="C61">
        <f>SUM(D8,H14)</f>
        <v>299880.81</v>
      </c>
    </row>
    <row r="63" spans="1:9">
      <c r="A63" t="s">
        <v>84</v>
      </c>
    </row>
    <row r="65" spans="1:20">
      <c r="A65" t="s">
        <v>85</v>
      </c>
    </row>
    <row r="66" spans="1:20" ht="16">
      <c r="A66" s="3" t="s">
        <v>88</v>
      </c>
      <c r="B66" t="s">
        <v>89</v>
      </c>
      <c r="D66" s="4" t="s">
        <v>90</v>
      </c>
    </row>
    <row r="67" spans="1:20">
      <c r="A67" s="4">
        <f>IMREAL(A66)</f>
        <v>3595130</v>
      </c>
      <c r="B67" t="s">
        <v>24</v>
      </c>
      <c r="C67">
        <f>SUM(G7,I13)</f>
        <v>3595292.9580999999</v>
      </c>
      <c r="D67" t="s">
        <v>91</v>
      </c>
    </row>
    <row r="68" spans="1:20">
      <c r="A68" s="4">
        <f>IMAGINARY(A66)</f>
        <v>1697210</v>
      </c>
      <c r="B68" t="s">
        <v>25</v>
      </c>
      <c r="C68">
        <f>SUM(G8,I14)</f>
        <v>1697210</v>
      </c>
      <c r="D68" t="s">
        <v>92</v>
      </c>
    </row>
    <row r="69" spans="1:20">
      <c r="A69" s="4"/>
    </row>
    <row r="71" spans="1:20">
      <c r="A71" t="s">
        <v>93</v>
      </c>
    </row>
    <row r="73" spans="1:20">
      <c r="A73" t="s">
        <v>94</v>
      </c>
    </row>
    <row r="74" spans="1:20" ht="16">
      <c r="A74" s="1" t="s">
        <v>95</v>
      </c>
      <c r="B74" t="s">
        <v>111</v>
      </c>
      <c r="L74" t="s">
        <v>64</v>
      </c>
      <c r="Q74" t="s">
        <v>116</v>
      </c>
    </row>
    <row r="75" spans="1:20">
      <c r="A75">
        <f>IMREAL(A74)</f>
        <v>3535400</v>
      </c>
      <c r="B75" t="s">
        <v>24</v>
      </c>
      <c r="C75">
        <f>SUM(J13:M13,A38+A49+A60+L79)</f>
        <v>3547525.9179999996</v>
      </c>
      <c r="D75" t="s">
        <v>114</v>
      </c>
      <c r="E75">
        <f>SUM(A38+A49+A60+L79)</f>
        <v>3495956.3</v>
      </c>
      <c r="F75" t="s">
        <v>115</v>
      </c>
      <c r="G75">
        <f>SUM(J13:M13)</f>
        <v>51569.618000000002</v>
      </c>
      <c r="K75" t="s">
        <v>96</v>
      </c>
      <c r="L75" t="s">
        <v>65</v>
      </c>
      <c r="M75" t="s">
        <v>66</v>
      </c>
      <c r="N75" t="s">
        <v>67</v>
      </c>
      <c r="Q75" t="s">
        <v>64</v>
      </c>
    </row>
    <row r="76" spans="1:20" ht="16">
      <c r="A76">
        <f>IMAGINARY(A74)</f>
        <v>1504600</v>
      </c>
      <c r="B76" t="s">
        <v>25</v>
      </c>
      <c r="C76">
        <f>SUM(J14:M14,A39+A50+A61+L80)</f>
        <v>1504601.58</v>
      </c>
      <c r="L76" s="1" t="s">
        <v>97</v>
      </c>
      <c r="M76" s="1" t="s">
        <v>98</v>
      </c>
      <c r="N76" s="1" t="s">
        <v>99</v>
      </c>
      <c r="Q76" s="1" t="s">
        <v>65</v>
      </c>
      <c r="R76" s="1" t="s">
        <v>66</v>
      </c>
      <c r="S76" s="1" t="s">
        <v>67</v>
      </c>
      <c r="T76" s="1"/>
    </row>
    <row r="77" spans="1:20" ht="16">
      <c r="D77" t="s">
        <v>113</v>
      </c>
      <c r="L77">
        <f>IMREAL(L76)</f>
        <v>11333.3</v>
      </c>
      <c r="M77">
        <f>IMREAL(M76)</f>
        <v>44000</v>
      </c>
      <c r="N77">
        <f>IMREAL(N76)</f>
        <v>78000</v>
      </c>
      <c r="P77" t="s">
        <v>94</v>
      </c>
      <c r="Q77" s="1" t="s">
        <v>117</v>
      </c>
      <c r="R77" s="1" t="s">
        <v>118</v>
      </c>
      <c r="S77" s="1" t="s">
        <v>119</v>
      </c>
    </row>
    <row r="78" spans="1:20">
      <c r="B78" t="s">
        <v>112</v>
      </c>
      <c r="E78">
        <f>C75-C79</f>
        <v>18038.917999999598</v>
      </c>
      <c r="L78">
        <f>IMAGINARY(L76)</f>
        <v>6666.67</v>
      </c>
      <c r="M78">
        <f t="shared" ref="M78:N78" si="6">IMAGINARY(M76)</f>
        <v>25333.3</v>
      </c>
      <c r="N78">
        <f t="shared" si="6"/>
        <v>45333.3</v>
      </c>
      <c r="Q78">
        <f>IMREAL(Q77)</f>
        <v>1239590</v>
      </c>
      <c r="R78">
        <f t="shared" ref="R78:S78" si="7">IMREAL(R77)</f>
        <v>980149</v>
      </c>
      <c r="S78">
        <f t="shared" si="7"/>
        <v>1315660</v>
      </c>
    </row>
    <row r="79" spans="1:20">
      <c r="B79" t="s">
        <v>24</v>
      </c>
      <c r="C79">
        <f xml:space="preserve"> A67 - N13</f>
        <v>3529487</v>
      </c>
      <c r="K79" t="s">
        <v>24</v>
      </c>
      <c r="L79">
        <f>SUM(L77:N77)</f>
        <v>133333.29999999999</v>
      </c>
      <c r="Q79">
        <f>IMAGINARY(Q77)</f>
        <v>598776</v>
      </c>
      <c r="R79">
        <f t="shared" ref="R79:S79" si="8">IMAGINARY(R77)</f>
        <v>341459</v>
      </c>
      <c r="S79">
        <f t="shared" si="8"/>
        <v>564366</v>
      </c>
    </row>
    <row r="80" spans="1:20" ht="16">
      <c r="B80" t="s">
        <v>25</v>
      </c>
      <c r="C80">
        <f xml:space="preserve"> A68 - N14</f>
        <v>1504602</v>
      </c>
      <c r="K80" t="s">
        <v>25</v>
      </c>
      <c r="L80">
        <f>SUM(L78:N78)</f>
        <v>77333.27</v>
      </c>
      <c r="P80" t="s">
        <v>79</v>
      </c>
      <c r="Q80" s="1" t="s">
        <v>120</v>
      </c>
      <c r="R80" s="1" t="s">
        <v>121</v>
      </c>
      <c r="S80" s="1" t="s">
        <v>122</v>
      </c>
    </row>
    <row r="81" spans="1:19">
      <c r="Q81">
        <f>IMREAL(Q80)</f>
        <v>162518</v>
      </c>
      <c r="R81">
        <f t="shared" ref="R81" si="9">IMREAL(R80)</f>
        <v>121423</v>
      </c>
      <c r="S81">
        <f t="shared" ref="S81" si="10">IMREAL(S80)</f>
        <v>121493</v>
      </c>
    </row>
    <row r="82" spans="1:19">
      <c r="A82" t="s">
        <v>110</v>
      </c>
      <c r="Q82">
        <f>IMAGINARY(Q80)</f>
        <v>114578</v>
      </c>
      <c r="R82">
        <f t="shared" ref="R82:S82" si="11">IMAGINARY(R80)</f>
        <v>92588</v>
      </c>
      <c r="S82">
        <f t="shared" si="11"/>
        <v>92715</v>
      </c>
    </row>
    <row r="83" spans="1:19" ht="16">
      <c r="P83" t="s">
        <v>71</v>
      </c>
      <c r="Q83" s="1" t="s">
        <v>123</v>
      </c>
      <c r="R83" s="1" t="s">
        <v>124</v>
      </c>
      <c r="S83" s="1" t="s">
        <v>125</v>
      </c>
    </row>
    <row r="84" spans="1:19">
      <c r="Q84">
        <f>IMREAL(Q83)</f>
        <v>0</v>
      </c>
      <c r="R84">
        <f t="shared" ref="R84" si="12">IMREAL(R83)</f>
        <v>331799</v>
      </c>
      <c r="S84">
        <f t="shared" ref="S84" si="13">IMREAL(S83)</f>
        <v>79700.5</v>
      </c>
    </row>
    <row r="85" spans="1:19">
      <c r="Q85">
        <f>IMAGINARY(Q83)</f>
        <v>0</v>
      </c>
      <c r="R85">
        <f t="shared" ref="R85:S85" si="14">IMAGINARY(R83)</f>
        <v>125763</v>
      </c>
      <c r="S85">
        <f t="shared" si="14"/>
        <v>137954</v>
      </c>
    </row>
    <row r="86" spans="1:19" ht="16">
      <c r="P86" t="s">
        <v>49</v>
      </c>
      <c r="Q86" s="1" t="s">
        <v>126</v>
      </c>
      <c r="R86" s="1" t="s">
        <v>127</v>
      </c>
      <c r="S86" s="1" t="s">
        <v>128</v>
      </c>
    </row>
    <row r="87" spans="1:19">
      <c r="Q87">
        <f>IMREAL(Q86)</f>
        <v>1054520</v>
      </c>
      <c r="R87">
        <f t="shared" ref="R87" si="15">IMREAL(R86)</f>
        <v>486294</v>
      </c>
      <c r="S87">
        <f t="shared" ref="S87" si="16">IMREAL(S86)</f>
        <v>1004880</v>
      </c>
    </row>
    <row r="88" spans="1:19">
      <c r="Q88">
        <f>IMAGINARY(Q86)</f>
        <v>411282</v>
      </c>
      <c r="R88">
        <f t="shared" ref="R88:S88" si="17">IMAGINARY(R86)</f>
        <v>90973.7</v>
      </c>
      <c r="S88">
        <f t="shared" si="17"/>
        <v>243641</v>
      </c>
    </row>
    <row r="89" spans="1:19" ht="16">
      <c r="P89" t="s">
        <v>129</v>
      </c>
      <c r="Q89" s="1" t="s">
        <v>142</v>
      </c>
      <c r="R89" s="1" t="s">
        <v>143</v>
      </c>
      <c r="S89" s="1" t="s">
        <v>144</v>
      </c>
    </row>
    <row r="90" spans="1:19">
      <c r="Q90">
        <f>IMREAL(Q89)</f>
        <v>354.44200000000001</v>
      </c>
      <c r="R90">
        <f t="shared" ref="R90" si="18">IMREAL(R89)</f>
        <v>147.86699999999999</v>
      </c>
      <c r="S90">
        <f t="shared" ref="S90" si="19">IMREAL(S89)</f>
        <v>304.91899999999998</v>
      </c>
    </row>
    <row r="91" spans="1:19">
      <c r="Q91">
        <f>IMAGINARY(Q89)</f>
        <v>520.56200000000001</v>
      </c>
      <c r="R91">
        <f t="shared" ref="R91:S91" si="20">IMAGINARY(R89)</f>
        <v>261.649</v>
      </c>
      <c r="S91">
        <f t="shared" si="20"/>
        <v>242.786</v>
      </c>
    </row>
    <row r="92" spans="1:19" ht="16">
      <c r="P92" t="s">
        <v>130</v>
      </c>
      <c r="Q92" s="1" t="s">
        <v>133</v>
      </c>
      <c r="R92" s="1" t="s">
        <v>134</v>
      </c>
      <c r="S92" s="1" t="s">
        <v>135</v>
      </c>
    </row>
    <row r="93" spans="1:19">
      <c r="Q93">
        <f>IMREAL(Q92)</f>
        <v>0</v>
      </c>
      <c r="R93">
        <f t="shared" ref="R93" si="21">IMREAL(R92)</f>
        <v>2548.13</v>
      </c>
      <c r="S93">
        <f t="shared" ref="S93" si="22">IMREAL(S92)</f>
        <v>220.96</v>
      </c>
    </row>
    <row r="94" spans="1:19">
      <c r="Q94">
        <f>IMAGINARY(Q92)</f>
        <v>0</v>
      </c>
      <c r="R94">
        <f t="shared" ref="R94:S94" si="23">IMAGINARY(R92)</f>
        <v>2164.62</v>
      </c>
      <c r="S94">
        <f t="shared" si="23"/>
        <v>227.78800000000001</v>
      </c>
    </row>
    <row r="95" spans="1:19" ht="16">
      <c r="P95" t="s">
        <v>131</v>
      </c>
      <c r="Q95" s="1" t="s">
        <v>136</v>
      </c>
      <c r="R95" s="1" t="s">
        <v>137</v>
      </c>
      <c r="S95" s="1" t="s">
        <v>138</v>
      </c>
    </row>
    <row r="96" spans="1:19">
      <c r="Q96">
        <f>IMREAL(Q95)</f>
        <v>2456.1799999999998</v>
      </c>
      <c r="R96">
        <f t="shared" ref="R96" si="24">IMREAL(R95)</f>
        <v>1423.09</v>
      </c>
      <c r="S96">
        <f t="shared" ref="S96" si="25">IMREAL(S95)</f>
        <v>8537.0400000000009</v>
      </c>
    </row>
    <row r="97" spans="16:19">
      <c r="Q97">
        <f>IMAGINARY(Q95)</f>
        <v>16430.900000000001</v>
      </c>
      <c r="R97">
        <f t="shared" ref="R97:S97" si="26">IMAGINARY(R95)</f>
        <v>1195.27</v>
      </c>
      <c r="S97">
        <f t="shared" si="26"/>
        <v>12936.1</v>
      </c>
    </row>
    <row r="98" spans="16:19" ht="16">
      <c r="P98" t="s">
        <v>132</v>
      </c>
      <c r="Q98" s="1" t="s">
        <v>139</v>
      </c>
      <c r="R98" s="1" t="s">
        <v>140</v>
      </c>
      <c r="S98" s="1" t="s">
        <v>141</v>
      </c>
    </row>
    <row r="99" spans="16:19">
      <c r="Q99">
        <f>IMREAL(Q98)</f>
        <v>8408.85</v>
      </c>
      <c r="R99">
        <f t="shared" ref="R99" si="27">IMREAL(R98)</f>
        <v>4639.91</v>
      </c>
      <c r="S99">
        <f t="shared" ref="S99" si="28">IMREAL(S98)</f>
        <v>22528.2</v>
      </c>
    </row>
    <row r="100" spans="16:19">
      <c r="Q100">
        <f>IMAGINARY(Q98)</f>
        <v>49298.1</v>
      </c>
      <c r="R100">
        <f t="shared" ref="R100:S100" si="29">IMAGINARY(R98)</f>
        <v>3179.62</v>
      </c>
      <c r="S100">
        <f t="shared" si="29"/>
        <v>31315.9</v>
      </c>
    </row>
    <row r="101" spans="16:19" ht="16">
      <c r="P101" t="s">
        <v>96</v>
      </c>
      <c r="Q101" s="1" t="s">
        <v>97</v>
      </c>
      <c r="R101" s="1" t="s">
        <v>98</v>
      </c>
      <c r="S101" s="1" t="s">
        <v>99</v>
      </c>
    </row>
    <row r="102" spans="16:19">
      <c r="Q102">
        <f>IMREAL(Q101)</f>
        <v>11333.3</v>
      </c>
      <c r="R102">
        <f>IMREAL(R101)</f>
        <v>44000</v>
      </c>
      <c r="S102">
        <f>IMREAL(S101)</f>
        <v>78000</v>
      </c>
    </row>
    <row r="103" spans="16:19">
      <c r="Q103">
        <f>IMAGINARY(Q101)</f>
        <v>6666.67</v>
      </c>
      <c r="R103">
        <f t="shared" ref="R103:S103" si="30">IMAGINARY(R101)</f>
        <v>25333.3</v>
      </c>
      <c r="S103">
        <f t="shared" si="30"/>
        <v>45333.3</v>
      </c>
    </row>
    <row r="104" spans="16:19">
      <c r="P104" t="s">
        <v>145</v>
      </c>
    </row>
    <row r="105" spans="16:19">
      <c r="Q105">
        <f>SUM(Q81+Q84+Q87+Q90+Q93+Q96+Q99+Q102)</f>
        <v>1239590.7720000001</v>
      </c>
      <c r="R105">
        <f t="shared" ref="R105:S105" si="31">SUM(R81+R84+R87+R90+R93+R96+R99+R102)</f>
        <v>992274.99699999997</v>
      </c>
      <c r="S105">
        <f t="shared" si="31"/>
        <v>1315664.6189999999</v>
      </c>
    </row>
    <row r="106" spans="16:19">
      <c r="Q106">
        <f>SUM(Q82+Q85+Q88+Q91+Q94+Q97+Q100+Q103)</f>
        <v>598776.23200000008</v>
      </c>
      <c r="R106">
        <f t="shared" ref="R106:S106" si="32">SUM(R82+R85+R88+R91+R94+R97+R100+R103)</f>
        <v>341459.15899999999</v>
      </c>
      <c r="S106">
        <f t="shared" si="32"/>
        <v>564365.87400000007</v>
      </c>
    </row>
    <row r="107" spans="16:19">
      <c r="P107" t="s">
        <v>146</v>
      </c>
    </row>
    <row r="108" spans="16:19">
      <c r="Q108">
        <f t="shared" ref="Q108:S109" si="33">Q78-Q105</f>
        <v>-0.77200000011362135</v>
      </c>
      <c r="R108">
        <f t="shared" si="33"/>
        <v>-12125.996999999974</v>
      </c>
      <c r="S108">
        <f t="shared" si="33"/>
        <v>-4.6189999999478459</v>
      </c>
    </row>
    <row r="109" spans="16:19">
      <c r="Q109">
        <f t="shared" si="33"/>
        <v>-0.23200000007636845</v>
      </c>
      <c r="R109">
        <f t="shared" si="33"/>
        <v>-0.15899999998509884</v>
      </c>
      <c r="S109">
        <f t="shared" si="33"/>
        <v>0.12599999993108213</v>
      </c>
    </row>
    <row r="111" spans="16:19">
      <c r="R111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Linxie</dc:creator>
  <cp:lastModifiedBy>Eric Linxie</cp:lastModifiedBy>
  <dcterms:created xsi:type="dcterms:W3CDTF">2017-09-20T06:38:40Z</dcterms:created>
  <dcterms:modified xsi:type="dcterms:W3CDTF">2017-09-30T18:14:19Z</dcterms:modified>
</cp:coreProperties>
</file>