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500" documentId="8_{4C3B70BD-E113-4AAD-9979-2EB7A2EFFD46}" xr6:coauthVersionLast="47" xr6:coauthVersionMax="47" xr10:uidLastSave="{CA175F9B-F5E8-4AC7-9FA8-590C1A587BFF}"/>
  <bookViews>
    <workbookView xWindow="-110" yWindow="-110" windowWidth="19420" windowHeight="11500" activeTab="1" xr2:uid="{00000000-000D-0000-FFFF-FFFF00000000}"/>
  </bookViews>
  <sheets>
    <sheet name="Projet" sheetId="1" r:id="rId1"/>
    <sheet name="Feuil1" sheetId="8" r:id="rId2"/>
    <sheet name="Détails AgriPV" sheetId="5" r:id="rId3"/>
    <sheet name="Standards UNITe" sheetId="6" r:id="rId4"/>
    <sheet name="Dimensions postes et pieux" sheetId="3" r:id="rId5"/>
    <sheet name="Batteries de stockage" sheetId="4" r:id="rId6"/>
    <sheet name="Revue AP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4" i="1" l="1"/>
  <c r="E8" i="5"/>
  <c r="D8" i="5"/>
  <c r="D6" i="5"/>
  <c r="E4" i="5"/>
  <c r="D4" i="5"/>
  <c r="G29" i="1"/>
  <c r="G154" i="1"/>
  <c r="G150" i="1"/>
  <c r="G122" i="1"/>
  <c r="G109" i="1"/>
  <c r="G108" i="1"/>
  <c r="G103" i="1"/>
  <c r="G99" i="1"/>
  <c r="G96" i="1"/>
  <c r="G93" i="1"/>
  <c r="G90" i="1"/>
  <c r="G87" i="1"/>
  <c r="G84" i="1"/>
  <c r="G80" i="1"/>
  <c r="G79" i="1"/>
  <c r="G60" i="1"/>
  <c r="G59" i="1"/>
  <c r="G57" i="1"/>
  <c r="G56" i="1"/>
  <c r="G53" i="1"/>
  <c r="G52" i="1"/>
  <c r="G50" i="1"/>
  <c r="G49" i="1"/>
  <c r="G69" i="1" s="1"/>
  <c r="G47" i="1"/>
  <c r="G46" i="1"/>
  <c r="G39" i="1"/>
  <c r="G162" i="1" s="1"/>
  <c r="G34" i="1"/>
  <c r="G37" i="1" s="1"/>
  <c r="G38" i="1" s="1"/>
  <c r="G30" i="1"/>
  <c r="G22" i="1"/>
  <c r="G17" i="1"/>
  <c r="F122" i="1"/>
  <c r="F29" i="1"/>
  <c r="F30" i="1" s="1"/>
  <c r="F150" i="1"/>
  <c r="F109" i="1"/>
  <c r="F108" i="1"/>
  <c r="F103" i="1"/>
  <c r="F99" i="1"/>
  <c r="F96" i="1"/>
  <c r="F93" i="1"/>
  <c r="F90" i="1"/>
  <c r="F87" i="1"/>
  <c r="F84" i="1"/>
  <c r="F80" i="1"/>
  <c r="F79" i="1"/>
  <c r="F60" i="1"/>
  <c r="F59" i="1"/>
  <c r="F57" i="1"/>
  <c r="F56" i="1"/>
  <c r="F53" i="1"/>
  <c r="F52" i="1"/>
  <c r="F50" i="1"/>
  <c r="F49" i="1"/>
  <c r="F47" i="1"/>
  <c r="F46" i="1"/>
  <c r="F39" i="1"/>
  <c r="F162" i="1" s="1"/>
  <c r="F34" i="1"/>
  <c r="F37" i="1" s="1"/>
  <c r="F38" i="1" s="1"/>
  <c r="F22" i="1"/>
  <c r="F17" i="1"/>
  <c r="E29" i="1"/>
  <c r="E30" i="1" s="1"/>
  <c r="E150" i="1"/>
  <c r="E109" i="1"/>
  <c r="E108" i="1"/>
  <c r="E106" i="1"/>
  <c r="E103" i="1"/>
  <c r="E99" i="1"/>
  <c r="E96" i="1"/>
  <c r="E93" i="1"/>
  <c r="E90" i="1"/>
  <c r="E87" i="1"/>
  <c r="E84" i="1"/>
  <c r="E80" i="1"/>
  <c r="E79" i="1"/>
  <c r="E66" i="1"/>
  <c r="E60" i="1"/>
  <c r="E59" i="1"/>
  <c r="E57" i="1"/>
  <c r="E56" i="1"/>
  <c r="E53" i="1"/>
  <c r="E52" i="1"/>
  <c r="E50" i="1"/>
  <c r="E49" i="1"/>
  <c r="E47" i="1"/>
  <c r="E69" i="1" s="1"/>
  <c r="E46" i="1"/>
  <c r="E39" i="1"/>
  <c r="E162" i="1" s="1"/>
  <c r="E34" i="1"/>
  <c r="E37" i="1" s="1"/>
  <c r="E22" i="1"/>
  <c r="E17" i="1"/>
  <c r="M20" i="7"/>
  <c r="I10" i="7"/>
  <c r="F10" i="7"/>
  <c r="D17" i="1"/>
  <c r="D22" i="1"/>
  <c r="D29" i="1"/>
  <c r="D30" i="1" s="1"/>
  <c r="D34" i="1"/>
  <c r="D37" i="1" s="1"/>
  <c r="D39" i="1"/>
  <c r="D162" i="1" s="1"/>
  <c r="D46" i="1"/>
  <c r="D47" i="1"/>
  <c r="D49" i="1"/>
  <c r="D50" i="1"/>
  <c r="D52" i="1"/>
  <c r="D53" i="1"/>
  <c r="D56" i="1"/>
  <c r="D57" i="1"/>
  <c r="D59" i="1"/>
  <c r="D60" i="1"/>
  <c r="D66" i="1"/>
  <c r="D79" i="1"/>
  <c r="D80" i="1"/>
  <c r="D84" i="1"/>
  <c r="D87" i="1"/>
  <c r="D90" i="1"/>
  <c r="D93" i="1"/>
  <c r="D96" i="1"/>
  <c r="D99" i="1"/>
  <c r="D103" i="1"/>
  <c r="D106" i="1"/>
  <c r="D108" i="1" s="1"/>
  <c r="D109" i="1"/>
  <c r="D130" i="1"/>
  <c r="D150" i="1"/>
  <c r="C3" i="7"/>
  <c r="C106" i="1"/>
  <c r="C108" i="1" s="1"/>
  <c r="D15" i="5"/>
  <c r="C29" i="1"/>
  <c r="C30" i="1" s="1"/>
  <c r="C150" i="1"/>
  <c r="C109" i="1"/>
  <c r="C103" i="1"/>
  <c r="C99" i="1"/>
  <c r="C96" i="1"/>
  <c r="C93" i="1"/>
  <c r="C90" i="1"/>
  <c r="C87" i="1"/>
  <c r="C84" i="1"/>
  <c r="C80" i="1"/>
  <c r="C79" i="1"/>
  <c r="C66" i="1"/>
  <c r="C60" i="1"/>
  <c r="C59" i="1"/>
  <c r="C57" i="1"/>
  <c r="C56" i="1"/>
  <c r="C53" i="1"/>
  <c r="C52" i="1"/>
  <c r="C50" i="1"/>
  <c r="C49" i="1"/>
  <c r="C47" i="1"/>
  <c r="C46" i="1"/>
  <c r="C39" i="1"/>
  <c r="C162" i="1" s="1"/>
  <c r="C36" i="1"/>
  <c r="C34" i="1"/>
  <c r="C37" i="1" s="1"/>
  <c r="C22" i="1"/>
  <c r="C17" i="1"/>
  <c r="B36" i="1"/>
  <c r="B154" i="1" s="1"/>
  <c r="B29" i="1"/>
  <c r="G149" i="1" l="1"/>
  <c r="G68" i="1"/>
  <c r="C38" i="1"/>
  <c r="F69" i="1"/>
  <c r="F149" i="1" s="1"/>
  <c r="D69" i="1"/>
  <c r="E38" i="1"/>
  <c r="D38" i="1"/>
  <c r="E68" i="1"/>
  <c r="F68" i="1"/>
  <c r="E154" i="1"/>
  <c r="E149" i="1"/>
  <c r="D154" i="1"/>
  <c r="D149" i="1"/>
  <c r="D68" i="1"/>
  <c r="C69" i="1"/>
  <c r="C149" i="1" s="1"/>
  <c r="C68" i="1"/>
  <c r="B22" i="1"/>
  <c r="B17" i="1"/>
  <c r="B150" i="1"/>
  <c r="B108" i="1"/>
  <c r="B79" i="1"/>
  <c r="B60" i="1"/>
  <c r="B59" i="1"/>
  <c r="B57" i="1"/>
  <c r="B56" i="1"/>
  <c r="B53" i="1"/>
  <c r="B52" i="1"/>
  <c r="B50" i="1"/>
  <c r="B49" i="1"/>
  <c r="B47" i="1"/>
  <c r="B46" i="1"/>
  <c r="B30" i="1"/>
  <c r="C154" i="1" l="1"/>
  <c r="B109" i="1"/>
  <c r="B34" i="1"/>
  <c r="B80" i="1" l="1"/>
  <c r="B93" i="1"/>
  <c r="B96" i="1"/>
  <c r="B99" i="1"/>
  <c r="D9" i="5" l="1"/>
  <c r="D10" i="5"/>
  <c r="D18" i="5" l="1"/>
  <c r="D17" i="5"/>
  <c r="E26" i="5"/>
  <c r="D26" i="5"/>
  <c r="E9" i="5" l="1"/>
  <c r="E10" i="5"/>
  <c r="D24" i="5" s="1"/>
  <c r="D25" i="5" s="1"/>
  <c r="B66" i="1" l="1"/>
  <c r="B68" i="1" l="1"/>
  <c r="B69" i="1"/>
  <c r="B149" i="1" s="1"/>
  <c r="B103" i="1"/>
  <c r="B84" i="1"/>
  <c r="B87" i="1" l="1"/>
  <c r="B90" i="1" l="1"/>
  <c r="B37" i="1" l="1"/>
  <c r="B38" i="1" s="1"/>
  <c r="B39" i="1"/>
  <c r="C10" i="7" s="1"/>
  <c r="B162" i="1" l="1"/>
  <c r="L1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tc={FCED8561-97A0-4031-9535-4D4E474F0371}</author>
    <author>tc={79412B8B-79FC-48E1-B4E6-C442E8D2230F}</author>
    <author>tc={863B20B6-87B7-44CE-B579-F2D4E8E95006}</author>
  </authors>
  <commentList>
    <comment ref="A30" authorId="0" shapeId="0" xr:uid="{FCED8561-97A0-4031-9535-4D4E474F03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la feuille «Dimensions postes et pieux»</t>
      </text>
    </comment>
    <comment ref="A36" authorId="1" shapeId="0" xr:uid="{79412B8B-79FC-48E1-B4E6-C442E8D223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Global Cover Ratio = rampant / pitch
Indicateur communément utilisé dans le domaine du PV pour évaluer la part de surface sensible par rapport à la surface occupée par les panneaux
/!\ Valeur différente du taux de couverture au sens du décret agriPV /!\</t>
      </text>
    </comment>
    <comment ref="A161" authorId="2" shapeId="0" xr:uid="{863B20B6-87B7-44CE-B579-F2D4E8E950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Renseigner le PR et non pas le PR bifacial (plus faible pcq dénominateur plus grand)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tc={2D8C051B-2427-4420-BC45-4B5559149541}</author>
    <author>tc={E5CEF331-46E7-4F9A-B09A-CF474FF42A55}</author>
    <author>tc={FA5CE0F5-3942-4C26-A10D-445BD44EF444}</author>
  </authors>
  <commentList>
    <comment ref="G30" authorId="0" shapeId="0" xr:uid="{2D8C051B-2427-4420-BC45-4B555914954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Voir la feuille «Dimensions postes et pieux»</t>
      </text>
    </comment>
    <comment ref="G36" authorId="1" shapeId="0" xr:uid="{E5CEF331-46E7-4F9A-B09A-CF474FF42A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Global Cover Ratio = rampant / pitch
Indicateur communément utilisé dans le domaine du PV pour évaluer la part de surface sensible par rapport à la surface occupée par les panneaux
/!\ Valeur différente du taux de couverture au sens du décret agriPV /!\</t>
      </text>
    </comment>
    <comment ref="G161" authorId="2" shapeId="0" xr:uid="{FA5CE0F5-3942-4C26-A10D-445BD44EF4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Renseigner le PR et non pas le PR bifacial (plus faible pcq dénominateur plus grand)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tc={55237743-A92A-4115-83BB-965A3D8D925A}</author>
    <author>tc={15ED2B75-D32D-4C47-AB1E-FA9C64C6E6B6}</author>
  </authors>
  <commentList>
    <comment ref="C9" authorId="0" shapeId="0" xr:uid="{55237743-A92A-4115-83BB-965A3D8D92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0.007m² / pieu
Pieu foré béton sol fixe= 0.04m² / pieu
Ombrières = 0.09m² / pieu
Pieu foré béton Ombrières= 0.15m² / pieu</t>
      </text>
    </comment>
    <comment ref="C10" authorId="1" shapeId="0" xr:uid="{15ED2B75-D32D-4C47-AB1E-FA9C64C6E6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Sol fixe = 0.2m² / pieu
Ombrières = 0.45m² / pieu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tc={527C8BE7-D870-466E-9FA2-545670FB26F7}</author>
    <author>tc={A734083D-5AE9-49EF-A18C-D797F4AF171B}</author>
    <author>tc={9444B770-D7BE-48B9-B7CF-452D76FF528E}</author>
    <author>tc={42505B35-0AA4-4089-B94A-A71E23443950}</author>
    <author>tc={4D7CFCA3-82A1-454C-9CCD-5AD10335E54B}</author>
    <author>tc={2ED5283D-728D-4AF1-ACD9-2C1A9CB8D581}</author>
    <author>tc={377B48AB-49FD-4FC1-8C05-CCFC62B7561C}</author>
  </authors>
  <commentList>
    <comment ref="E9" authorId="0" shapeId="0" xr:uid="{527C8BE7-D870-466E-9FA2-545670FB26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F9" authorId="1" shapeId="0" xr:uid="{A734083D-5AE9-49EF-A18C-D797F4AF17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Respect taux de couverture 40%</t>
      </text>
    </comment>
    <comment ref="G9" authorId="2" shapeId="0" xr:uid="{9444B770-D7BE-48B9-B7CF-452D76FF528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Projet doit être inférieur à 9,5 MWc afin d’être en dessous des 40 000 m² --&gt; Dispense d’EIE </t>
      </text>
    </comment>
    <comment ref="K9" authorId="3" shapeId="0" xr:uid="{42505B35-0AA4-4089-B94A-A71E2344395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(7,5m)
</t>
      </text>
    </comment>
    <comment ref="L9" authorId="4" shapeId="0" xr:uid="{4D7CFCA3-82A1-454C-9CCD-5AD10335E54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Pitch (13m)</t>
      </text>
    </comment>
    <comment ref="E10" authorId="5" shapeId="0" xr:uid="{2ED5283D-728D-4AF1-ACD9-2C1A9CB8D58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  <comment ref="E11" authorId="6" shapeId="0" xr:uid="{377B48AB-49FD-4FC1-8C05-CCFC62B756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Charte FNO</t>
      </text>
    </comment>
  </commentList>
</comments>
</file>

<file path=xl/sharedStrings.xml><?xml version="1.0" encoding="utf-8"?>
<sst xmlns="http://schemas.openxmlformats.org/spreadsheetml/2006/main" count="602" uniqueCount="308">
  <si>
    <t xml:space="preserve">Phase </t>
  </si>
  <si>
    <t>Date (jj/mm/aaaa)</t>
  </si>
  <si>
    <t>Type d'activité</t>
  </si>
  <si>
    <t>Ovin</t>
  </si>
  <si>
    <t>Fixe</t>
  </si>
  <si>
    <t>Inclinaison (°)</t>
  </si>
  <si>
    <t>Azimut (°)</t>
  </si>
  <si>
    <t>Pitch (m)</t>
  </si>
  <si>
    <t>GCR (%)</t>
  </si>
  <si>
    <t>Taux de couverture (%)</t>
  </si>
  <si>
    <t>G12R</t>
  </si>
  <si>
    <t>Point bas (m)</t>
  </si>
  <si>
    <t>Point haut (m)</t>
  </si>
  <si>
    <t>Surface modules (m²)</t>
  </si>
  <si>
    <t>Surface module projetée au sol (m²)</t>
  </si>
  <si>
    <t>Puissance projet (MWc)</t>
  </si>
  <si>
    <t>Productible (h)</t>
  </si>
  <si>
    <t>Ratio perf (%)</t>
  </si>
  <si>
    <t>P50 (GWh/an)</t>
  </si>
  <si>
    <t>Format table</t>
  </si>
  <si>
    <t>Type de fondation</t>
  </si>
  <si>
    <t>Nb de mod/string</t>
  </si>
  <si>
    <t>Nb de mod/table</t>
  </si>
  <si>
    <t>Nb de mod en rampant</t>
  </si>
  <si>
    <t xml:space="preserve">Nb de mod en longueur </t>
  </si>
  <si>
    <t>Type d'onduleurs envisagés</t>
  </si>
  <si>
    <t>Nombre de PTR</t>
  </si>
  <si>
    <t>Nombre de PDL /PTR</t>
  </si>
  <si>
    <t>Surface bande à la terre (m²)</t>
  </si>
  <si>
    <t>Surface imperméabilisée (m²)</t>
  </si>
  <si>
    <t>Surface pieux (m²)</t>
  </si>
  <si>
    <t>Type de projet</t>
  </si>
  <si>
    <t>PV sol</t>
  </si>
  <si>
    <t>Ombrières</t>
  </si>
  <si>
    <t>Flottant</t>
  </si>
  <si>
    <t>Trackers</t>
  </si>
  <si>
    <t>Bovin</t>
  </si>
  <si>
    <t>Faisans</t>
  </si>
  <si>
    <t>Volailles</t>
  </si>
  <si>
    <t>Parking</t>
  </si>
  <si>
    <t>Orientation</t>
  </si>
  <si>
    <t>portrait</t>
  </si>
  <si>
    <t>paysage</t>
  </si>
  <si>
    <t>Types de tables (portrait = V, paysage = H)</t>
  </si>
  <si>
    <t>2V</t>
  </si>
  <si>
    <t>3V</t>
  </si>
  <si>
    <t>6V</t>
  </si>
  <si>
    <t>11V</t>
  </si>
  <si>
    <t>1V</t>
  </si>
  <si>
    <t>0,75 m</t>
  </si>
  <si>
    <t>Hauteur point bas</t>
  </si>
  <si>
    <t>N/A</t>
  </si>
  <si>
    <t>Hauteur point haut</t>
  </si>
  <si>
    <t>Poste de transformation - PTR</t>
  </si>
  <si>
    <t>-&gt; Onduleurs et transformateur dans le même poste</t>
  </si>
  <si>
    <t>Dimensions  (largeur x longueur x hauteur)</t>
  </si>
  <si>
    <t>10 x 3 x 3m</t>
  </si>
  <si>
    <t>Transformateur -  PT</t>
  </si>
  <si>
    <t>-&gt; Transformateur seul dans son poste</t>
  </si>
  <si>
    <t>6 x 3 x 3m</t>
  </si>
  <si>
    <t>Poste de livraison et de transformation - PDL/PTR</t>
  </si>
  <si>
    <t>-&gt;Transformateur et cellules d'arrivée Enedis dans le même poste</t>
  </si>
  <si>
    <t>12 x 3 x 3m</t>
  </si>
  <si>
    <t>Poste de livraison - PDL</t>
  </si>
  <si>
    <t>-&gt; Pas de transformateur dans le poste</t>
  </si>
  <si>
    <t>9 x 3 x 3m</t>
  </si>
  <si>
    <t>-&gt; Plus de limite de surface de plancher pour les DP</t>
  </si>
  <si>
    <t>Local de stockage matériel</t>
  </si>
  <si>
    <t>P&lt;=5MWc</t>
  </si>
  <si>
    <t>1 conteneur 20 pieds
6 x 3 x 3m</t>
  </si>
  <si>
    <t>P&gt;5MWc</t>
  </si>
  <si>
    <t>1 conteneur 40 pieds
12 x 3 x 3m</t>
  </si>
  <si>
    <t>P&gt;17MWc</t>
  </si>
  <si>
    <t>2 conteneurs 40 pieds
12 x 3 x 3m</t>
  </si>
  <si>
    <t>POUR TOUS LES PROJETS</t>
  </si>
  <si>
    <t>Conteneur 20 pieds (6x3x3m)</t>
  </si>
  <si>
    <t>PTR</t>
  </si>
  <si>
    <t>P&lt;=20MWc</t>
  </si>
  <si>
    <t>x4</t>
  </si>
  <si>
    <t>x2</t>
  </si>
  <si>
    <t>P&gt;20MWc</t>
  </si>
  <si>
    <t>x8</t>
  </si>
  <si>
    <t>Règles ICPE</t>
  </si>
  <si>
    <r>
      <t xml:space="preserve">Implantation à </t>
    </r>
    <r>
      <rPr>
        <b/>
        <sz val="11"/>
        <color theme="1"/>
        <rFont val="Calibri"/>
        <family val="2"/>
        <scheme val="minor"/>
      </rPr>
      <t>12m de la clôture</t>
    </r>
  </si>
  <si>
    <r>
      <t xml:space="preserve">Equipements espacés de </t>
    </r>
    <r>
      <rPr>
        <b/>
        <sz val="11"/>
        <color theme="1"/>
        <rFont val="Calibri"/>
        <family val="2"/>
        <scheme val="minor"/>
      </rPr>
      <t>7m les uns par rapport aux autres</t>
    </r>
  </si>
  <si>
    <t>PROJETS A ENJEUX</t>
  </si>
  <si>
    <t>1 conteneur 20 pieds et 1 PTR associé (capacité 5MWh)</t>
  </si>
  <si>
    <t>String</t>
  </si>
  <si>
    <t>Surface non-exploitable (%)</t>
  </si>
  <si>
    <t>Nombre de tables</t>
  </si>
  <si>
    <t>Inter-table (m)</t>
  </si>
  <si>
    <t>Données agriPV</t>
  </si>
  <si>
    <t>Logiciel</t>
  </si>
  <si>
    <t>Solargis</t>
  </si>
  <si>
    <t>Type de structure</t>
  </si>
  <si>
    <t>Structures PV</t>
  </si>
  <si>
    <t>Modules PV</t>
  </si>
  <si>
    <t xml:space="preserve">Format </t>
  </si>
  <si>
    <t>Puissance unitaire (Wc)</t>
  </si>
  <si>
    <t>Nombre installé</t>
  </si>
  <si>
    <t>Nombre de pieux</t>
  </si>
  <si>
    <t>Surface unitaire (m²)</t>
  </si>
  <si>
    <t>SYSTÈME PHOTOVOLTAÏQUE</t>
  </si>
  <si>
    <t>Surface clôturée (ha)</t>
  </si>
  <si>
    <t>Linéaire de clôture (m)</t>
  </si>
  <si>
    <t>Surface des PTR (m²)</t>
  </si>
  <si>
    <t>Surface des PDL/PTR (m²)</t>
  </si>
  <si>
    <t>Surface plateforme PTR (m²)</t>
  </si>
  <si>
    <t>Surface plateforme PDL/PTR (m²)</t>
  </si>
  <si>
    <t>Postes élec.</t>
  </si>
  <si>
    <t>Aire de charge (BESS)</t>
  </si>
  <si>
    <t>Nombre de conteneurs de batteries</t>
  </si>
  <si>
    <t>Surface des conteneurs (m²)</t>
  </si>
  <si>
    <t>Zone de remise (m²)</t>
  </si>
  <si>
    <t>Nombre de PTR associés</t>
  </si>
  <si>
    <t>Surface PTR associés</t>
  </si>
  <si>
    <t>Surface plateforme PTR associés (m²)</t>
  </si>
  <si>
    <t>Citerne de refroidissement (120m3)</t>
  </si>
  <si>
    <t>Nombre de locaux de stockage matériel</t>
  </si>
  <si>
    <t>Stockage matériel</t>
  </si>
  <si>
    <t>Citernes incendie</t>
  </si>
  <si>
    <t>Pistes de circulation</t>
  </si>
  <si>
    <t>Surface piste lourde externe (m²)</t>
  </si>
  <si>
    <t>Linéaire piste lourde externe (ml)</t>
  </si>
  <si>
    <t>Largeur piste lourde externe (m)</t>
  </si>
  <si>
    <t>Linéaire bande à la terre (ml)</t>
  </si>
  <si>
    <t>Largeur bande à la terre (m)</t>
  </si>
  <si>
    <t>Piste d'accès au site</t>
  </si>
  <si>
    <t>Surface piste d'accès (m²)</t>
  </si>
  <si>
    <t>Linéaire piste d'accès (ml)</t>
  </si>
  <si>
    <t>Largeur piste d'accès (m)</t>
  </si>
  <si>
    <t>Largeur des portails (m)</t>
  </si>
  <si>
    <t>Nombre de portails d'accès</t>
  </si>
  <si>
    <t>Nombre passage de fossé</t>
  </si>
  <si>
    <t>Surface impacté passage fossé (m²)</t>
  </si>
  <si>
    <t>POSTES ELEC. ET LOCAUX TECHNIQUES</t>
  </si>
  <si>
    <t>Surface locaux de stockage matériel (m²)</t>
  </si>
  <si>
    <t>TOTAL</t>
  </si>
  <si>
    <t>Surface piste enherbée (m²)</t>
  </si>
  <si>
    <t>Largeur piste enherbée (m)</t>
  </si>
  <si>
    <t>Linéaire piste enherbée (ml)</t>
  </si>
  <si>
    <t>Surface enjeux forts impactés (m²)</t>
  </si>
  <si>
    <t xml:space="preserve">Zones humides </t>
  </si>
  <si>
    <t>Surface ZH impactée (m²)</t>
  </si>
  <si>
    <t>Dont surface pieux (m²)</t>
  </si>
  <si>
    <t>Dont surface piste lourde (m²)</t>
  </si>
  <si>
    <t>Dont surface postes (m²)</t>
  </si>
  <si>
    <t>Dont surface projetée au sol modules (m²)</t>
  </si>
  <si>
    <t>PISTES ET DEFENSE INCENDIE</t>
  </si>
  <si>
    <t>AUTRES AMENAGEMENTES</t>
  </si>
  <si>
    <t>SURFACES IMPACTEES</t>
  </si>
  <si>
    <t>SIMULATION</t>
  </si>
  <si>
    <t>Distance à la berge min (m)</t>
  </si>
  <si>
    <t>Distance à la berge max (m)</t>
  </si>
  <si>
    <t>Aire de mise à l'eau SDIS (m²)</t>
  </si>
  <si>
    <t>Pieux battus</t>
  </si>
  <si>
    <t>Surface postes, stockage, batteries, citerne (m²)</t>
  </si>
  <si>
    <t>Surface plateformes, stockage, batteries, citerne (m²)</t>
  </si>
  <si>
    <t>Paysager</t>
  </si>
  <si>
    <t>Linéaire de haie supprimé (ml)</t>
  </si>
  <si>
    <t>Linéaire de haie à créer (ml)</t>
  </si>
  <si>
    <t xml:space="preserve">Parcelle 1 </t>
  </si>
  <si>
    <t xml:space="preserve">Parcelle 2 </t>
  </si>
  <si>
    <t>Surface PV  (m²)</t>
  </si>
  <si>
    <t>Surface pistes lourdes (m²)</t>
  </si>
  <si>
    <t xml:space="preserve">Taux de couverture (%) </t>
  </si>
  <si>
    <t>Surface cloturé parcelle (ha)</t>
  </si>
  <si>
    <t>Parcelle agricole (m²)</t>
  </si>
  <si>
    <t>Surface pieux + 20cm (m²)</t>
  </si>
  <si>
    <t>Surface conteneurs batteries (m²)</t>
  </si>
  <si>
    <t>Surface local de stockage matériel (m²)</t>
  </si>
  <si>
    <t>Total surface non exploitable (ha)</t>
  </si>
  <si>
    <t>Total surface non exploitable (%)</t>
  </si>
  <si>
    <t>Autre</t>
  </si>
  <si>
    <t>Fondations</t>
  </si>
  <si>
    <t>Surface citerne incendie (m²)</t>
  </si>
  <si>
    <t>Surface zone de remise (m²)</t>
  </si>
  <si>
    <t>Surface citerne de refroidissement (m²)</t>
  </si>
  <si>
    <t>GENERALITES</t>
  </si>
  <si>
    <t>Nombre de PDL</t>
  </si>
  <si>
    <t>Surface des PDL (m²)</t>
  </si>
  <si>
    <t>Surface plateforme PDL (m²)</t>
  </si>
  <si>
    <t>DONNEES AGRIVOLTAÏSME</t>
  </si>
  <si>
    <t>Bac de rétention (120m3)</t>
  </si>
  <si>
    <r>
      <rPr>
        <b/>
        <u/>
        <sz val="11"/>
        <color theme="1"/>
        <rFont val="Calibri"/>
        <family val="2"/>
        <scheme val="minor"/>
      </rPr>
      <t>Calcul de la surface non exploitable pour agriPV culture</t>
    </r>
    <r>
      <rPr>
        <sz val="11"/>
        <color theme="1"/>
        <rFont val="Calibri"/>
        <family val="2"/>
        <scheme val="minor"/>
      </rPr>
      <t xml:space="preserve">
Contacter la Chambre d'Agriculture pour connaître la formule à appliquer (par rapport à quelle surface ? Quel retrait par rapport aux pieux ?)
C'est au chef de projet de mofifier la formule de calcul dans l'Excel.</t>
    </r>
  </si>
  <si>
    <t>Surface plateforme batteries (m²)</t>
  </si>
  <si>
    <t>Dimensions  (longueur x largeur x hauteur)</t>
  </si>
  <si>
    <t>Conteneurs</t>
  </si>
  <si>
    <t>Citerne de refroidissement</t>
  </si>
  <si>
    <t>11,7 x 9,3 x 1 m</t>
  </si>
  <si>
    <t>Bac de rétention</t>
  </si>
  <si>
    <t>17,5 x 3 x 2,3 m</t>
  </si>
  <si>
    <t>Zone de remise</t>
  </si>
  <si>
    <t>Citerne incendie</t>
  </si>
  <si>
    <t>Volume [m3]</t>
  </si>
  <si>
    <t>7,95 x 4,44 x 1,3 m</t>
  </si>
  <si>
    <t>8,1 x 7,4 x 1,5 m</t>
  </si>
  <si>
    <t>10,4 x 18,5 x 1,6 m</t>
  </si>
  <si>
    <t>Compter une aire d'aspiration de 32m² (8 x 4m)</t>
  </si>
  <si>
    <t>Base vie</t>
  </si>
  <si>
    <t>P &lt;= 10MWc</t>
  </si>
  <si>
    <t>P &gt; 10MWc</t>
  </si>
  <si>
    <t>Type</t>
  </si>
  <si>
    <t>Projet</t>
  </si>
  <si>
    <t>Faisans / Volaille / Parking</t>
  </si>
  <si>
    <t>+20cm</t>
  </si>
  <si>
    <t>Pieux Forage/Battus</t>
  </si>
  <si>
    <t>Longrine</t>
  </si>
  <si>
    <t>Tracker</t>
  </si>
  <si>
    <t>Surface (m²)</t>
  </si>
  <si>
    <t>Surface plateforme (m²)</t>
  </si>
  <si>
    <t>Surface conseillée (m²)</t>
  </si>
  <si>
    <t>Surface piste lourde interne (m²)</t>
  </si>
  <si>
    <t>Nombre de citerne 60m3</t>
  </si>
  <si>
    <t>Nombre de citerne 120m3</t>
  </si>
  <si>
    <t>Nombre de citerne 30m3</t>
  </si>
  <si>
    <t>Nombre de citerne 240m3</t>
  </si>
  <si>
    <t>Largeur piste lourde interne (m)</t>
  </si>
  <si>
    <t>Linéaire piste lourde interne (ml)</t>
  </si>
  <si>
    <t>Surface citerne</t>
  </si>
  <si>
    <t>Surface aire d'aspiration</t>
  </si>
  <si>
    <t>Surface à défricher (m²)</t>
  </si>
  <si>
    <t>Nombre d'arbres coupés</t>
  </si>
  <si>
    <t>Nombre d'arbres plantés</t>
  </si>
  <si>
    <t>Surface de haie (m²)</t>
  </si>
  <si>
    <t>+270m²/2,5MWc</t>
  </si>
  <si>
    <t>+350m²/2,5MWc</t>
  </si>
  <si>
    <t>Zone de stockage</t>
  </si>
  <si>
    <t>Zone logistique</t>
  </si>
  <si>
    <t>1MWc</t>
  </si>
  <si>
    <t>Agri compatible</t>
  </si>
  <si>
    <t>Inclinaison</t>
  </si>
  <si>
    <t>Azimut</t>
  </si>
  <si>
    <t>90°</t>
  </si>
  <si>
    <t>7V</t>
  </si>
  <si>
    <t>Distance inter-table</t>
  </si>
  <si>
    <t xml:space="preserve">Setback </t>
  </si>
  <si>
    <t>15 m par rapport aux berges</t>
  </si>
  <si>
    <t>Format modules</t>
  </si>
  <si>
    <t>AgriPV élevage ou prairie</t>
  </si>
  <si>
    <t>AgriPV grande culture</t>
  </si>
  <si>
    <t>1H</t>
  </si>
  <si>
    <t>Surface piste lourde (m²)</t>
  </si>
  <si>
    <t>Surface piste enherbée interne (m²)</t>
  </si>
  <si>
    <t>Largeur piste enherbée interne (m)</t>
  </si>
  <si>
    <t>Linéaire piste enherbée interne (ml)</t>
  </si>
  <si>
    <t>Surface piste enherbée externe (m²)</t>
  </si>
  <si>
    <t>Largeur piste enherbée externe (m)</t>
  </si>
  <si>
    <t>Linéaire piste enherbée externe (ml)</t>
  </si>
  <si>
    <t>Nombre</t>
  </si>
  <si>
    <t>Supplément piste lourde (m²)</t>
  </si>
  <si>
    <t>Chantier</t>
  </si>
  <si>
    <t>Aire de stockage</t>
  </si>
  <si>
    <t>Impact ZH (temporaire) (m²)</t>
  </si>
  <si>
    <t>Impact enjeux biodiv (temporaire) (m²)</t>
  </si>
  <si>
    <t xml:space="preserve">Base vie </t>
  </si>
  <si>
    <t>Dont surface impactée par le chantier (m²)</t>
  </si>
  <si>
    <t>Aire de grutage (12mx15m)</t>
  </si>
  <si>
    <t>Aire de mise à l'eau (projet flottant)</t>
  </si>
  <si>
    <t>0°</t>
  </si>
  <si>
    <t>IND06</t>
  </si>
  <si>
    <t>APD</t>
  </si>
  <si>
    <t>2V13/2V6</t>
  </si>
  <si>
    <t>537 &amp; 59</t>
  </si>
  <si>
    <t>13 &amp; 6</t>
  </si>
  <si>
    <t>IND07</t>
  </si>
  <si>
    <t>485 &amp; 69</t>
  </si>
  <si>
    <t>IND08</t>
  </si>
  <si>
    <t>2V26/2V13</t>
  </si>
  <si>
    <t>13 &amp; 26</t>
  </si>
  <si>
    <t>2V26/2V6</t>
  </si>
  <si>
    <t>/</t>
  </si>
  <si>
    <t>265 &amp; 35</t>
  </si>
  <si>
    <t>Chargé de projet - dév :</t>
  </si>
  <si>
    <t>Chargé de projet - étude :</t>
  </si>
  <si>
    <t>NFE</t>
  </si>
  <si>
    <t>Design</t>
  </si>
  <si>
    <t>Pnom</t>
  </si>
  <si>
    <t>Performance Ratio (PR)</t>
  </si>
  <si>
    <t>Production (P50)</t>
  </si>
  <si>
    <t>Documents à disposition</t>
  </si>
  <si>
    <t>Topo Drone :</t>
  </si>
  <si>
    <t>DT :</t>
  </si>
  <si>
    <t>Plan de masse :</t>
  </si>
  <si>
    <t>Rés. Privés :</t>
  </si>
  <si>
    <t>Plan de coupe :</t>
  </si>
  <si>
    <t>Dép Ouvr GRD :</t>
  </si>
  <si>
    <t>PVSyst :</t>
  </si>
  <si>
    <t>Unifilaire :</t>
  </si>
  <si>
    <t>Module APD</t>
  </si>
  <si>
    <t>Dim (mm) :</t>
  </si>
  <si>
    <t>2382x1134x30</t>
  </si>
  <si>
    <t>Puissance :</t>
  </si>
  <si>
    <t>Techno :</t>
  </si>
  <si>
    <t>TopCon</t>
  </si>
  <si>
    <t>.pan :</t>
  </si>
  <si>
    <t>Date 1er Livraison :</t>
  </si>
  <si>
    <t>Projet Sarnois</t>
  </si>
  <si>
    <t>Productible PVSyst</t>
  </si>
  <si>
    <t>IND09</t>
  </si>
  <si>
    <t>Q3 2030</t>
  </si>
  <si>
    <t>PVsyst</t>
  </si>
  <si>
    <t>269 &amp; 27</t>
  </si>
  <si>
    <t>26/52</t>
  </si>
  <si>
    <t>IND10A</t>
  </si>
  <si>
    <t>84 &amp; 1</t>
  </si>
  <si>
    <t>IND10B</t>
  </si>
  <si>
    <t>79 &amp;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</si>
</sst>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"/>
    <numFmt numFmtId="165" formatCode="#,##0.0"/>
    <numFmt numFmtId="166" formatCode="#,##0.00&quot; MWc&quot;"/>
    <numFmt numFmtId="167" formatCode="0&quot; h&quot;"/>
    <numFmt numFmtId="168" formatCode="#,##0.00&quot; GWh/an&quot;"/>
    <numFmt numFmtId="169" formatCode="0&quot; Wc&quot;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8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1"/>
      <color theme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Up">
        <fgColor theme="1" tint="0.24994659260841701"/>
        <bgColor theme="0" tint="-0.249977111117893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8"/>
      </left>
      <right/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7" fillId="5" borderId="15" applyNumberFormat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3" fontId="1" fillId="0" borderId="0" applyFont="0" applyFill="0" applyBorder="0" applyAlignment="0" applyProtection="0"/>
  </cellStyleXfs>
  <cellXfs count="2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 vertical="center"/>
    </xf>
    <xf numFmtId="0" fontId="2" fillId="2" borderId="0" xfId="0" applyFont="1" applyFill="1"/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0" fillId="0" borderId="0" xfId="0" quotePrefix="1"/>
    <xf numFmtId="0" fontId="1" fillId="7" borderId="1" xfId="4" applyBorder="1" applyAlignment="1">
      <alignment wrapText="1"/>
    </xf>
    <xf numFmtId="0" fontId="1" fillId="7" borderId="1" xfId="4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1" fillId="7" borderId="1" xfId="4" applyBorder="1" applyAlignment="1">
      <alignment horizontal="center" vertical="center" wrapText="1"/>
    </xf>
    <xf numFmtId="0" fontId="1" fillId="7" borderId="1" xfId="4" applyBorder="1" applyAlignment="1">
      <alignment horizontal="center" vertical="center"/>
    </xf>
    <xf numFmtId="0" fontId="1" fillId="6" borderId="1" xfId="3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9" fillId="2" borderId="0" xfId="0" applyFont="1" applyFill="1"/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0" fontId="12" fillId="0" borderId="1" xfId="0" applyFont="1" applyBorder="1" applyAlignment="1">
      <alignment horizontal="center" vertical="center"/>
    </xf>
    <xf numFmtId="0" fontId="7" fillId="5" borderId="15" xfId="2" applyAlignment="1">
      <alignment horizontal="center"/>
    </xf>
    <xf numFmtId="0" fontId="0" fillId="0" borderId="20" xfId="0" applyBorder="1"/>
    <xf numFmtId="0" fontId="1" fillId="7" borderId="4" xfId="4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7" borderId="1" xfId="4" applyBorder="1" applyAlignment="1">
      <alignment horizontal="left" vertical="center" wrapText="1"/>
    </xf>
    <xf numFmtId="0" fontId="1" fillId="7" borderId="1" xfId="4" applyBorder="1" applyAlignment="1">
      <alignment vertical="center" wrapText="1"/>
    </xf>
    <xf numFmtId="0" fontId="7" fillId="5" borderId="16" xfId="2" applyBorder="1"/>
    <xf numFmtId="0" fontId="0" fillId="0" borderId="1" xfId="0" quotePrefix="1" applyBorder="1"/>
    <xf numFmtId="0" fontId="1" fillId="7" borderId="4" xfId="4" applyBorder="1" applyAlignment="1">
      <alignment wrapText="1"/>
    </xf>
    <xf numFmtId="0" fontId="1" fillId="7" borderId="4" xfId="4" applyBorder="1" applyAlignment="1">
      <alignment vertical="center"/>
    </xf>
    <xf numFmtId="0" fontId="1" fillId="7" borderId="4" xfId="4" applyBorder="1" applyAlignment="1">
      <alignment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2" fillId="8" borderId="0" xfId="0" applyFont="1" applyFill="1" applyProtection="1">
      <protection locked="0"/>
    </xf>
    <xf numFmtId="0" fontId="10" fillId="8" borderId="0" xfId="0" applyFont="1" applyFill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4" fontId="9" fillId="0" borderId="0" xfId="0" applyNumberFormat="1" applyFont="1" applyAlignment="1" applyProtection="1">
      <alignment horizontal="center" vertical="center"/>
      <protection locked="0"/>
    </xf>
    <xf numFmtId="0" fontId="9" fillId="8" borderId="0" xfId="0" applyFont="1" applyFill="1" applyProtection="1"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49" fontId="8" fillId="0" borderId="4" xfId="0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0" fontId="9" fillId="2" borderId="0" xfId="0" applyFont="1" applyFill="1" applyProtection="1"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8" fillId="0" borderId="19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3" fontId="9" fillId="0" borderId="6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3" fontId="8" fillId="0" borderId="6" xfId="0" applyNumberFormat="1" applyFont="1" applyBorder="1" applyAlignment="1" applyProtection="1">
      <alignment horizontal="center" vertical="center"/>
      <protection locked="0"/>
    </xf>
    <xf numFmtId="4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18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 wrapText="1"/>
      <protection locked="0"/>
    </xf>
    <xf numFmtId="3" fontId="9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3" fontId="9" fillId="0" borderId="2" xfId="0" applyNumberFormat="1" applyFont="1" applyBorder="1" applyAlignment="1" applyProtection="1">
      <alignment horizontal="center" vertical="center"/>
      <protection locked="0"/>
    </xf>
    <xf numFmtId="9" fontId="9" fillId="0" borderId="3" xfId="1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3" fontId="9" fillId="0" borderId="4" xfId="0" applyNumberFormat="1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4" fontId="8" fillId="9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/>
      <protection locked="0"/>
    </xf>
    <xf numFmtId="3" fontId="9" fillId="0" borderId="2" xfId="0" applyNumberFormat="1" applyFon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3" fontId="9" fillId="0" borderId="3" xfId="0" applyNumberFormat="1" applyFont="1" applyBorder="1" applyAlignment="1" applyProtection="1">
      <alignment horizontal="center"/>
      <protection locked="0"/>
    </xf>
    <xf numFmtId="3" fontId="9" fillId="0" borderId="4" xfId="0" quotePrefix="1" applyNumberFormat="1" applyFont="1" applyBorder="1" applyAlignment="1" applyProtection="1">
      <alignment horizontal="center" vertical="center"/>
      <protection locked="0"/>
    </xf>
    <xf numFmtId="3" fontId="9" fillId="0" borderId="2" xfId="0" quotePrefix="1" applyNumberFormat="1" applyFont="1" applyBorder="1" applyAlignment="1" applyProtection="1">
      <alignment horizontal="center" vertical="center"/>
      <protection locked="0"/>
    </xf>
    <xf numFmtId="3" fontId="9" fillId="0" borderId="18" xfId="0" quotePrefix="1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9" fillId="0" borderId="0" xfId="0" applyFont="1" applyProtection="1"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1" fontId="9" fillId="0" borderId="18" xfId="0" applyNumberFormat="1" applyFont="1" applyBorder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3" fontId="8" fillId="0" borderId="4" xfId="0" applyNumberFormat="1" applyFont="1" applyBorder="1" applyAlignment="1" applyProtection="1">
      <alignment horizontal="center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3" fontId="8" fillId="0" borderId="3" xfId="0" applyNumberFormat="1" applyFont="1" applyBorder="1" applyAlignment="1" applyProtection="1">
      <alignment horizontal="center"/>
      <protection locked="0"/>
    </xf>
    <xf numFmtId="3" fontId="8" fillId="0" borderId="4" xfId="0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10" fontId="9" fillId="0" borderId="2" xfId="1" applyNumberFormat="1" applyFont="1" applyBorder="1" applyAlignment="1" applyProtection="1">
      <alignment horizontal="center" vertical="center"/>
      <protection locked="0"/>
    </xf>
    <xf numFmtId="2" fontId="9" fillId="0" borderId="3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3" fontId="9" fillId="0" borderId="3" xfId="0" applyNumberFormat="1" applyFont="1" applyBorder="1" applyAlignment="1">
      <alignment horizontal="center"/>
    </xf>
    <xf numFmtId="0" fontId="3" fillId="0" borderId="5" xfId="0" applyFont="1" applyBorder="1" applyAlignment="1" applyProtection="1">
      <alignment horizontal="left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3" fontId="8" fillId="0" borderId="19" xfId="0" applyNumberFormat="1" applyFont="1" applyBorder="1" applyAlignment="1" applyProtection="1">
      <alignment horizontal="center" vertical="center"/>
      <protection locked="0"/>
    </xf>
    <xf numFmtId="3" fontId="9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vertical="center"/>
      <protection locked="0"/>
    </xf>
    <xf numFmtId="0" fontId="9" fillId="0" borderId="18" xfId="0" applyFont="1" applyBorder="1" applyAlignment="1" applyProtection="1">
      <alignment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1" fontId="9" fillId="0" borderId="0" xfId="0" applyNumberFormat="1" applyFont="1" applyAlignment="1" applyProtection="1">
      <alignment horizontal="center" vertical="center"/>
      <protection locked="0"/>
    </xf>
    <xf numFmtId="14" fontId="4" fillId="0" borderId="18" xfId="0" applyNumberFormat="1" applyFont="1" applyBorder="1" applyAlignment="1" applyProtection="1">
      <alignment horizontal="center" vertical="center"/>
      <protection locked="0"/>
    </xf>
    <xf numFmtId="165" fontId="9" fillId="0" borderId="6" xfId="0" applyNumberFormat="1" applyFont="1" applyBorder="1" applyAlignment="1" applyProtection="1">
      <alignment horizontal="center"/>
      <protection locked="0"/>
    </xf>
    <xf numFmtId="9" fontId="8" fillId="0" borderId="19" xfId="0" applyNumberFormat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24" xfId="0" applyFill="1" applyBorder="1" applyAlignment="1">
      <alignment vertical="center"/>
    </xf>
    <xf numFmtId="0" fontId="0" fillId="4" borderId="25" xfId="0" applyFill="1" applyBorder="1" applyAlignment="1">
      <alignment vertical="center"/>
    </xf>
    <xf numFmtId="0" fontId="0" fillId="4" borderId="26" xfId="0" applyFill="1" applyBorder="1" applyAlignment="1">
      <alignment vertical="center"/>
    </xf>
    <xf numFmtId="0" fontId="0" fillId="4" borderId="27" xfId="0" applyFill="1" applyBorder="1" applyAlignment="1">
      <alignment vertical="center"/>
    </xf>
    <xf numFmtId="0" fontId="14" fillId="4" borderId="28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0" xfId="0" applyFont="1" applyFill="1" applyAlignment="1">
      <alignment horizontal="center" vertical="center"/>
    </xf>
    <xf numFmtId="0" fontId="0" fillId="4" borderId="28" xfId="0" applyFill="1" applyBorder="1" applyAlignment="1">
      <alignment vertical="center"/>
    </xf>
    <xf numFmtId="0" fontId="15" fillId="11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5" fillId="11" borderId="18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left" vertical="center"/>
    </xf>
    <xf numFmtId="0" fontId="16" fillId="4" borderId="28" xfId="0" applyFont="1" applyFill="1" applyBorder="1" applyAlignment="1">
      <alignment vertical="center"/>
    </xf>
    <xf numFmtId="4" fontId="19" fillId="4" borderId="0" xfId="0" applyNumberFormat="1" applyFont="1" applyFill="1" applyAlignment="1">
      <alignment vertical="center"/>
    </xf>
    <xf numFmtId="4" fontId="19" fillId="4" borderId="0" xfId="0" applyNumberFormat="1" applyFont="1" applyFill="1" applyAlignment="1">
      <alignment horizontal="center" vertical="center"/>
    </xf>
    <xf numFmtId="4" fontId="0" fillId="4" borderId="0" xfId="0" applyNumberFormat="1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vertical="center"/>
    </xf>
    <xf numFmtId="0" fontId="0" fillId="4" borderId="28" xfId="0" applyFill="1" applyBorder="1" applyAlignment="1">
      <alignment horizontal="center" vertical="center"/>
    </xf>
    <xf numFmtId="0" fontId="15" fillId="12" borderId="20" xfId="0" applyFont="1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11" borderId="20" xfId="0" applyFill="1" applyBorder="1" applyAlignment="1">
      <alignment vertical="center"/>
    </xf>
    <xf numFmtId="169" fontId="3" fillId="4" borderId="20" xfId="0" applyNumberFormat="1" applyFont="1" applyFill="1" applyBorder="1" applyAlignment="1">
      <alignment horizontal="center" vertical="center"/>
    </xf>
    <xf numFmtId="0" fontId="0" fillId="4" borderId="31" xfId="0" applyFill="1" applyBorder="1" applyAlignment="1">
      <alignment vertical="center"/>
    </xf>
    <xf numFmtId="0" fontId="0" fillId="4" borderId="32" xfId="0" applyFill="1" applyBorder="1" applyAlignment="1">
      <alignment horizontal="center" vertical="center"/>
    </xf>
    <xf numFmtId="0" fontId="0" fillId="4" borderId="32" xfId="0" applyFill="1" applyBorder="1" applyAlignment="1">
      <alignment vertical="center"/>
    </xf>
    <xf numFmtId="0" fontId="0" fillId="4" borderId="14" xfId="0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vertical="center"/>
    </xf>
    <xf numFmtId="0" fontId="11" fillId="11" borderId="20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horizontal="center" vertical="center" wrapText="1"/>
    </xf>
    <xf numFmtId="0" fontId="2" fillId="8" borderId="1" xfId="0" applyFont="1" applyFill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Protection="1"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2" fillId="2" borderId="1" xfId="0" applyFont="1" applyFill="1" applyBorder="1" applyProtection="1"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/>
    <xf numFmtId="0" fontId="0" fillId="3" borderId="8" xfId="0" applyFill="1" applyBorder="1" applyAlignment="1">
      <alignment horizontal="left" vertical="center" wrapText="1"/>
    </xf>
    <xf numFmtId="0" fontId="0" fillId="3" borderId="9" xfId="0" applyFill="1" applyBorder="1" applyAlignment="1">
      <alignment horizontal="left" vertical="center" wrapText="1"/>
    </xf>
    <xf numFmtId="0" fontId="0" fillId="0" borderId="21" xfId="1" applyNumberFormat="1" applyFont="1" applyBorder="1" applyAlignment="1">
      <alignment horizontal="center" vertical="center"/>
    </xf>
    <xf numFmtId="0" fontId="0" fillId="0" borderId="23" xfId="1" applyNumberFormat="1" applyFon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9" fontId="11" fillId="0" borderId="22" xfId="1" applyFont="1" applyBorder="1" applyAlignment="1">
      <alignment horizontal="center" vertical="center"/>
    </xf>
    <xf numFmtId="9" fontId="11" fillId="0" borderId="0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7" fillId="5" borderId="15" xfId="2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10" borderId="0" xfId="0" applyFill="1" applyAlignment="1">
      <alignment horizontal="left"/>
    </xf>
    <xf numFmtId="0" fontId="7" fillId="5" borderId="16" xfId="2" applyBorder="1" applyAlignment="1">
      <alignment horizontal="center"/>
    </xf>
    <xf numFmtId="0" fontId="7" fillId="5" borderId="1" xfId="2" applyBorder="1" applyAlignment="1">
      <alignment horizontal="center"/>
    </xf>
    <xf numFmtId="0" fontId="21" fillId="4" borderId="5" xfId="0" applyFont="1" applyFill="1" applyBorder="1" applyAlignment="1">
      <alignment horizontal="center" vertical="center"/>
    </xf>
    <xf numFmtId="0" fontId="21" fillId="4" borderId="30" xfId="0" applyFont="1" applyFill="1" applyBorder="1" applyAlignment="1">
      <alignment horizontal="center" vertical="center"/>
    </xf>
    <xf numFmtId="0" fontId="21" fillId="4" borderId="20" xfId="0" applyFont="1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0" xfId="0" applyFill="1" applyBorder="1" applyAlignment="1">
      <alignment horizontal="center" vertical="center"/>
    </xf>
    <xf numFmtId="166" fontId="19" fillId="4" borderId="0" xfId="5" applyNumberFormat="1" applyFont="1" applyFill="1" applyBorder="1" applyAlignment="1">
      <alignment horizontal="center" vertical="center"/>
    </xf>
    <xf numFmtId="167" fontId="19" fillId="4" borderId="0" xfId="0" applyNumberFormat="1" applyFont="1" applyFill="1" applyAlignment="1">
      <alignment horizontal="center" vertical="center"/>
    </xf>
    <xf numFmtId="10" fontId="19" fillId="4" borderId="0" xfId="1" applyNumberFormat="1" applyFont="1" applyFill="1" applyBorder="1" applyAlignment="1">
      <alignment horizontal="center" vertical="center"/>
    </xf>
    <xf numFmtId="168" fontId="19" fillId="4" borderId="0" xfId="0" applyNumberFormat="1" applyFont="1" applyFill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19" xfId="0" applyFont="1" applyFill="1" applyBorder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 vertical="center"/>
    </xf>
    <xf numFmtId="0" fontId="0" fillId="4" borderId="23" xfId="0" applyFill="1" applyBorder="1" applyAlignment="1">
      <alignment horizontal="left" vertical="center"/>
    </xf>
    <xf numFmtId="0" fontId="0" fillId="4" borderId="17" xfId="0" applyFill="1" applyBorder="1" applyAlignment="1">
      <alignment horizontal="left" vertical="center"/>
    </xf>
    <xf numFmtId="0" fontId="0" fillId="4" borderId="29" xfId="0" applyFill="1" applyBorder="1" applyAlignment="1">
      <alignment horizontal="left" vertical="center"/>
    </xf>
    <xf numFmtId="0" fontId="18" fillId="4" borderId="33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/>
    </xf>
  </cellXfs>
  <cellStyles count="6">
    <cellStyle name="40 % - Accent2" xfId="3" builtinId="35"/>
    <cellStyle name="60 % - Accent2" xfId="4" builtinId="36"/>
    <cellStyle name="Milliers" xfId="5" builtinId="3"/>
    <cellStyle name="Normal" xfId="0" builtinId="0"/>
    <cellStyle name="Pourcentage" xfId="1" builtinId="5"/>
    <cellStyle name="Vérification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116205</xdr:colOff>
      <xdr:row>5</xdr:row>
      <xdr:rowOff>100965</xdr:rowOff>
    </xdr:from>
    <xdr:to>
      <xdr:col>12</xdr:col>
      <xdr:colOff>76857</xdr:colOff>
      <xdr:row>20</xdr:row>
      <xdr:rowOff>139449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0198EC5-94C3-8ED3-8D9C-93808E20A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7955" y="1005840"/>
          <a:ext cx="4704102" cy="2753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289561</xdr:colOff>
      <xdr:row>10</xdr:row>
      <xdr:rowOff>175260</xdr:rowOff>
    </xdr:from>
    <xdr:to>
      <xdr:col>8</xdr:col>
      <xdr:colOff>51883</xdr:colOff>
      <xdr:row>28</xdr:row>
      <xdr:rowOff>87404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3480253D-4454-459D-B2C6-90ACEB6B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3961" y="2385060"/>
          <a:ext cx="4197162" cy="4065044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0" dT="2026-01-27T10:54:41.55" personId="{00000000-0000-0000-0000-000000000000}" id="{FCED8561-97A0-4031-9535-4D4E474F0371}">
    <text>Voir la feuille «Dimensions postes et pieux»</text>
  </threadedComment>
  <threadedComment ref="A36" dT="2025-09-26T12:24:04.54" personId="{00000000-0000-0000-0000-000000000000}" id="{79412B8B-79FC-48E1-B4E6-C442E8D2230F}">
    <text>Global Cover Ratio = rampant / pitch
Indicateur communément utilisé dans le domaine du PV pour évaluer la part de surface sensible par rapport à la surface occupée par les panneaux
/!\ Valeur différente du taux de couverture au sens du décret agriPV /!\</text>
  </threadedComment>
  <threadedComment ref="A161" dT="2025-10-13T08:18:10.51" personId="{00000000-0000-0000-0000-000000000000}" id="{863B20B6-87B7-44CE-B579-F2D4E8E95006}">
    <text>Renseigner le PR et non pas le PR bifacial (plus faible pcq dénominateur plus grand)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0" dT="2026-01-27T10:54:41.55" personId="{00000000-0000-0000-0000-000000000000}" id="{2D8C051B-2427-4420-BC45-4B5559149541}">
    <text>Voir la feuille «Dimensions postes et pieux»</text>
  </threadedComment>
  <threadedComment ref="G36" dT="2025-09-26T12:24:04.54" personId="{00000000-0000-0000-0000-000000000000}" id="{E5CEF331-46E7-4F9A-B09A-CF474FF42A55}">
    <text>Global Cover Ratio = rampant / pitch
Indicateur communément utilisé dans le domaine du PV pour évaluer la part de surface sensible par rapport à la surface occupée par les panneaux
/!\ Valeur différente du taux de couverture au sens du décret agriPV /!\</text>
  </threadedComment>
  <threadedComment ref="G161" dT="2025-10-13T08:18:10.51" personId="{00000000-0000-0000-0000-000000000000}" id="{FA5CE0F5-3942-4C26-A10D-445BD44EF444}">
    <text>Renseigner le PR et non pas le PR bifacial (plus faible pcq dénominateur plus grand)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9" dT="2025-11-12T15:14:31.79" personId="{00000000-0000-0000-0000-000000000000}" id="{55237743-A92A-4115-83BB-965A3D8D925A}">
    <text>Sol fixe = 0.007m² / pieu
Pieu foré béton sol fixe= 0.04m² / pieu
Ombrières = 0.09m² / pieu
Pieu foré béton Ombrières= 0.15m² / pieu</text>
  </threadedComment>
  <threadedComment ref="C10" dT="2025-11-12T15:13:13.97" personId="{00000000-0000-0000-0000-000000000000}" id="{15ED2B75-D32D-4C47-AB1E-FA9C64C6E6B6}">
    <text>Sol fixe = 0.2m² / pieu
Ombrières = 0.45m² / pieu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9" dT="2025-01-03T08:23:57.61" personId="{00000000-0000-0000-0000-000000000000}" id="{527C8BE7-D870-466E-9FA2-545670FB26F7}">
    <text>Respect taux de couverture 40%</text>
  </threadedComment>
  <threadedComment ref="F9" dT="2025-01-03T08:24:12.40" personId="{00000000-0000-0000-0000-000000000000}" id="{A734083D-5AE9-49EF-A18C-D797F4AF171B}">
    <text>Respect taux de couverture 40%</text>
  </threadedComment>
  <threadedComment ref="G9" dT="2025-04-10T13:52:37.99" personId="{00000000-0000-0000-0000-000000000000}" id="{9444B770-D7BE-48B9-B7CF-452D76FF528E}">
    <text xml:space="preserve">Projet doit être inférieur à 9,5 MWc afin d’être en dessous des 40 000 m² --&gt; Dispense d’EIE </text>
  </threadedComment>
  <threadedComment ref="K9" dT="2025-08-01T08:47:57.27" personId="{00000000-0000-0000-0000-000000000000}" id="{42505B35-0AA4-4089-B94A-A71E23443950}">
    <text xml:space="preserve">Pitch (7,5m)
</text>
  </threadedComment>
  <threadedComment ref="L9" dT="2025-08-01T08:47:43.71" personId="{00000000-0000-0000-0000-000000000000}" id="{4D7CFCA3-82A1-454C-9CCD-5AD10335E54B}">
    <text>Pitch (13m)</text>
  </threadedComment>
  <threadedComment ref="E10" dT="2025-01-03T08:24:21.93" personId="{00000000-0000-0000-0000-000000000000}" id="{2ED5283D-728D-4AF1-ACD9-2C1A9CB8D581}">
    <text>Charte FNO</text>
  </threadedComment>
  <threadedComment ref="E11" dT="2025-01-03T08:24:21.93" personId="{00000000-0000-0000-0000-000000000000}" id="{377B48AB-49FD-4FC1-8C05-CCFC62B7561C}">
    <text>Charte FNO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showGridLines="0" zoomScale="85" zoomScaleNormal="85" workbookViewId="0">
      <selection activeCell="F1" sqref="F1:F162"/>
    </sheetView>
  </sheetViews>
  <sheetFormatPr baseColWidth="10" defaultColWidth="9.08984375" defaultRowHeight="14.5" x14ac:dyDescent="0.35"/>
  <cols>
    <col min="1" max="1" width="50.08984375" style="47" customWidth="1"/>
    <col min="2" max="7" width="29.08984375" style="99" bestFit="1" customWidth="1"/>
    <col min="8" max="16384" width="9.08984375" style="47"/>
  </cols>
  <sheetData>
    <row r="1" spans="1:7" ht="18.5" x14ac:dyDescent="0.45">
      <c r="A1" s="45" t="s">
        <v>297</v>
      </c>
      <c r="B1" s="46" t="s">
        <v>260</v>
      </c>
      <c r="C1" s="46" t="s">
        <v>265</v>
      </c>
      <c r="D1" s="46" t="s">
        <v>267</v>
      </c>
      <c r="E1" s="46" t="s">
        <v>299</v>
      </c>
      <c r="F1" s="46" t="s">
        <v>304</v>
      </c>
      <c r="G1" s="46" t="s">
        <v>306</v>
      </c>
    </row>
    <row r="2" spans="1:7" x14ac:dyDescent="0.35">
      <c r="A2" s="48" t="s">
        <v>0</v>
      </c>
      <c r="B2" s="49" t="s">
        <v>261</v>
      </c>
      <c r="C2" s="49" t="s">
        <v>261</v>
      </c>
      <c r="D2" s="49" t="s">
        <v>261</v>
      </c>
      <c r="E2" s="49" t="s">
        <v>261</v>
      </c>
      <c r="F2" s="49" t="s">
        <v>261</v>
      </c>
      <c r="G2" s="49" t="s">
        <v>261</v>
      </c>
    </row>
    <row r="3" spans="1:7" x14ac:dyDescent="0.35">
      <c r="A3" s="50" t="s">
        <v>1</v>
      </c>
      <c r="B3" s="130">
        <v>46153</v>
      </c>
      <c r="C3" s="130">
        <v>46154</v>
      </c>
      <c r="D3" s="130">
        <v>46168</v>
      </c>
      <c r="E3" s="130">
        <v>46225</v>
      </c>
      <c r="F3" s="130">
        <v>46261</v>
      </c>
      <c r="G3" s="130">
        <v>46261</v>
      </c>
    </row>
    <row r="5" spans="1:7" x14ac:dyDescent="0.35">
      <c r="A5" s="51"/>
      <c r="B5" s="52"/>
      <c r="C5" s="52"/>
      <c r="D5" s="52"/>
      <c r="E5" s="52"/>
      <c r="F5" s="52"/>
      <c r="G5" s="52"/>
    </row>
    <row r="6" spans="1:7" x14ac:dyDescent="0.35">
      <c r="A6" s="45" t="s">
        <v>178</v>
      </c>
      <c r="B6" s="53"/>
      <c r="C6" s="53"/>
      <c r="D6" s="53"/>
      <c r="E6" s="53"/>
      <c r="F6" s="53"/>
      <c r="G6" s="53"/>
    </row>
    <row r="7" spans="1:7" x14ac:dyDescent="0.35">
      <c r="A7" s="54" t="s">
        <v>31</v>
      </c>
      <c r="B7" s="55" t="s">
        <v>3</v>
      </c>
      <c r="C7" s="55" t="s">
        <v>3</v>
      </c>
      <c r="D7" s="55" t="s">
        <v>3</v>
      </c>
      <c r="E7" s="55" t="s">
        <v>3</v>
      </c>
      <c r="F7" s="55" t="s">
        <v>3</v>
      </c>
      <c r="G7" s="55" t="s">
        <v>3</v>
      </c>
    </row>
    <row r="8" spans="1:7" x14ac:dyDescent="0.35">
      <c r="A8" s="56" t="s">
        <v>103</v>
      </c>
      <c r="B8" s="57">
        <v>12.99</v>
      </c>
      <c r="C8" s="57">
        <v>12.93</v>
      </c>
      <c r="D8" s="57">
        <v>12.93</v>
      </c>
      <c r="E8" s="57">
        <v>12.93</v>
      </c>
      <c r="F8" s="57">
        <v>4.87</v>
      </c>
      <c r="G8" s="57">
        <v>3.48</v>
      </c>
    </row>
    <row r="9" spans="1:7" x14ac:dyDescent="0.35">
      <c r="A9" s="58" t="s">
        <v>104</v>
      </c>
      <c r="B9" s="58">
        <v>1805</v>
      </c>
      <c r="C9" s="58">
        <v>1800</v>
      </c>
      <c r="D9" s="58">
        <v>1802</v>
      </c>
      <c r="E9" s="58">
        <v>1803</v>
      </c>
      <c r="F9" s="58">
        <v>949</v>
      </c>
      <c r="G9" s="58">
        <v>738</v>
      </c>
    </row>
    <row r="10" spans="1:7" x14ac:dyDescent="0.35">
      <c r="A10" s="56" t="s">
        <v>132</v>
      </c>
      <c r="B10" s="59">
        <v>2</v>
      </c>
      <c r="C10" s="59">
        <v>2</v>
      </c>
      <c r="D10" s="59">
        <v>2</v>
      </c>
      <c r="E10" s="59">
        <v>2</v>
      </c>
      <c r="F10" s="59">
        <v>1</v>
      </c>
      <c r="G10" s="59">
        <v>1</v>
      </c>
    </row>
    <row r="11" spans="1:7" x14ac:dyDescent="0.35">
      <c r="A11" s="58" t="s">
        <v>131</v>
      </c>
      <c r="B11" s="60">
        <v>7</v>
      </c>
      <c r="C11" s="60">
        <v>7</v>
      </c>
      <c r="D11" s="60">
        <v>7</v>
      </c>
      <c r="E11" s="60">
        <v>7</v>
      </c>
      <c r="F11" s="60">
        <v>7</v>
      </c>
      <c r="G11" s="60">
        <v>7</v>
      </c>
    </row>
    <row r="13" spans="1:7" x14ac:dyDescent="0.35">
      <c r="A13" s="45" t="s">
        <v>102</v>
      </c>
      <c r="B13" s="53"/>
      <c r="C13" s="53"/>
      <c r="D13" s="53"/>
      <c r="E13" s="53"/>
      <c r="F13" s="53"/>
      <c r="G13" s="53"/>
    </row>
    <row r="14" spans="1:7" x14ac:dyDescent="0.35">
      <c r="A14" s="61" t="s">
        <v>95</v>
      </c>
      <c r="B14" s="62"/>
      <c r="C14" s="62"/>
      <c r="D14" s="62"/>
      <c r="E14" s="62"/>
      <c r="F14" s="62"/>
      <c r="G14" s="62"/>
    </row>
    <row r="15" spans="1:7" x14ac:dyDescent="0.35">
      <c r="A15" s="63" t="s">
        <v>94</v>
      </c>
      <c r="B15" s="64" t="s">
        <v>4</v>
      </c>
      <c r="C15" s="64" t="s">
        <v>4</v>
      </c>
      <c r="D15" s="64" t="s">
        <v>4</v>
      </c>
      <c r="E15" s="64" t="s">
        <v>4</v>
      </c>
      <c r="F15" s="64" t="s">
        <v>4</v>
      </c>
      <c r="G15" s="64" t="s">
        <v>4</v>
      </c>
    </row>
    <row r="16" spans="1:7" x14ac:dyDescent="0.35">
      <c r="A16" s="65" t="s">
        <v>19</v>
      </c>
      <c r="B16" s="66" t="s">
        <v>262</v>
      </c>
      <c r="C16" s="66" t="s">
        <v>270</v>
      </c>
      <c r="D16" s="66" t="s">
        <v>268</v>
      </c>
      <c r="E16" s="66" t="s">
        <v>268</v>
      </c>
      <c r="F16" s="66" t="s">
        <v>268</v>
      </c>
      <c r="G16" s="66" t="s">
        <v>268</v>
      </c>
    </row>
    <row r="17" spans="1:7" x14ac:dyDescent="0.35">
      <c r="A17" s="67" t="s">
        <v>5</v>
      </c>
      <c r="B17" s="66">
        <f>HLOOKUP($B$7,'Standards UNITe'!$C$3:$L$8,3,0)</f>
        <v>25</v>
      </c>
      <c r="C17" s="66">
        <f>HLOOKUP($B$7,'Standards UNITe'!$C$3:$L$8,3,0)</f>
        <v>25</v>
      </c>
      <c r="D17" s="66">
        <f>HLOOKUP($B$7,'Standards UNITe'!$C$3:$L$8,3,0)</f>
        <v>25</v>
      </c>
      <c r="E17" s="66">
        <f>HLOOKUP($B$7,'Standards UNITe'!$C$3:$L$8,3,0)</f>
        <v>25</v>
      </c>
      <c r="F17" s="66">
        <f>HLOOKUP($B$7,'Standards UNITe'!$C$3:$L$8,3,0)</f>
        <v>25</v>
      </c>
      <c r="G17" s="66">
        <f>HLOOKUP($B$7,'Standards UNITe'!$C$3:$L$8,3,0)</f>
        <v>25</v>
      </c>
    </row>
    <row r="18" spans="1:7" x14ac:dyDescent="0.35">
      <c r="A18" s="67" t="s">
        <v>6</v>
      </c>
      <c r="B18" s="131">
        <v>-24.5</v>
      </c>
      <c r="C18" s="131">
        <v>-24.5</v>
      </c>
      <c r="D18" s="131">
        <v>-24.5</v>
      </c>
      <c r="E18" s="131">
        <v>-24.5</v>
      </c>
      <c r="F18" s="131">
        <v>-24.5</v>
      </c>
      <c r="G18" s="131">
        <v>-24.5</v>
      </c>
    </row>
    <row r="19" spans="1:7" x14ac:dyDescent="0.35">
      <c r="A19" s="68" t="s">
        <v>89</v>
      </c>
      <c r="B19" s="69" t="s">
        <v>263</v>
      </c>
      <c r="C19" s="69" t="s">
        <v>266</v>
      </c>
      <c r="D19" s="69" t="s">
        <v>272</v>
      </c>
      <c r="E19" s="69" t="s">
        <v>302</v>
      </c>
      <c r="F19" s="69" t="s">
        <v>305</v>
      </c>
      <c r="G19" s="69" t="s">
        <v>307</v>
      </c>
    </row>
    <row r="20" spans="1:7" x14ac:dyDescent="0.35">
      <c r="A20" s="68" t="s">
        <v>90</v>
      </c>
      <c r="B20" s="69">
        <v>6</v>
      </c>
      <c r="C20" s="69">
        <v>6</v>
      </c>
      <c r="D20" s="69">
        <v>5</v>
      </c>
      <c r="E20" s="69">
        <v>5</v>
      </c>
      <c r="F20" s="69">
        <v>6</v>
      </c>
      <c r="G20" s="69">
        <v>5</v>
      </c>
    </row>
    <row r="21" spans="1:7" x14ac:dyDescent="0.35">
      <c r="A21" s="68" t="s">
        <v>7</v>
      </c>
      <c r="B21" s="69">
        <v>10.3</v>
      </c>
      <c r="C21" s="69">
        <v>10.3</v>
      </c>
      <c r="D21" s="69">
        <v>9.3000000000000007</v>
      </c>
      <c r="E21" s="69">
        <v>9.3000000000000007</v>
      </c>
      <c r="F21" s="69">
        <v>10.3</v>
      </c>
      <c r="G21" s="69">
        <v>9</v>
      </c>
    </row>
    <row r="22" spans="1:7" x14ac:dyDescent="0.35">
      <c r="A22" s="67" t="s">
        <v>11</v>
      </c>
      <c r="B22" s="70">
        <f>HLOOKUP($B$7,'Standards UNITe'!$C$3:$L$12,8,0)</f>
        <v>1.5</v>
      </c>
      <c r="C22" s="70">
        <f>HLOOKUP($B$7,'Standards UNITe'!$C$3:$L$12,8,0)</f>
        <v>1.5</v>
      </c>
      <c r="D22" s="70">
        <f>HLOOKUP($B$7,'Standards UNITe'!$C$3:$L$12,8,0)</f>
        <v>1.5</v>
      </c>
      <c r="E22" s="70">
        <f>HLOOKUP($B$7,'Standards UNITe'!$C$3:$L$12,8,0)</f>
        <v>1.5</v>
      </c>
      <c r="F22" s="70">
        <f>HLOOKUP($B$7,'Standards UNITe'!$C$3:$L$12,8,0)</f>
        <v>1.5</v>
      </c>
      <c r="G22" s="70">
        <f>HLOOKUP($B$7,'Standards UNITe'!$C$3:$L$12,8,0)</f>
        <v>1.5</v>
      </c>
    </row>
    <row r="23" spans="1:7" x14ac:dyDescent="0.35">
      <c r="A23" s="60" t="s">
        <v>12</v>
      </c>
      <c r="B23" s="70">
        <v>3.53</v>
      </c>
      <c r="C23" s="70">
        <v>3.53</v>
      </c>
      <c r="D23" s="70">
        <v>3.53</v>
      </c>
      <c r="E23" s="70">
        <v>3.53</v>
      </c>
      <c r="F23" s="70">
        <v>3.53</v>
      </c>
      <c r="G23" s="70">
        <v>3.53</v>
      </c>
    </row>
    <row r="24" spans="1:7" x14ac:dyDescent="0.35">
      <c r="A24" s="59" t="s">
        <v>23</v>
      </c>
      <c r="B24" s="57">
        <v>2</v>
      </c>
      <c r="C24" s="57">
        <v>2</v>
      </c>
      <c r="D24" s="57">
        <v>2</v>
      </c>
      <c r="E24" s="57">
        <v>2</v>
      </c>
      <c r="F24" s="57">
        <v>2</v>
      </c>
      <c r="G24" s="57">
        <v>2</v>
      </c>
    </row>
    <row r="25" spans="1:7" x14ac:dyDescent="0.35">
      <c r="A25" s="60" t="s">
        <v>24</v>
      </c>
      <c r="B25" s="71" t="s">
        <v>264</v>
      </c>
      <c r="C25" s="71" t="s">
        <v>264</v>
      </c>
      <c r="D25" s="71" t="s">
        <v>269</v>
      </c>
      <c r="E25" s="71" t="s">
        <v>269</v>
      </c>
      <c r="F25" s="71" t="s">
        <v>269</v>
      </c>
      <c r="G25" s="71" t="s">
        <v>269</v>
      </c>
    </row>
    <row r="26" spans="1:7" x14ac:dyDescent="0.35">
      <c r="A26" s="59" t="s">
        <v>21</v>
      </c>
      <c r="B26" s="57">
        <v>26</v>
      </c>
      <c r="C26" s="57">
        <v>26</v>
      </c>
      <c r="D26" s="57">
        <v>26</v>
      </c>
      <c r="E26" s="57">
        <v>26</v>
      </c>
      <c r="F26" s="57">
        <v>26</v>
      </c>
      <c r="G26" s="57">
        <v>26</v>
      </c>
    </row>
    <row r="27" spans="1:7" x14ac:dyDescent="0.35">
      <c r="A27" s="67" t="s">
        <v>22</v>
      </c>
      <c r="B27" s="72">
        <v>26</v>
      </c>
      <c r="C27" s="72">
        <v>26</v>
      </c>
      <c r="D27" s="72">
        <v>26</v>
      </c>
      <c r="E27" s="72" t="s">
        <v>303</v>
      </c>
      <c r="F27" s="72" t="s">
        <v>303</v>
      </c>
      <c r="G27" s="72" t="s">
        <v>303</v>
      </c>
    </row>
    <row r="28" spans="1:7" x14ac:dyDescent="0.35">
      <c r="A28" s="73" t="s">
        <v>20</v>
      </c>
      <c r="B28" s="74" t="s">
        <v>155</v>
      </c>
      <c r="C28" s="74" t="s">
        <v>155</v>
      </c>
      <c r="D28" s="74" t="s">
        <v>155</v>
      </c>
      <c r="E28" s="74" t="s">
        <v>155</v>
      </c>
      <c r="F28" s="74" t="s">
        <v>155</v>
      </c>
      <c r="G28" s="74" t="s">
        <v>155</v>
      </c>
    </row>
    <row r="29" spans="1:7" x14ac:dyDescent="0.35">
      <c r="A29" s="67" t="s">
        <v>100</v>
      </c>
      <c r="B29" s="75">
        <f>537*10+59*6</f>
        <v>5724</v>
      </c>
      <c r="C29" s="75">
        <f>485*10+69*6</f>
        <v>5264</v>
      </c>
      <c r="D29" s="75">
        <f>265*9+35*5</f>
        <v>2560</v>
      </c>
      <c r="E29" s="75">
        <f>269*9+27*5</f>
        <v>2556</v>
      </c>
      <c r="F29" s="75">
        <f>84*9+1*5</f>
        <v>761</v>
      </c>
      <c r="G29" s="75">
        <f>79*9+11*5</f>
        <v>766</v>
      </c>
    </row>
    <row r="30" spans="1:7" x14ac:dyDescent="0.35">
      <c r="A30" s="60" t="s">
        <v>30</v>
      </c>
      <c r="B30" s="76">
        <f>B29*IF(B15="Flotteur",0,IF(OR(B7="Volailles",B7="Faisans",B7="Parking"),VLOOKUP(B28,'Dimensions postes et pieux'!$O$5:$P$8, 2, 0),VLOOKUP(B28,'Dimensions postes et pieux'!$O$9:$P$12, 2, 0)))</f>
        <v>40.067999999999998</v>
      </c>
      <c r="C30" s="76">
        <f>C29*IF(C15="Flotteur",0,IF(OR(C7="Volailles",C7="Faisans",C7="Parking"),VLOOKUP(C28,'Dimensions postes et pieux'!$O$5:$P$8, 2, 0),VLOOKUP(C28,'Dimensions postes et pieux'!$O$9:$P$12, 2, 0)))</f>
        <v>36.847999999999999</v>
      </c>
      <c r="D30" s="76">
        <f>D29*IF(D15="Flotteur",0,IF(OR(D7="Volailles",D7="Faisans",D7="Parking"),VLOOKUP(D28,'Dimensions postes et pieux'!$O$5:$P$8, 2, 0),VLOOKUP(D28,'Dimensions postes et pieux'!$O$9:$P$12, 2, 0)))</f>
        <v>17.920000000000002</v>
      </c>
      <c r="E30" s="76">
        <f>E29*IF(E15="Flotteur",0,IF(OR(E7="Volailles",E7="Faisans",E7="Parking"),VLOOKUP(E28,'Dimensions postes et pieux'!$O$5:$P$8, 2, 0),VLOOKUP(E28,'Dimensions postes et pieux'!$O$9:$P$12, 2, 0)))</f>
        <v>17.891999999999999</v>
      </c>
      <c r="F30" s="76">
        <f>F29*IF(F15="Flotteur",0,IF(OR(F7="Volailles",F7="Faisans",F7="Parking"),VLOOKUP(F28,'Dimensions postes et pieux'!$O$5:$P$8, 2, 0),VLOOKUP(F28,'Dimensions postes et pieux'!$O$9:$P$12, 2, 0)))</f>
        <v>5.327</v>
      </c>
      <c r="G30" s="76">
        <f>G29*IF(G15="Flotteur",0,IF(OR(G7="Volailles",G7="Faisans",G7="Parking"),VLOOKUP(G28,'Dimensions postes et pieux'!$O$5:$P$8, 2, 0),VLOOKUP(G28,'Dimensions postes et pieux'!$O$9:$P$12, 2, 0)))</f>
        <v>5.3620000000000001</v>
      </c>
    </row>
    <row r="31" spans="1:7" x14ac:dyDescent="0.35">
      <c r="A31" s="61" t="s">
        <v>96</v>
      </c>
      <c r="B31" s="62"/>
      <c r="C31" s="62"/>
      <c r="D31" s="62"/>
      <c r="E31" s="62"/>
      <c r="F31" s="62"/>
      <c r="G31" s="62"/>
    </row>
    <row r="32" spans="1:7" x14ac:dyDescent="0.35">
      <c r="A32" s="59" t="s">
        <v>97</v>
      </c>
      <c r="B32" s="56" t="s">
        <v>10</v>
      </c>
      <c r="C32" s="56" t="s">
        <v>10</v>
      </c>
      <c r="D32" s="56" t="s">
        <v>10</v>
      </c>
      <c r="E32" s="56" t="s">
        <v>10</v>
      </c>
      <c r="F32" s="56" t="s">
        <v>10</v>
      </c>
      <c r="G32" s="56" t="s">
        <v>10</v>
      </c>
    </row>
    <row r="33" spans="1:7" x14ac:dyDescent="0.35">
      <c r="A33" s="67" t="s">
        <v>98</v>
      </c>
      <c r="B33" s="75">
        <v>680</v>
      </c>
      <c r="C33" s="75">
        <v>680</v>
      </c>
      <c r="D33" s="75">
        <v>680</v>
      </c>
      <c r="E33" s="75">
        <v>680</v>
      </c>
      <c r="F33" s="75">
        <v>680</v>
      </c>
      <c r="G33" s="75">
        <v>680</v>
      </c>
    </row>
    <row r="34" spans="1:7" x14ac:dyDescent="0.35">
      <c r="A34" s="67" t="s">
        <v>101</v>
      </c>
      <c r="B34" s="77">
        <f t="shared" ref="B34:G34" si="0">IF(B32="G12R", 2.382*1.134, 2.382*1.303)</f>
        <v>2.7011879999999997</v>
      </c>
      <c r="C34" s="77">
        <f t="shared" si="0"/>
        <v>2.7011879999999997</v>
      </c>
      <c r="D34" s="77">
        <f t="shared" si="0"/>
        <v>2.7011879999999997</v>
      </c>
      <c r="E34" s="77">
        <f t="shared" si="0"/>
        <v>2.7011879999999997</v>
      </c>
      <c r="F34" s="77">
        <f t="shared" si="0"/>
        <v>2.7011879999999997</v>
      </c>
      <c r="G34" s="77">
        <f t="shared" si="0"/>
        <v>2.7011879999999997</v>
      </c>
    </row>
    <row r="35" spans="1:7" x14ac:dyDescent="0.35">
      <c r="A35" s="67" t="s">
        <v>99</v>
      </c>
      <c r="B35" s="78">
        <v>14670</v>
      </c>
      <c r="C35" s="78">
        <v>13348</v>
      </c>
      <c r="D35" s="78">
        <v>14690</v>
      </c>
      <c r="E35" s="78">
        <v>14690</v>
      </c>
      <c r="F35" s="78">
        <v>4394</v>
      </c>
      <c r="G35" s="78">
        <v>4394</v>
      </c>
    </row>
    <row r="36" spans="1:7" x14ac:dyDescent="0.35">
      <c r="A36" s="60" t="s">
        <v>8</v>
      </c>
      <c r="B36" s="79">
        <f>4.34/10.3</f>
        <v>0.42135922330097081</v>
      </c>
      <c r="C36" s="79">
        <f>4.34/10.3</f>
        <v>0.42135922330097081</v>
      </c>
      <c r="D36" s="79" t="s">
        <v>271</v>
      </c>
      <c r="E36" s="79" t="s">
        <v>271</v>
      </c>
      <c r="F36" s="79" t="s">
        <v>271</v>
      </c>
      <c r="G36" s="79" t="s">
        <v>271</v>
      </c>
    </row>
    <row r="37" spans="1:7" x14ac:dyDescent="0.35">
      <c r="A37" s="80" t="s">
        <v>13</v>
      </c>
      <c r="B37" s="81">
        <f t="shared" ref="B37:G37" si="1">IFERROR(B34*B35,"-")</f>
        <v>39626.427959999994</v>
      </c>
      <c r="C37" s="81">
        <f t="shared" si="1"/>
        <v>36055.457423999993</v>
      </c>
      <c r="D37" s="81">
        <f t="shared" si="1"/>
        <v>39680.451719999997</v>
      </c>
      <c r="E37" s="81">
        <f t="shared" si="1"/>
        <v>39680.451719999997</v>
      </c>
      <c r="F37" s="81">
        <f t="shared" si="1"/>
        <v>11869.020071999999</v>
      </c>
      <c r="G37" s="81">
        <f t="shared" si="1"/>
        <v>11869.020071999999</v>
      </c>
    </row>
    <row r="38" spans="1:7" x14ac:dyDescent="0.35">
      <c r="A38" s="82" t="s">
        <v>14</v>
      </c>
      <c r="B38" s="83">
        <f t="shared" ref="B38:G38" si="2">IFERROR(B37*COS(RADIANS(B17)),"-")</f>
        <v>35913.740232594828</v>
      </c>
      <c r="C38" s="83">
        <f t="shared" si="2"/>
        <v>32677.341828539586</v>
      </c>
      <c r="D38" s="83">
        <f t="shared" si="2"/>
        <v>35962.702386967831</v>
      </c>
      <c r="E38" s="83">
        <f t="shared" si="2"/>
        <v>35962.702386967831</v>
      </c>
      <c r="F38" s="83">
        <f t="shared" si="2"/>
        <v>10756.985315747899</v>
      </c>
      <c r="G38" s="83">
        <f t="shared" si="2"/>
        <v>10756.985315747899</v>
      </c>
    </row>
    <row r="39" spans="1:7" x14ac:dyDescent="0.35">
      <c r="A39" s="84" t="s">
        <v>15</v>
      </c>
      <c r="B39" s="85">
        <f t="shared" ref="B39:G39" si="3">IFERROR(B33*B35/1000000,"-")</f>
        <v>9.9756</v>
      </c>
      <c r="C39" s="85">
        <f t="shared" si="3"/>
        <v>9.0766399999999994</v>
      </c>
      <c r="D39" s="85">
        <f t="shared" si="3"/>
        <v>9.9892000000000003</v>
      </c>
      <c r="E39" s="85">
        <f t="shared" si="3"/>
        <v>9.9892000000000003</v>
      </c>
      <c r="F39" s="85">
        <f t="shared" si="3"/>
        <v>2.9879199999999999</v>
      </c>
      <c r="G39" s="85">
        <f t="shared" si="3"/>
        <v>2.9879199999999999</v>
      </c>
    </row>
    <row r="42" spans="1:7" x14ac:dyDescent="0.35">
      <c r="A42" s="45" t="s">
        <v>135</v>
      </c>
      <c r="B42" s="53"/>
      <c r="C42" s="53"/>
      <c r="D42" s="53"/>
      <c r="E42" s="53"/>
      <c r="F42" s="53"/>
      <c r="G42" s="53"/>
    </row>
    <row r="43" spans="1:7" x14ac:dyDescent="0.35">
      <c r="A43" s="61" t="s">
        <v>109</v>
      </c>
      <c r="B43" s="62"/>
      <c r="C43" s="62"/>
      <c r="D43" s="62"/>
      <c r="E43" s="62"/>
      <c r="F43" s="62"/>
      <c r="G43" s="62"/>
    </row>
    <row r="44" spans="1:7" x14ac:dyDescent="0.35">
      <c r="A44" s="86" t="s">
        <v>25</v>
      </c>
      <c r="B44" s="87" t="s">
        <v>87</v>
      </c>
      <c r="C44" s="87" t="s">
        <v>87</v>
      </c>
      <c r="D44" s="87" t="s">
        <v>87</v>
      </c>
      <c r="E44" s="87" t="s">
        <v>87</v>
      </c>
      <c r="F44" s="87" t="s">
        <v>87</v>
      </c>
      <c r="G44" s="87" t="s">
        <v>87</v>
      </c>
    </row>
    <row r="45" spans="1:7" x14ac:dyDescent="0.35">
      <c r="A45" s="73" t="s">
        <v>26</v>
      </c>
      <c r="B45" s="74">
        <v>2</v>
      </c>
      <c r="C45" s="74">
        <v>2</v>
      </c>
      <c r="D45" s="74">
        <v>2</v>
      </c>
      <c r="E45" s="74">
        <v>2</v>
      </c>
      <c r="F45" s="74">
        <v>0</v>
      </c>
      <c r="G45" s="74">
        <v>0</v>
      </c>
    </row>
    <row r="46" spans="1:7" x14ac:dyDescent="0.35">
      <c r="A46" s="65" t="s">
        <v>105</v>
      </c>
      <c r="B46" s="88">
        <f>B45*'Dimensions postes et pieux'!$D$5</f>
        <v>60</v>
      </c>
      <c r="C46" s="88">
        <f>C45*'Dimensions postes et pieux'!$D$5</f>
        <v>60</v>
      </c>
      <c r="D46" s="88">
        <f>D45*'Dimensions postes et pieux'!$D$5</f>
        <v>60</v>
      </c>
      <c r="E46" s="88">
        <f>E45*'Dimensions postes et pieux'!$D$5</f>
        <v>60</v>
      </c>
      <c r="F46" s="88">
        <f>F45*'Dimensions postes et pieux'!$D$5</f>
        <v>0</v>
      </c>
      <c r="G46" s="88">
        <f>G45*'Dimensions postes et pieux'!$D$5</f>
        <v>0</v>
      </c>
    </row>
    <row r="47" spans="1:7" x14ac:dyDescent="0.35">
      <c r="A47" s="89" t="s">
        <v>107</v>
      </c>
      <c r="B47" s="90">
        <f>B45*'Dimensions postes et pieux'!$E$5</f>
        <v>230</v>
      </c>
      <c r="C47" s="90">
        <f>C45*'Dimensions postes et pieux'!$E$5</f>
        <v>230</v>
      </c>
      <c r="D47" s="90">
        <f>D45*'Dimensions postes et pieux'!$E$5</f>
        <v>230</v>
      </c>
      <c r="E47" s="90">
        <f>E45*'Dimensions postes et pieux'!$E$5</f>
        <v>230</v>
      </c>
      <c r="F47" s="90">
        <f>F45*'Dimensions postes et pieux'!$E$5</f>
        <v>0</v>
      </c>
      <c r="G47" s="90">
        <f>G45*'Dimensions postes et pieux'!$E$5</f>
        <v>0</v>
      </c>
    </row>
    <row r="48" spans="1:7" x14ac:dyDescent="0.35">
      <c r="A48" s="67" t="s">
        <v>27</v>
      </c>
      <c r="B48" s="88">
        <v>1</v>
      </c>
      <c r="C48" s="88">
        <v>1</v>
      </c>
      <c r="D48" s="88">
        <v>1</v>
      </c>
      <c r="E48" s="88">
        <v>1</v>
      </c>
      <c r="F48" s="88">
        <v>1</v>
      </c>
      <c r="G48" s="88">
        <v>1</v>
      </c>
    </row>
    <row r="49" spans="1:7" x14ac:dyDescent="0.35">
      <c r="A49" s="65" t="s">
        <v>106</v>
      </c>
      <c r="B49" s="88">
        <f>B48*'Dimensions postes et pieux'!$D$17</f>
        <v>36</v>
      </c>
      <c r="C49" s="88">
        <f>C48*'Dimensions postes et pieux'!$D$17</f>
        <v>36</v>
      </c>
      <c r="D49" s="88">
        <f>D48*'Dimensions postes et pieux'!$D$17</f>
        <v>36</v>
      </c>
      <c r="E49" s="88">
        <f>E48*'Dimensions postes et pieux'!$D$17</f>
        <v>36</v>
      </c>
      <c r="F49" s="88">
        <f>F48*'Dimensions postes et pieux'!$D$17</f>
        <v>36</v>
      </c>
      <c r="G49" s="88">
        <f>G48*'Dimensions postes et pieux'!$D$17</f>
        <v>36</v>
      </c>
    </row>
    <row r="50" spans="1:7" x14ac:dyDescent="0.35">
      <c r="A50" s="89" t="s">
        <v>108</v>
      </c>
      <c r="B50" s="90">
        <f>B48*'Dimensions postes et pieux'!$E$17</f>
        <v>132</v>
      </c>
      <c r="C50" s="90">
        <f>C48*'Dimensions postes et pieux'!$E$17</f>
        <v>132</v>
      </c>
      <c r="D50" s="90">
        <f>D48*'Dimensions postes et pieux'!$E$17</f>
        <v>132</v>
      </c>
      <c r="E50" s="90">
        <f>E48*'Dimensions postes et pieux'!$E$17</f>
        <v>132</v>
      </c>
      <c r="F50" s="90">
        <f>F48*'Dimensions postes et pieux'!$E$17</f>
        <v>132</v>
      </c>
      <c r="G50" s="90">
        <f>G48*'Dimensions postes et pieux'!$E$17</f>
        <v>132</v>
      </c>
    </row>
    <row r="51" spans="1:7" x14ac:dyDescent="0.35">
      <c r="A51" s="67" t="s">
        <v>179</v>
      </c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</row>
    <row r="52" spans="1:7" x14ac:dyDescent="0.35">
      <c r="A52" s="65" t="s">
        <v>180</v>
      </c>
      <c r="B52" s="88">
        <f>B51*'Dimensions postes et pieux'!$D$23</f>
        <v>0</v>
      </c>
      <c r="C52" s="88">
        <f>C51*'Dimensions postes et pieux'!$D$23</f>
        <v>0</v>
      </c>
      <c r="D52" s="88">
        <f>D51*'Dimensions postes et pieux'!$D$23</f>
        <v>0</v>
      </c>
      <c r="E52" s="88">
        <f>E51*'Dimensions postes et pieux'!$D$23</f>
        <v>0</v>
      </c>
      <c r="F52" s="88">
        <f>F51*'Dimensions postes et pieux'!$D$23</f>
        <v>0</v>
      </c>
      <c r="G52" s="88">
        <f>G51*'Dimensions postes et pieux'!$D$23</f>
        <v>0</v>
      </c>
    </row>
    <row r="53" spans="1:7" x14ac:dyDescent="0.35">
      <c r="A53" s="89" t="s">
        <v>181</v>
      </c>
      <c r="B53" s="90">
        <f>B51*'Dimensions postes et pieux'!$E$23</f>
        <v>0</v>
      </c>
      <c r="C53" s="90">
        <f>C51*'Dimensions postes et pieux'!$E$23</f>
        <v>0</v>
      </c>
      <c r="D53" s="90">
        <f>D51*'Dimensions postes et pieux'!$E$23</f>
        <v>0</v>
      </c>
      <c r="E53" s="90">
        <f>E51*'Dimensions postes et pieux'!$E$23</f>
        <v>0</v>
      </c>
      <c r="F53" s="90">
        <f>F51*'Dimensions postes et pieux'!$E$23</f>
        <v>0</v>
      </c>
      <c r="G53" s="90">
        <f>G51*'Dimensions postes et pieux'!$E$23</f>
        <v>0</v>
      </c>
    </row>
    <row r="54" spans="1:7" x14ac:dyDescent="0.35">
      <c r="A54" s="61" t="s">
        <v>110</v>
      </c>
      <c r="B54" s="62"/>
      <c r="C54" s="62"/>
      <c r="D54" s="62"/>
      <c r="E54" s="62"/>
      <c r="F54" s="62"/>
      <c r="G54" s="62"/>
    </row>
    <row r="55" spans="1:7" x14ac:dyDescent="0.35">
      <c r="A55" s="59" t="s">
        <v>111</v>
      </c>
      <c r="B55" s="91">
        <v>0</v>
      </c>
      <c r="C55" s="91">
        <v>2</v>
      </c>
      <c r="D55" s="91">
        <v>2</v>
      </c>
      <c r="E55" s="91">
        <v>2</v>
      </c>
      <c r="F55" s="91">
        <v>1</v>
      </c>
      <c r="G55" s="91">
        <v>1</v>
      </c>
    </row>
    <row r="56" spans="1:7" x14ac:dyDescent="0.35">
      <c r="A56" s="65" t="s">
        <v>112</v>
      </c>
      <c r="B56" s="92">
        <f>B55*'Dimensions postes et pieux'!$D$29</f>
        <v>0</v>
      </c>
      <c r="C56" s="92">
        <f>C55*'Dimensions postes et pieux'!$D$29</f>
        <v>36</v>
      </c>
      <c r="D56" s="92">
        <f>D55*'Dimensions postes et pieux'!$D$29</f>
        <v>36</v>
      </c>
      <c r="E56" s="92">
        <f>E55*'Dimensions postes et pieux'!$D$29</f>
        <v>36</v>
      </c>
      <c r="F56" s="92">
        <f>F55*'Dimensions postes et pieux'!$D$29</f>
        <v>18</v>
      </c>
      <c r="G56" s="92">
        <f>G55*'Dimensions postes et pieux'!$D$29</f>
        <v>18</v>
      </c>
    </row>
    <row r="57" spans="1:7" x14ac:dyDescent="0.35">
      <c r="A57" s="89" t="s">
        <v>185</v>
      </c>
      <c r="B57" s="93">
        <f>B55*'Dimensions postes et pieux'!$E$29</f>
        <v>0</v>
      </c>
      <c r="C57" s="93">
        <f>C55*'Dimensions postes et pieux'!$E$29</f>
        <v>100</v>
      </c>
      <c r="D57" s="93">
        <f>D55*'Dimensions postes et pieux'!$E$29</f>
        <v>100</v>
      </c>
      <c r="E57" s="93">
        <f>E55*'Dimensions postes et pieux'!$E$29</f>
        <v>100</v>
      </c>
      <c r="F57" s="93">
        <f>F55*'Dimensions postes et pieux'!$E$29</f>
        <v>50</v>
      </c>
      <c r="G57" s="93">
        <f>G55*'Dimensions postes et pieux'!$E$29</f>
        <v>50</v>
      </c>
    </row>
    <row r="58" spans="1:7" x14ac:dyDescent="0.35">
      <c r="A58" s="65" t="s">
        <v>114</v>
      </c>
      <c r="B58" s="92">
        <v>0</v>
      </c>
      <c r="C58" s="92">
        <v>1</v>
      </c>
      <c r="D58" s="92">
        <v>1</v>
      </c>
      <c r="E58" s="92">
        <v>1</v>
      </c>
      <c r="F58" s="92">
        <v>1</v>
      </c>
      <c r="G58" s="92">
        <v>1</v>
      </c>
    </row>
    <row r="59" spans="1:7" x14ac:dyDescent="0.35">
      <c r="A59" s="65" t="s">
        <v>115</v>
      </c>
      <c r="B59" s="92">
        <f>B58*'Dimensions postes et pieux'!$D$5</f>
        <v>0</v>
      </c>
      <c r="C59" s="92">
        <f>C58*'Dimensions postes et pieux'!$D$5</f>
        <v>30</v>
      </c>
      <c r="D59" s="92">
        <f>D58*'Dimensions postes et pieux'!$D$5</f>
        <v>30</v>
      </c>
      <c r="E59" s="92">
        <f>E58*'Dimensions postes et pieux'!$D$5</f>
        <v>30</v>
      </c>
      <c r="F59" s="92">
        <f>F58*'Dimensions postes et pieux'!$D$5</f>
        <v>30</v>
      </c>
      <c r="G59" s="92">
        <f>G58*'Dimensions postes et pieux'!$D$5</f>
        <v>30</v>
      </c>
    </row>
    <row r="60" spans="1:7" x14ac:dyDescent="0.35">
      <c r="A60" s="89" t="s">
        <v>116</v>
      </c>
      <c r="B60" s="83">
        <f>B58*'Dimensions postes et pieux'!$E$5</f>
        <v>0</v>
      </c>
      <c r="C60" s="83">
        <f>C58*'Dimensions postes et pieux'!$E$5</f>
        <v>115</v>
      </c>
      <c r="D60" s="83">
        <f>D58*'Dimensions postes et pieux'!$E$5</f>
        <v>115</v>
      </c>
      <c r="E60" s="83">
        <f>E58*'Dimensions postes et pieux'!$E$5</f>
        <v>115</v>
      </c>
      <c r="F60" s="83">
        <f>F58*'Dimensions postes et pieux'!$E$5</f>
        <v>115</v>
      </c>
      <c r="G60" s="83">
        <f>G58*'Dimensions postes et pieux'!$E$5</f>
        <v>115</v>
      </c>
    </row>
    <row r="61" spans="1:7" x14ac:dyDescent="0.35">
      <c r="A61" s="65" t="s">
        <v>117</v>
      </c>
      <c r="B61" s="75">
        <v>0</v>
      </c>
      <c r="C61" s="75">
        <v>1</v>
      </c>
      <c r="D61" s="75">
        <v>1</v>
      </c>
      <c r="E61" s="75">
        <v>1</v>
      </c>
      <c r="F61" s="75">
        <v>1</v>
      </c>
      <c r="G61" s="75">
        <v>1</v>
      </c>
    </row>
    <row r="62" spans="1:7" x14ac:dyDescent="0.35">
      <c r="A62" s="65" t="s">
        <v>183</v>
      </c>
      <c r="B62" s="75">
        <v>0</v>
      </c>
      <c r="C62" s="75">
        <v>1</v>
      </c>
      <c r="D62" s="75">
        <v>1</v>
      </c>
      <c r="E62" s="75">
        <v>1</v>
      </c>
      <c r="F62" s="75">
        <v>1</v>
      </c>
      <c r="G62" s="75">
        <v>1</v>
      </c>
    </row>
    <row r="63" spans="1:7" x14ac:dyDescent="0.35">
      <c r="A63" s="89" t="s">
        <v>113</v>
      </c>
      <c r="B63" s="58">
        <v>0</v>
      </c>
      <c r="C63" s="58">
        <v>1</v>
      </c>
      <c r="D63" s="58">
        <v>1</v>
      </c>
      <c r="E63" s="58">
        <v>1</v>
      </c>
      <c r="F63" s="58">
        <v>1</v>
      </c>
      <c r="G63" s="58">
        <v>1</v>
      </c>
    </row>
    <row r="64" spans="1:7" x14ac:dyDescent="0.35">
      <c r="A64" s="61" t="s">
        <v>119</v>
      </c>
      <c r="B64" s="62"/>
      <c r="C64" s="62"/>
      <c r="D64" s="62"/>
      <c r="E64" s="62"/>
      <c r="F64" s="62"/>
      <c r="G64" s="62"/>
    </row>
    <row r="65" spans="1:7" x14ac:dyDescent="0.35">
      <c r="A65" s="73" t="s">
        <v>118</v>
      </c>
      <c r="B65" s="94">
        <v>1</v>
      </c>
      <c r="C65" s="94">
        <v>1</v>
      </c>
      <c r="D65" s="94">
        <v>1</v>
      </c>
      <c r="E65" s="94">
        <v>1</v>
      </c>
      <c r="F65" s="94">
        <v>1</v>
      </c>
      <c r="G65" s="94">
        <v>1</v>
      </c>
    </row>
    <row r="66" spans="1:7" x14ac:dyDescent="0.35">
      <c r="A66" s="89" t="s">
        <v>136</v>
      </c>
      <c r="B66" s="58">
        <f>B65*36</f>
        <v>36</v>
      </c>
      <c r="C66" s="58">
        <f>C65*36</f>
        <v>36</v>
      </c>
      <c r="D66" s="58">
        <f>D65*36</f>
        <v>36</v>
      </c>
      <c r="E66" s="58">
        <f>E65*36</f>
        <v>36</v>
      </c>
      <c r="F66" s="58">
        <v>18</v>
      </c>
      <c r="G66" s="58">
        <v>18</v>
      </c>
    </row>
    <row r="67" spans="1:7" x14ac:dyDescent="0.35">
      <c r="A67" s="45" t="s">
        <v>137</v>
      </c>
      <c r="B67" s="53"/>
      <c r="C67" s="53"/>
      <c r="D67" s="53"/>
      <c r="E67" s="53"/>
      <c r="F67" s="53"/>
      <c r="G67" s="53"/>
    </row>
    <row r="68" spans="1:7" x14ac:dyDescent="0.35">
      <c r="A68" s="95" t="s">
        <v>156</v>
      </c>
      <c r="B68" s="96">
        <f>B49+B46+B52+B56+B59+B66+B61*'Dimensions postes et pieux'!$D$31+B63*'Dimensions postes et pieux'!$D$33+B62*'Dimensions postes et pieux'!$D$32</f>
        <v>132</v>
      </c>
      <c r="C68" s="96">
        <f>C49+C46+C52+C56+C59+C66+C61*'Dimensions postes et pieux'!$D$31+C63*'Dimensions postes et pieux'!$D$33+C62*'Dimensions postes et pieux'!$D$32</f>
        <v>391</v>
      </c>
      <c r="D68" s="96">
        <f>D49+D46+D52+D56+D59+D66+D61*'Dimensions postes et pieux'!$D$31+D63*'Dimensions postes et pieux'!$D$33+D62*'Dimensions postes et pieux'!$D$32</f>
        <v>391</v>
      </c>
      <c r="E68" s="96">
        <f>E49+E46+E52+E56+E59+E66+E61*'Dimensions postes et pieux'!$D$31+E63*'Dimensions postes et pieux'!$D$33+E62*'Dimensions postes et pieux'!$D$32</f>
        <v>391</v>
      </c>
      <c r="F68" s="96">
        <f>F49+F46+F52+F56+F59+F66+F61*'Dimensions postes et pieux'!$D$31+F63*'Dimensions postes et pieux'!$D$33+F62*'Dimensions postes et pieux'!$D$32</f>
        <v>295</v>
      </c>
      <c r="G68" s="96">
        <f>G49+G46+G52+G56+G59+G66+G61*'Dimensions postes et pieux'!$D$31+G63*'Dimensions postes et pieux'!$D$33+G62*'Dimensions postes et pieux'!$D$32</f>
        <v>295</v>
      </c>
    </row>
    <row r="69" spans="1:7" x14ac:dyDescent="0.35">
      <c r="A69" s="97" t="s">
        <v>157</v>
      </c>
      <c r="B69" s="96">
        <f>B49+B47+B53+B57+B60+B66+B61*'Dimensions postes et pieux'!$D$31+B63*'Dimensions postes et pieux'!$D$33+B62*'Dimensions postes et pieux'!$D$32</f>
        <v>302</v>
      </c>
      <c r="C69" s="96">
        <f>C49+C47+C53+C57+C60+C66+C61*'Dimensions postes et pieux'!$D$31+C63*'Dimensions postes et pieux'!$D$33+C62*'Dimensions postes et pieux'!$D$32</f>
        <v>710</v>
      </c>
      <c r="D69" s="96">
        <f>D49+D47+D53+D57+D60+D66+D61*'Dimensions postes et pieux'!$D$31+D63*'Dimensions postes et pieux'!$D$33+D62*'Dimensions postes et pieux'!$D$32</f>
        <v>710</v>
      </c>
      <c r="E69" s="96">
        <f>E49+E47+E53+E57+E60+E66+E61*'Dimensions postes et pieux'!$D$31+E63*'Dimensions postes et pieux'!$D$33+E62*'Dimensions postes et pieux'!$D$32</f>
        <v>710</v>
      </c>
      <c r="F69" s="96">
        <f>F49+F47+F53+F57+F60+F66+F61*'Dimensions postes et pieux'!$D$31+F63*'Dimensions postes et pieux'!$D$33+F62*'Dimensions postes et pieux'!$D$32</f>
        <v>412</v>
      </c>
      <c r="G69" s="96">
        <f>G49+G47+G53+G57+G60+G66+G61*'Dimensions postes et pieux'!$D$31+G63*'Dimensions postes et pieux'!$D$33+G62*'Dimensions postes et pieux'!$D$32</f>
        <v>412</v>
      </c>
    </row>
    <row r="70" spans="1:7" x14ac:dyDescent="0.35">
      <c r="A70" s="98"/>
    </row>
    <row r="72" spans="1:7" x14ac:dyDescent="0.35">
      <c r="A72" s="45" t="s">
        <v>148</v>
      </c>
      <c r="B72" s="53"/>
      <c r="C72" s="53"/>
      <c r="D72" s="53"/>
      <c r="E72" s="53"/>
      <c r="F72" s="53"/>
      <c r="G72" s="53"/>
    </row>
    <row r="73" spans="1:7" x14ac:dyDescent="0.35">
      <c r="A73" s="61" t="s">
        <v>120</v>
      </c>
      <c r="B73" s="62"/>
      <c r="C73" s="62"/>
      <c r="D73" s="62"/>
      <c r="E73" s="62"/>
      <c r="F73" s="62"/>
      <c r="G73" s="62"/>
    </row>
    <row r="74" spans="1:7" x14ac:dyDescent="0.35">
      <c r="A74" s="48" t="s">
        <v>215</v>
      </c>
      <c r="B74" s="100">
        <v>0</v>
      </c>
      <c r="C74" s="100">
        <v>0</v>
      </c>
      <c r="D74" s="100">
        <v>0</v>
      </c>
      <c r="E74" s="100">
        <v>0</v>
      </c>
      <c r="F74" s="100">
        <v>0</v>
      </c>
      <c r="G74" s="100">
        <v>0</v>
      </c>
    </row>
    <row r="75" spans="1:7" x14ac:dyDescent="0.35">
      <c r="A75" s="48" t="s">
        <v>213</v>
      </c>
      <c r="B75" s="100">
        <v>0</v>
      </c>
      <c r="C75" s="100">
        <v>0</v>
      </c>
      <c r="D75" s="100">
        <v>0</v>
      </c>
      <c r="E75" s="100">
        <v>0</v>
      </c>
      <c r="F75" s="100">
        <v>0</v>
      </c>
      <c r="G75" s="100">
        <v>0</v>
      </c>
    </row>
    <row r="76" spans="1:7" x14ac:dyDescent="0.35">
      <c r="A76" s="48" t="s">
        <v>214</v>
      </c>
      <c r="B76" s="100">
        <v>1</v>
      </c>
      <c r="C76" s="100">
        <v>1</v>
      </c>
      <c r="D76" s="100">
        <v>1</v>
      </c>
      <c r="E76" s="100">
        <v>1</v>
      </c>
      <c r="F76" s="100">
        <v>1</v>
      </c>
      <c r="G76" s="100">
        <v>1</v>
      </c>
    </row>
    <row r="77" spans="1:7" x14ac:dyDescent="0.35">
      <c r="A77" s="48" t="s">
        <v>216</v>
      </c>
      <c r="B77" s="100">
        <v>0</v>
      </c>
      <c r="C77" s="100">
        <v>0</v>
      </c>
      <c r="D77" s="100">
        <v>0</v>
      </c>
      <c r="E77" s="100">
        <v>0</v>
      </c>
      <c r="F77" s="100">
        <v>0</v>
      </c>
      <c r="G77" s="100">
        <v>0</v>
      </c>
    </row>
    <row r="78" spans="1:7" x14ac:dyDescent="0.35">
      <c r="A78" s="45" t="s">
        <v>137</v>
      </c>
      <c r="B78" s="53"/>
      <c r="C78" s="53"/>
      <c r="D78" s="53"/>
      <c r="E78" s="53"/>
      <c r="F78" s="53"/>
      <c r="G78" s="53"/>
    </row>
    <row r="79" spans="1:7" x14ac:dyDescent="0.35">
      <c r="A79" s="48" t="s">
        <v>219</v>
      </c>
      <c r="B79" s="101">
        <f>B74*'Dimensions postes et pieux'!$D$47+B75*'Dimensions postes et pieux'!$D$48+B76*'Dimensions postes et pieux'!$D$49+B77*'Dimensions postes et pieux'!$D$50</f>
        <v>104</v>
      </c>
      <c r="C79" s="101">
        <f>C74*'Dimensions postes et pieux'!$D$47+C75*'Dimensions postes et pieux'!$D$48+C76*'Dimensions postes et pieux'!$D$49+C77*'Dimensions postes et pieux'!$D$50</f>
        <v>104</v>
      </c>
      <c r="D79" s="101">
        <f>D74*'Dimensions postes et pieux'!$D$47+D75*'Dimensions postes et pieux'!$D$48+D76*'Dimensions postes et pieux'!$D$49+D77*'Dimensions postes et pieux'!$D$50</f>
        <v>104</v>
      </c>
      <c r="E79" s="101">
        <f>E74*'Dimensions postes et pieux'!$D$47+E75*'Dimensions postes et pieux'!$D$48+E76*'Dimensions postes et pieux'!$D$49+E77*'Dimensions postes et pieux'!$D$50</f>
        <v>104</v>
      </c>
      <c r="F79" s="101">
        <f>F74*'Dimensions postes et pieux'!$D$47+F75*'Dimensions postes et pieux'!$D$48+F76*'Dimensions postes et pieux'!$D$49+F77*'Dimensions postes et pieux'!$D$50</f>
        <v>104</v>
      </c>
      <c r="G79" s="101">
        <f>G74*'Dimensions postes et pieux'!$D$47+G75*'Dimensions postes et pieux'!$D$48+G76*'Dimensions postes et pieux'!$D$49+G77*'Dimensions postes et pieux'!$D$50</f>
        <v>104</v>
      </c>
    </row>
    <row r="80" spans="1:7" x14ac:dyDescent="0.35">
      <c r="A80" s="48" t="s">
        <v>220</v>
      </c>
      <c r="B80" s="101">
        <f t="shared" ref="B80:G80" si="4">32*SUM(B74:B77)</f>
        <v>32</v>
      </c>
      <c r="C80" s="101">
        <f t="shared" si="4"/>
        <v>32</v>
      </c>
      <c r="D80" s="101">
        <f t="shared" si="4"/>
        <v>32</v>
      </c>
      <c r="E80" s="101">
        <f t="shared" si="4"/>
        <v>32</v>
      </c>
      <c r="F80" s="101">
        <f t="shared" si="4"/>
        <v>32</v>
      </c>
      <c r="G80" s="101">
        <f t="shared" si="4"/>
        <v>32</v>
      </c>
    </row>
    <row r="81" spans="1:7" x14ac:dyDescent="0.35">
      <c r="A81" s="61" t="s">
        <v>121</v>
      </c>
      <c r="B81" s="62"/>
      <c r="C81" s="62"/>
      <c r="D81" s="62"/>
      <c r="E81" s="62"/>
      <c r="F81" s="62"/>
      <c r="G81" s="62"/>
    </row>
    <row r="82" spans="1:7" x14ac:dyDescent="0.35">
      <c r="A82" s="59" t="s">
        <v>212</v>
      </c>
      <c r="B82" s="57">
        <v>2210</v>
      </c>
      <c r="C82" s="57">
        <v>2623</v>
      </c>
      <c r="D82" s="57">
        <v>2131</v>
      </c>
      <c r="E82" s="57">
        <v>2095</v>
      </c>
      <c r="F82" s="57">
        <v>1280</v>
      </c>
      <c r="G82" s="57">
        <v>1168</v>
      </c>
    </row>
    <row r="83" spans="1:7" x14ac:dyDescent="0.35">
      <c r="A83" s="67" t="s">
        <v>217</v>
      </c>
      <c r="B83" s="72">
        <v>4</v>
      </c>
      <c r="C83" s="72">
        <v>4</v>
      </c>
      <c r="D83" s="72">
        <v>4</v>
      </c>
      <c r="E83" s="72">
        <v>4</v>
      </c>
      <c r="F83" s="72">
        <v>4</v>
      </c>
      <c r="G83" s="72">
        <v>4</v>
      </c>
    </row>
    <row r="84" spans="1:7" x14ac:dyDescent="0.35">
      <c r="A84" s="60" t="s">
        <v>218</v>
      </c>
      <c r="B84" s="102">
        <f t="shared" ref="B84:G84" si="5">B82/B83</f>
        <v>552.5</v>
      </c>
      <c r="C84" s="102">
        <f t="shared" si="5"/>
        <v>655.75</v>
      </c>
      <c r="D84" s="102">
        <f t="shared" si="5"/>
        <v>532.75</v>
      </c>
      <c r="E84" s="102">
        <f t="shared" si="5"/>
        <v>523.75</v>
      </c>
      <c r="F84" s="102">
        <f t="shared" si="5"/>
        <v>320</v>
      </c>
      <c r="G84" s="102">
        <f t="shared" si="5"/>
        <v>292</v>
      </c>
    </row>
    <row r="85" spans="1:7" x14ac:dyDescent="0.35">
      <c r="A85" s="59" t="s">
        <v>122</v>
      </c>
      <c r="B85" s="56">
        <v>0</v>
      </c>
      <c r="C85" s="56">
        <v>0</v>
      </c>
      <c r="D85" s="56">
        <v>0</v>
      </c>
      <c r="E85" s="56">
        <v>0</v>
      </c>
      <c r="F85" s="56">
        <v>0</v>
      </c>
      <c r="G85" s="56">
        <v>0</v>
      </c>
    </row>
    <row r="86" spans="1:7" x14ac:dyDescent="0.35">
      <c r="A86" s="67" t="s">
        <v>124</v>
      </c>
      <c r="B86" s="75">
        <v>3.5</v>
      </c>
      <c r="C86" s="75">
        <v>3.5</v>
      </c>
      <c r="D86" s="75">
        <v>3.5</v>
      </c>
      <c r="E86" s="75">
        <v>3.5</v>
      </c>
      <c r="F86" s="75">
        <v>3.5</v>
      </c>
      <c r="G86" s="75">
        <v>3.5</v>
      </c>
    </row>
    <row r="87" spans="1:7" x14ac:dyDescent="0.35">
      <c r="A87" s="60" t="s">
        <v>123</v>
      </c>
      <c r="B87" s="103">
        <f t="shared" ref="B87:C87" si="6">B85/B86</f>
        <v>0</v>
      </c>
      <c r="C87" s="103">
        <f t="shared" si="6"/>
        <v>0</v>
      </c>
      <c r="D87" s="103">
        <f t="shared" ref="D87:E87" si="7">D85/D86</f>
        <v>0</v>
      </c>
      <c r="E87" s="103">
        <f t="shared" si="7"/>
        <v>0</v>
      </c>
      <c r="F87" s="103">
        <f t="shared" ref="F87:G87" si="8">F85/F86</f>
        <v>0</v>
      </c>
      <c r="G87" s="103">
        <f t="shared" si="8"/>
        <v>0</v>
      </c>
    </row>
    <row r="88" spans="1:7" x14ac:dyDescent="0.35">
      <c r="A88" s="59" t="s">
        <v>28</v>
      </c>
      <c r="B88" s="56">
        <v>0</v>
      </c>
      <c r="C88" s="56">
        <v>0</v>
      </c>
      <c r="D88" s="56">
        <v>0</v>
      </c>
      <c r="E88" s="56">
        <v>0</v>
      </c>
      <c r="F88" s="56">
        <v>0</v>
      </c>
      <c r="G88" s="56">
        <v>0</v>
      </c>
    </row>
    <row r="89" spans="1:7" x14ac:dyDescent="0.35">
      <c r="A89" s="67" t="s">
        <v>126</v>
      </c>
      <c r="B89" s="75">
        <v>3.5</v>
      </c>
      <c r="C89" s="75">
        <v>3.5</v>
      </c>
      <c r="D89" s="75">
        <v>3.5</v>
      </c>
      <c r="E89" s="75">
        <v>3.5</v>
      </c>
      <c r="F89" s="75">
        <v>3.5</v>
      </c>
      <c r="G89" s="75">
        <v>3.5</v>
      </c>
    </row>
    <row r="90" spans="1:7" x14ac:dyDescent="0.35">
      <c r="A90" s="60" t="s">
        <v>125</v>
      </c>
      <c r="B90" s="103">
        <f t="shared" ref="B90:G90" si="9">B88/B89</f>
        <v>0</v>
      </c>
      <c r="C90" s="103">
        <f t="shared" si="9"/>
        <v>0</v>
      </c>
      <c r="D90" s="103">
        <f t="shared" si="9"/>
        <v>0</v>
      </c>
      <c r="E90" s="103">
        <f t="shared" si="9"/>
        <v>0</v>
      </c>
      <c r="F90" s="103">
        <f t="shared" si="9"/>
        <v>0</v>
      </c>
      <c r="G90" s="103">
        <f t="shared" si="9"/>
        <v>0</v>
      </c>
    </row>
    <row r="91" spans="1:7" x14ac:dyDescent="0.35">
      <c r="A91" s="59" t="s">
        <v>243</v>
      </c>
      <c r="B91" s="56">
        <v>8720</v>
      </c>
      <c r="C91" s="56">
        <v>8977</v>
      </c>
      <c r="D91" s="56">
        <v>9770</v>
      </c>
      <c r="E91" s="56">
        <v>9712</v>
      </c>
      <c r="F91" s="56">
        <v>3424</v>
      </c>
      <c r="G91" s="56">
        <v>2447</v>
      </c>
    </row>
    <row r="92" spans="1:7" x14ac:dyDescent="0.35">
      <c r="A92" s="67" t="s">
        <v>244</v>
      </c>
      <c r="B92" s="75">
        <v>4</v>
      </c>
      <c r="C92" s="75">
        <v>4</v>
      </c>
      <c r="D92" s="75">
        <v>4</v>
      </c>
      <c r="E92" s="75">
        <v>4</v>
      </c>
      <c r="F92" s="75">
        <v>4</v>
      </c>
      <c r="G92" s="75">
        <v>4</v>
      </c>
    </row>
    <row r="93" spans="1:7" x14ac:dyDescent="0.35">
      <c r="A93" s="60" t="s">
        <v>245</v>
      </c>
      <c r="B93" s="103">
        <f t="shared" ref="B93:C93" si="10">B91/B92</f>
        <v>2180</v>
      </c>
      <c r="C93" s="103">
        <f t="shared" si="10"/>
        <v>2244.25</v>
      </c>
      <c r="D93" s="103">
        <f t="shared" ref="D93:E93" si="11">D91/D92</f>
        <v>2442.5</v>
      </c>
      <c r="E93" s="103">
        <f t="shared" si="11"/>
        <v>2428</v>
      </c>
      <c r="F93" s="103">
        <f t="shared" ref="F93:G93" si="12">F91/F92</f>
        <v>856</v>
      </c>
      <c r="G93" s="103">
        <f t="shared" si="12"/>
        <v>611.75</v>
      </c>
    </row>
    <row r="94" spans="1:7" x14ac:dyDescent="0.35">
      <c r="A94" s="59" t="s">
        <v>246</v>
      </c>
      <c r="B94" s="56">
        <v>0</v>
      </c>
      <c r="C94" s="56">
        <v>0</v>
      </c>
      <c r="D94" s="56">
        <v>0</v>
      </c>
      <c r="E94" s="56">
        <v>0</v>
      </c>
      <c r="F94" s="56">
        <v>0</v>
      </c>
      <c r="G94" s="56">
        <v>0</v>
      </c>
    </row>
    <row r="95" spans="1:7" x14ac:dyDescent="0.35">
      <c r="A95" s="67" t="s">
        <v>247</v>
      </c>
      <c r="B95" s="75">
        <v>3.5</v>
      </c>
      <c r="C95" s="75">
        <v>3.5</v>
      </c>
      <c r="D95" s="75">
        <v>3.5</v>
      </c>
      <c r="E95" s="75">
        <v>3.5</v>
      </c>
      <c r="F95" s="75">
        <v>3.5</v>
      </c>
      <c r="G95" s="75">
        <v>3.5</v>
      </c>
    </row>
    <row r="96" spans="1:7" x14ac:dyDescent="0.35">
      <c r="A96" s="60" t="s">
        <v>248</v>
      </c>
      <c r="B96" s="103">
        <f t="shared" ref="B96:C96" si="13">B94/B95</f>
        <v>0</v>
      </c>
      <c r="C96" s="103">
        <f t="shared" si="13"/>
        <v>0</v>
      </c>
      <c r="D96" s="103">
        <f t="shared" ref="D96:E96" si="14">D94/D95</f>
        <v>0</v>
      </c>
      <c r="E96" s="103">
        <f t="shared" si="14"/>
        <v>0</v>
      </c>
      <c r="F96" s="103">
        <f t="shared" ref="F96:G96" si="15">F94/F95</f>
        <v>0</v>
      </c>
      <c r="G96" s="103">
        <f t="shared" si="15"/>
        <v>0</v>
      </c>
    </row>
    <row r="97" spans="1:7" x14ac:dyDescent="0.35">
      <c r="A97" s="59" t="s">
        <v>138</v>
      </c>
      <c r="B97" s="56">
        <v>0</v>
      </c>
      <c r="C97" s="56">
        <v>0</v>
      </c>
      <c r="D97" s="56">
        <v>0</v>
      </c>
      <c r="E97" s="56">
        <v>0</v>
      </c>
      <c r="F97" s="56">
        <v>0</v>
      </c>
      <c r="G97" s="56">
        <v>0</v>
      </c>
    </row>
    <row r="98" spans="1:7" x14ac:dyDescent="0.35">
      <c r="A98" s="67" t="s">
        <v>139</v>
      </c>
      <c r="B98" s="75">
        <v>3.5</v>
      </c>
      <c r="C98" s="75">
        <v>3.5</v>
      </c>
      <c r="D98" s="75">
        <v>3.5</v>
      </c>
      <c r="E98" s="75">
        <v>3.5</v>
      </c>
      <c r="F98" s="75">
        <v>3.5</v>
      </c>
      <c r="G98" s="75">
        <v>3.5</v>
      </c>
    </row>
    <row r="99" spans="1:7" x14ac:dyDescent="0.35">
      <c r="A99" s="60" t="s">
        <v>140</v>
      </c>
      <c r="B99" s="103">
        <f t="shared" ref="B99:G99" si="16">B97/B98</f>
        <v>0</v>
      </c>
      <c r="C99" s="103">
        <f t="shared" si="16"/>
        <v>0</v>
      </c>
      <c r="D99" s="103">
        <f t="shared" si="16"/>
        <v>0</v>
      </c>
      <c r="E99" s="103">
        <f t="shared" si="16"/>
        <v>0</v>
      </c>
      <c r="F99" s="103">
        <f t="shared" si="16"/>
        <v>0</v>
      </c>
      <c r="G99" s="103">
        <f t="shared" si="16"/>
        <v>0</v>
      </c>
    </row>
    <row r="100" spans="1:7" x14ac:dyDescent="0.35">
      <c r="A100" s="61" t="s">
        <v>127</v>
      </c>
      <c r="B100" s="62"/>
      <c r="C100" s="62"/>
      <c r="D100" s="62"/>
      <c r="E100" s="62"/>
      <c r="F100" s="62"/>
      <c r="G100" s="62"/>
    </row>
    <row r="101" spans="1:7" x14ac:dyDescent="0.35">
      <c r="A101" s="59" t="s">
        <v>128</v>
      </c>
      <c r="B101" s="56">
        <v>0</v>
      </c>
      <c r="C101" s="56">
        <v>0</v>
      </c>
      <c r="D101" s="56">
        <v>0</v>
      </c>
      <c r="E101" s="56">
        <v>0</v>
      </c>
      <c r="F101" s="56">
        <v>0</v>
      </c>
      <c r="G101" s="56">
        <v>120</v>
      </c>
    </row>
    <row r="102" spans="1:7" x14ac:dyDescent="0.35">
      <c r="A102" s="67" t="s">
        <v>129</v>
      </c>
      <c r="B102" s="75">
        <v>3.5</v>
      </c>
      <c r="C102" s="75">
        <v>3.5</v>
      </c>
      <c r="D102" s="75">
        <v>3.5</v>
      </c>
      <c r="E102" s="75">
        <v>3.5</v>
      </c>
      <c r="F102" s="75">
        <v>3.5</v>
      </c>
      <c r="G102" s="75">
        <v>4</v>
      </c>
    </row>
    <row r="103" spans="1:7" x14ac:dyDescent="0.35">
      <c r="A103" s="60" t="s">
        <v>130</v>
      </c>
      <c r="B103" s="103">
        <f t="shared" ref="B103:C103" si="17">B101/B102</f>
        <v>0</v>
      </c>
      <c r="C103" s="103">
        <f t="shared" si="17"/>
        <v>0</v>
      </c>
      <c r="D103" s="103">
        <f t="shared" ref="D103:E103" si="18">D101/D102</f>
        <v>0</v>
      </c>
      <c r="E103" s="103">
        <f t="shared" si="18"/>
        <v>0</v>
      </c>
      <c r="F103" s="103">
        <f t="shared" ref="F103:G103" si="19">F101/F102</f>
        <v>0</v>
      </c>
      <c r="G103" s="103">
        <f t="shared" si="19"/>
        <v>30</v>
      </c>
    </row>
    <row r="104" spans="1:7" x14ac:dyDescent="0.35">
      <c r="A104" s="4" t="s">
        <v>257</v>
      </c>
      <c r="B104" s="27"/>
      <c r="C104" s="27"/>
      <c r="D104" s="27"/>
      <c r="E104" s="27"/>
      <c r="F104" s="27"/>
      <c r="G104" s="27"/>
    </row>
    <row r="105" spans="1:7" x14ac:dyDescent="0.35">
      <c r="A105" s="117" t="s">
        <v>249</v>
      </c>
      <c r="B105" s="118">
        <v>3</v>
      </c>
      <c r="C105" s="118">
        <v>4</v>
      </c>
      <c r="D105" s="118">
        <v>4</v>
      </c>
      <c r="E105" s="118">
        <v>4</v>
      </c>
      <c r="F105" s="118">
        <v>2</v>
      </c>
      <c r="G105" s="118">
        <v>2</v>
      </c>
    </row>
    <row r="106" spans="1:7" x14ac:dyDescent="0.35">
      <c r="A106" s="119" t="s">
        <v>250</v>
      </c>
      <c r="B106" s="120">
        <v>260</v>
      </c>
      <c r="C106" s="120">
        <f>90*4</f>
        <v>360</v>
      </c>
      <c r="D106" s="120">
        <f>46+286+92+121</f>
        <v>545</v>
      </c>
      <c r="E106" s="120">
        <f>46+286+92+121</f>
        <v>545</v>
      </c>
      <c r="F106" s="120">
        <v>258</v>
      </c>
      <c r="G106" s="120">
        <v>255</v>
      </c>
    </row>
    <row r="107" spans="1:7" x14ac:dyDescent="0.35">
      <c r="A107" s="45" t="s">
        <v>137</v>
      </c>
      <c r="B107" s="53"/>
      <c r="C107" s="53"/>
      <c r="D107" s="53"/>
      <c r="E107" s="53"/>
      <c r="F107" s="53"/>
      <c r="G107" s="53"/>
    </row>
    <row r="108" spans="1:7" x14ac:dyDescent="0.35">
      <c r="A108" s="48" t="s">
        <v>242</v>
      </c>
      <c r="B108" s="101">
        <f t="shared" ref="B108:G108" si="20">B82+B85+B88+B106</f>
        <v>2470</v>
      </c>
      <c r="C108" s="101">
        <f t="shared" si="20"/>
        <v>2983</v>
      </c>
      <c r="D108" s="101">
        <f t="shared" si="20"/>
        <v>2676</v>
      </c>
      <c r="E108" s="101">
        <f t="shared" si="20"/>
        <v>2640</v>
      </c>
      <c r="F108" s="101">
        <f t="shared" si="20"/>
        <v>1538</v>
      </c>
      <c r="G108" s="101">
        <f t="shared" si="20"/>
        <v>1423</v>
      </c>
    </row>
    <row r="109" spans="1:7" x14ac:dyDescent="0.35">
      <c r="A109" s="48" t="s">
        <v>138</v>
      </c>
      <c r="B109" s="101">
        <f t="shared" ref="B109:G109" si="21">B91+B94+B97</f>
        <v>8720</v>
      </c>
      <c r="C109" s="101">
        <f t="shared" si="21"/>
        <v>8977</v>
      </c>
      <c r="D109" s="101">
        <f t="shared" si="21"/>
        <v>9770</v>
      </c>
      <c r="E109" s="101">
        <f t="shared" si="21"/>
        <v>9712</v>
      </c>
      <c r="F109" s="101">
        <f t="shared" si="21"/>
        <v>3424</v>
      </c>
      <c r="G109" s="101">
        <f t="shared" si="21"/>
        <v>2447</v>
      </c>
    </row>
    <row r="110" spans="1:7" x14ac:dyDescent="0.35">
      <c r="A110" s="105"/>
      <c r="B110" s="129"/>
      <c r="C110" s="129"/>
      <c r="D110" s="129"/>
      <c r="E110" s="129"/>
      <c r="F110" s="129"/>
      <c r="G110" s="129"/>
    </row>
    <row r="112" spans="1:7" x14ac:dyDescent="0.35">
      <c r="A112" s="45" t="s">
        <v>149</v>
      </c>
      <c r="B112" s="53"/>
      <c r="C112" s="53"/>
      <c r="D112" s="53"/>
      <c r="E112" s="53"/>
      <c r="F112" s="53"/>
      <c r="G112" s="53"/>
    </row>
    <row r="113" spans="1:7" x14ac:dyDescent="0.35">
      <c r="A113" s="59" t="s">
        <v>133</v>
      </c>
      <c r="B113" s="56"/>
      <c r="C113" s="56"/>
      <c r="D113" s="56"/>
      <c r="E113" s="56"/>
      <c r="F113" s="56"/>
      <c r="G113" s="56"/>
    </row>
    <row r="114" spans="1:7" ht="13.5" customHeight="1" x14ac:dyDescent="0.35">
      <c r="A114" s="60" t="s">
        <v>134</v>
      </c>
      <c r="B114" s="58"/>
      <c r="C114" s="58"/>
      <c r="D114" s="58"/>
      <c r="E114" s="58"/>
      <c r="F114" s="58"/>
      <c r="G114" s="58"/>
    </row>
    <row r="115" spans="1:7" x14ac:dyDescent="0.35">
      <c r="A115" s="61" t="s">
        <v>34</v>
      </c>
      <c r="B115" s="104"/>
      <c r="C115" s="104"/>
      <c r="D115" s="104"/>
      <c r="E115" s="104"/>
      <c r="F115" s="104"/>
      <c r="G115" s="104"/>
    </row>
    <row r="116" spans="1:7" ht="13.5" customHeight="1" x14ac:dyDescent="0.35">
      <c r="A116" s="59" t="s">
        <v>152</v>
      </c>
      <c r="B116" s="56"/>
      <c r="C116" s="56"/>
      <c r="D116" s="56"/>
      <c r="E116" s="56"/>
      <c r="F116" s="56"/>
      <c r="G116" s="56"/>
    </row>
    <row r="117" spans="1:7" ht="13.5" customHeight="1" x14ac:dyDescent="0.35">
      <c r="A117" s="67" t="s">
        <v>153</v>
      </c>
      <c r="B117" s="75"/>
      <c r="C117" s="75"/>
      <c r="D117" s="75"/>
      <c r="E117" s="75"/>
      <c r="F117" s="75"/>
      <c r="G117" s="75"/>
    </row>
    <row r="118" spans="1:7" ht="13.5" customHeight="1" x14ac:dyDescent="0.35">
      <c r="A118" s="60" t="s">
        <v>154</v>
      </c>
      <c r="B118" s="58"/>
      <c r="C118" s="58"/>
      <c r="D118" s="58"/>
      <c r="E118" s="58"/>
      <c r="F118" s="58"/>
      <c r="G118" s="58"/>
    </row>
    <row r="119" spans="1:7" ht="13.5" customHeight="1" x14ac:dyDescent="0.35">
      <c r="A119" s="61" t="s">
        <v>158</v>
      </c>
      <c r="B119" s="104"/>
      <c r="C119" s="104"/>
      <c r="D119" s="104"/>
      <c r="E119" s="104"/>
      <c r="F119" s="104"/>
      <c r="G119" s="104"/>
    </row>
    <row r="120" spans="1:7" ht="13.5" customHeight="1" x14ac:dyDescent="0.35">
      <c r="A120" s="59" t="s">
        <v>159</v>
      </c>
      <c r="B120" s="57">
        <v>10</v>
      </c>
      <c r="C120" s="57">
        <v>20</v>
      </c>
      <c r="D120" s="57">
        <v>10</v>
      </c>
      <c r="E120" s="57">
        <v>30</v>
      </c>
      <c r="F120" s="57">
        <v>0</v>
      </c>
      <c r="G120" s="57">
        <v>0</v>
      </c>
    </row>
    <row r="121" spans="1:7" x14ac:dyDescent="0.35">
      <c r="A121" s="67" t="s">
        <v>160</v>
      </c>
      <c r="B121" s="72">
        <v>360</v>
      </c>
      <c r="C121" s="72">
        <v>360</v>
      </c>
      <c r="D121" s="72">
        <v>356</v>
      </c>
      <c r="E121" s="72">
        <v>356</v>
      </c>
      <c r="F121" s="72">
        <v>163</v>
      </c>
      <c r="G121" s="72">
        <v>192</v>
      </c>
    </row>
    <row r="122" spans="1:7" x14ac:dyDescent="0.35">
      <c r="A122" s="67" t="s">
        <v>224</v>
      </c>
      <c r="B122" s="72">
        <v>710</v>
      </c>
      <c r="C122" s="72">
        <v>710</v>
      </c>
      <c r="D122" s="72">
        <v>710</v>
      </c>
      <c r="E122" s="72">
        <v>710</v>
      </c>
      <c r="F122" s="72">
        <f>F121*2</f>
        <v>326</v>
      </c>
      <c r="G122" s="72">
        <f>G121*2</f>
        <v>384</v>
      </c>
    </row>
    <row r="123" spans="1:7" x14ac:dyDescent="0.35">
      <c r="A123" s="59" t="s">
        <v>222</v>
      </c>
      <c r="B123" s="57"/>
      <c r="C123" s="57"/>
      <c r="D123" s="57"/>
      <c r="E123" s="57"/>
      <c r="F123" s="57"/>
      <c r="G123" s="57"/>
    </row>
    <row r="124" spans="1:7" x14ac:dyDescent="0.35">
      <c r="A124" s="67" t="s">
        <v>223</v>
      </c>
      <c r="B124" s="72"/>
      <c r="C124" s="72"/>
      <c r="D124" s="72"/>
      <c r="E124" s="72"/>
      <c r="F124" s="72"/>
      <c r="G124" s="72"/>
    </row>
    <row r="125" spans="1:7" x14ac:dyDescent="0.35">
      <c r="A125" s="60" t="s">
        <v>221</v>
      </c>
      <c r="B125" s="71"/>
      <c r="C125" s="71"/>
      <c r="D125" s="71"/>
      <c r="E125" s="71"/>
      <c r="F125" s="71"/>
      <c r="G125" s="71"/>
    </row>
    <row r="126" spans="1:7" ht="14" customHeight="1" x14ac:dyDescent="0.35">
      <c r="A126" s="105"/>
    </row>
    <row r="128" spans="1:7" x14ac:dyDescent="0.35">
      <c r="A128" s="61" t="s">
        <v>251</v>
      </c>
      <c r="B128" s="104"/>
      <c r="C128" s="104"/>
      <c r="D128" s="104"/>
      <c r="E128" s="104"/>
      <c r="F128" s="104"/>
      <c r="G128" s="104"/>
    </row>
    <row r="129" spans="1:7" x14ac:dyDescent="0.35">
      <c r="A129" s="121" t="s">
        <v>252</v>
      </c>
      <c r="B129" s="100"/>
      <c r="C129" s="100"/>
      <c r="D129" s="100"/>
      <c r="E129" s="100"/>
      <c r="F129" s="100"/>
      <c r="G129" s="100"/>
    </row>
    <row r="130" spans="1:7" x14ac:dyDescent="0.35">
      <c r="A130" s="122" t="s">
        <v>209</v>
      </c>
      <c r="B130" s="75">
        <v>1178</v>
      </c>
      <c r="C130" s="75">
        <v>1870</v>
      </c>
      <c r="D130" s="75">
        <f>1148+336</f>
        <v>1484</v>
      </c>
      <c r="E130" s="75">
        <v>1585</v>
      </c>
      <c r="F130" s="75">
        <v>790</v>
      </c>
      <c r="G130" s="75">
        <v>1000</v>
      </c>
    </row>
    <row r="131" spans="1:7" x14ac:dyDescent="0.35">
      <c r="A131" s="122" t="s">
        <v>253</v>
      </c>
      <c r="B131" s="75">
        <v>0</v>
      </c>
      <c r="C131" s="75">
        <v>0</v>
      </c>
      <c r="D131" s="75">
        <v>0</v>
      </c>
      <c r="E131" s="75">
        <v>0</v>
      </c>
      <c r="F131" s="75">
        <v>0</v>
      </c>
      <c r="G131" s="75">
        <v>0</v>
      </c>
    </row>
    <row r="132" spans="1:7" x14ac:dyDescent="0.35">
      <c r="A132" s="123" t="s">
        <v>254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</row>
    <row r="133" spans="1:7" x14ac:dyDescent="0.35">
      <c r="A133" s="121" t="s">
        <v>255</v>
      </c>
      <c r="B133" s="100"/>
      <c r="C133" s="100"/>
      <c r="D133" s="100"/>
      <c r="E133" s="100"/>
      <c r="F133" s="100"/>
      <c r="G133" s="100"/>
    </row>
    <row r="134" spans="1:7" x14ac:dyDescent="0.35">
      <c r="A134" s="122" t="s">
        <v>209</v>
      </c>
      <c r="B134" s="75">
        <v>1000</v>
      </c>
      <c r="C134" s="75">
        <v>1000</v>
      </c>
      <c r="D134" s="75">
        <v>1000</v>
      </c>
      <c r="E134" s="75">
        <v>1000</v>
      </c>
      <c r="F134" s="75">
        <v>1000</v>
      </c>
      <c r="G134" s="75">
        <v>1000</v>
      </c>
    </row>
    <row r="135" spans="1:7" x14ac:dyDescent="0.35">
      <c r="A135" s="122" t="s">
        <v>253</v>
      </c>
      <c r="B135" s="75">
        <v>0</v>
      </c>
      <c r="C135" s="75">
        <v>0</v>
      </c>
      <c r="D135" s="75">
        <v>0</v>
      </c>
      <c r="E135" s="75">
        <v>0</v>
      </c>
      <c r="F135" s="75">
        <v>0</v>
      </c>
      <c r="G135" s="75">
        <v>0</v>
      </c>
    </row>
    <row r="136" spans="1:7" x14ac:dyDescent="0.35">
      <c r="A136" s="123" t="s">
        <v>254</v>
      </c>
      <c r="B136" s="58">
        <v>0</v>
      </c>
      <c r="C136" s="58">
        <v>0</v>
      </c>
      <c r="D136" s="58">
        <v>0</v>
      </c>
      <c r="E136" s="58">
        <v>0</v>
      </c>
      <c r="F136" s="58">
        <v>0</v>
      </c>
      <c r="G136" s="58">
        <v>0</v>
      </c>
    </row>
    <row r="137" spans="1:7" x14ac:dyDescent="0.35">
      <c r="A137" s="128" t="s">
        <v>258</v>
      </c>
      <c r="B137" s="100"/>
      <c r="C137" s="100"/>
      <c r="D137" s="100"/>
      <c r="E137" s="100"/>
      <c r="F137" s="100"/>
      <c r="G137" s="100"/>
    </row>
    <row r="138" spans="1:7" x14ac:dyDescent="0.35">
      <c r="A138" s="122" t="s">
        <v>209</v>
      </c>
      <c r="B138" s="75"/>
      <c r="C138" s="75"/>
      <c r="D138" s="75"/>
      <c r="E138" s="75"/>
      <c r="F138" s="75"/>
      <c r="G138" s="75"/>
    </row>
    <row r="139" spans="1:7" x14ac:dyDescent="0.35">
      <c r="A139" s="122" t="s">
        <v>253</v>
      </c>
      <c r="B139" s="75"/>
      <c r="C139" s="75"/>
      <c r="D139" s="75"/>
      <c r="E139" s="75"/>
      <c r="F139" s="75"/>
      <c r="G139" s="75"/>
    </row>
    <row r="140" spans="1:7" x14ac:dyDescent="0.35">
      <c r="A140" s="123" t="s">
        <v>254</v>
      </c>
      <c r="B140" s="58"/>
      <c r="C140" s="58"/>
      <c r="D140" s="58"/>
      <c r="E140" s="58"/>
      <c r="F140" s="58"/>
      <c r="G140" s="58"/>
    </row>
    <row r="141" spans="1:7" x14ac:dyDescent="0.35">
      <c r="A141" s="61" t="s">
        <v>142</v>
      </c>
      <c r="B141" s="62"/>
      <c r="C141" s="62"/>
      <c r="D141" s="62"/>
      <c r="E141" s="62"/>
      <c r="F141" s="62"/>
      <c r="G141" s="62"/>
    </row>
    <row r="142" spans="1:7" x14ac:dyDescent="0.35">
      <c r="A142" s="106" t="s">
        <v>143</v>
      </c>
      <c r="B142" s="124"/>
      <c r="C142" s="124"/>
      <c r="D142" s="124"/>
      <c r="E142" s="124"/>
      <c r="F142" s="124"/>
      <c r="G142" s="124"/>
    </row>
    <row r="143" spans="1:7" x14ac:dyDescent="0.35">
      <c r="A143" s="65" t="s">
        <v>144</v>
      </c>
      <c r="B143" s="125"/>
      <c r="C143" s="125"/>
      <c r="D143" s="125"/>
      <c r="E143" s="125"/>
      <c r="F143" s="125"/>
      <c r="G143" s="125"/>
    </row>
    <row r="144" spans="1:7" x14ac:dyDescent="0.35">
      <c r="A144" s="65" t="s">
        <v>145</v>
      </c>
      <c r="B144" s="126"/>
      <c r="C144" s="126"/>
      <c r="D144" s="126"/>
      <c r="E144" s="126"/>
      <c r="F144" s="126"/>
      <c r="G144" s="126"/>
    </row>
    <row r="145" spans="1:7" x14ac:dyDescent="0.35">
      <c r="A145" s="65" t="s">
        <v>146</v>
      </c>
      <c r="B145" s="125"/>
      <c r="C145" s="125"/>
      <c r="D145" s="125"/>
      <c r="E145" s="125"/>
      <c r="F145" s="125"/>
      <c r="G145" s="125"/>
    </row>
    <row r="146" spans="1:7" x14ac:dyDescent="0.35">
      <c r="A146" s="65" t="s">
        <v>147</v>
      </c>
      <c r="B146" s="126"/>
      <c r="C146" s="126"/>
      <c r="D146" s="126"/>
      <c r="E146" s="126"/>
      <c r="F146" s="126"/>
      <c r="G146" s="126"/>
    </row>
    <row r="147" spans="1:7" x14ac:dyDescent="0.35">
      <c r="A147" s="89" t="s">
        <v>256</v>
      </c>
      <c r="B147" s="127"/>
      <c r="C147" s="127"/>
      <c r="D147" s="127"/>
      <c r="E147" s="127"/>
      <c r="F147" s="127"/>
      <c r="G147" s="127"/>
    </row>
    <row r="148" spans="1:7" x14ac:dyDescent="0.35">
      <c r="A148" s="45" t="s">
        <v>150</v>
      </c>
      <c r="B148" s="53"/>
      <c r="C148" s="53"/>
      <c r="D148" s="53"/>
      <c r="E148" s="53"/>
      <c r="F148" s="53"/>
      <c r="G148" s="53"/>
    </row>
    <row r="149" spans="1:7" x14ac:dyDescent="0.35">
      <c r="A149" s="106" t="s">
        <v>29</v>
      </c>
      <c r="B149" s="107">
        <f t="shared" ref="B149:G149" si="22">B30+B69+B101+B108+B79+B80+B114+B118+B130+B134+B138</f>
        <v>5126.0680000000002</v>
      </c>
      <c r="C149" s="107">
        <f t="shared" si="22"/>
        <v>6735.848</v>
      </c>
      <c r="D149" s="107">
        <f t="shared" si="22"/>
        <v>6023.92</v>
      </c>
      <c r="E149" s="107">
        <f t="shared" si="22"/>
        <v>6088.8919999999998</v>
      </c>
      <c r="F149" s="107">
        <f t="shared" si="22"/>
        <v>3881.3270000000002</v>
      </c>
      <c r="G149" s="107">
        <f t="shared" si="22"/>
        <v>4096.3620000000001</v>
      </c>
    </row>
    <row r="150" spans="1:7" x14ac:dyDescent="0.35">
      <c r="A150" s="108" t="s">
        <v>141</v>
      </c>
      <c r="B150" s="109">
        <f t="shared" ref="B150:G150" si="23">B132+B136+B140</f>
        <v>0</v>
      </c>
      <c r="C150" s="109">
        <f t="shared" si="23"/>
        <v>0</v>
      </c>
      <c r="D150" s="109">
        <f t="shared" si="23"/>
        <v>0</v>
      </c>
      <c r="E150" s="109">
        <f t="shared" si="23"/>
        <v>0</v>
      </c>
      <c r="F150" s="109">
        <f t="shared" si="23"/>
        <v>0</v>
      </c>
      <c r="G150" s="109">
        <f t="shared" si="23"/>
        <v>0</v>
      </c>
    </row>
    <row r="153" spans="1:7" x14ac:dyDescent="0.35">
      <c r="A153" s="45" t="s">
        <v>182</v>
      </c>
      <c r="B153" s="53"/>
      <c r="C153" s="53"/>
      <c r="D153" s="53"/>
      <c r="E153" s="53"/>
      <c r="F153" s="53"/>
      <c r="G153" s="53"/>
    </row>
    <row r="154" spans="1:7" x14ac:dyDescent="0.35">
      <c r="A154" s="63" t="s">
        <v>9</v>
      </c>
      <c r="B154" s="132">
        <f>B36</f>
        <v>0.42135922330097081</v>
      </c>
      <c r="C154" s="132">
        <f>SUM('Détails AgriPV'!D4:E4)/SUM('Détails AgriPV'!D5:E5)</f>
        <v>0.4406975015669588</v>
      </c>
      <c r="D154" s="132">
        <f>SUM('Détails AgriPV'!D4:E4)/SUM('Détails AgriPV'!D5:E5)</f>
        <v>0.4406975015669588</v>
      </c>
      <c r="E154" s="132">
        <f>SUM('Détails AgriPV'!E4:F4)/SUM('Détails AgriPV'!E5:F5)</f>
        <v>0.43156070756331005</v>
      </c>
      <c r="F154" s="132">
        <f>SUM('Détails AgriPV'!D4:E4)/SUM('Détails AgriPV'!D5:E5)</f>
        <v>0.4406975015669588</v>
      </c>
      <c r="G154" s="132" t="e">
        <f>SUM('Détails AgriPV'!F4:H4)/SUM('Détails AgriPV'!F5:H5)</f>
        <v>#DIV/0!</v>
      </c>
    </row>
    <row r="155" spans="1:7" x14ac:dyDescent="0.35">
      <c r="A155" s="111" t="s">
        <v>88</v>
      </c>
      <c r="B155" s="112"/>
      <c r="C155" s="112"/>
      <c r="D155" s="112"/>
      <c r="E155" s="112"/>
      <c r="F155" s="112"/>
      <c r="G155" s="112"/>
    </row>
    <row r="158" spans="1:7" x14ac:dyDescent="0.35">
      <c r="A158" s="45" t="s">
        <v>151</v>
      </c>
      <c r="B158" s="53"/>
      <c r="C158" s="53"/>
      <c r="D158" s="53"/>
      <c r="E158" s="53"/>
      <c r="F158" s="53"/>
      <c r="G158" s="53"/>
    </row>
    <row r="159" spans="1:7" x14ac:dyDescent="0.35">
      <c r="A159" s="59" t="s">
        <v>92</v>
      </c>
      <c r="B159" s="56" t="s">
        <v>93</v>
      </c>
      <c r="C159" s="56" t="s">
        <v>301</v>
      </c>
      <c r="D159" s="56" t="s">
        <v>301</v>
      </c>
      <c r="E159" s="56" t="s">
        <v>301</v>
      </c>
      <c r="F159" s="56" t="s">
        <v>301</v>
      </c>
      <c r="G159" s="56" t="s">
        <v>301</v>
      </c>
    </row>
    <row r="160" spans="1:7" x14ac:dyDescent="0.35">
      <c r="A160" s="63" t="s">
        <v>16</v>
      </c>
      <c r="B160" s="110">
        <v>1151</v>
      </c>
      <c r="C160" s="110">
        <v>1138</v>
      </c>
      <c r="D160" s="110">
        <v>1129</v>
      </c>
      <c r="E160" s="110">
        <v>1138</v>
      </c>
      <c r="F160" s="110">
        <v>1157</v>
      </c>
      <c r="G160" s="110">
        <v>1138</v>
      </c>
    </row>
    <row r="161" spans="1:7" x14ac:dyDescent="0.35">
      <c r="A161" s="67" t="s">
        <v>17</v>
      </c>
      <c r="B161" s="113">
        <v>0.89439999999999997</v>
      </c>
      <c r="C161" s="113">
        <v>0.88490000000000002</v>
      </c>
      <c r="D161" s="113">
        <v>0.87739999999999996</v>
      </c>
      <c r="E161" s="113">
        <v>0.88160000000000005</v>
      </c>
      <c r="F161" s="113">
        <v>0.89700000000000002</v>
      </c>
      <c r="G161" s="113">
        <v>0.88149999999999995</v>
      </c>
    </row>
    <row r="162" spans="1:7" x14ac:dyDescent="0.35">
      <c r="A162" s="60" t="s">
        <v>18</v>
      </c>
      <c r="B162" s="114">
        <f t="shared" ref="B162:G162" si="24">IFERROR(B39*B160/1000,"-")</f>
        <v>11.481915600000001</v>
      </c>
      <c r="C162" s="114">
        <f t="shared" si="24"/>
        <v>10.329216319999999</v>
      </c>
      <c r="D162" s="114">
        <f t="shared" si="24"/>
        <v>11.2778068</v>
      </c>
      <c r="E162" s="114">
        <f t="shared" si="24"/>
        <v>11.3677096</v>
      </c>
      <c r="F162" s="114">
        <f t="shared" si="24"/>
        <v>3.4570234399999999</v>
      </c>
      <c r="G162" s="114">
        <f t="shared" si="24"/>
        <v>3.40025296</v>
      </c>
    </row>
    <row r="163" spans="1:7" x14ac:dyDescent="0.35">
      <c r="A163" s="115"/>
      <c r="B163" s="116"/>
      <c r="C163" s="116"/>
      <c r="D163" s="116"/>
      <c r="E163" s="116"/>
      <c r="F163" s="116"/>
      <c r="G163" s="116"/>
    </row>
    <row r="164" spans="1:7" x14ac:dyDescent="0.35">
      <c r="A164" s="115"/>
      <c r="B164" s="116"/>
      <c r="C164" s="116"/>
      <c r="D164" s="116"/>
      <c r="E164" s="116"/>
      <c r="F164" s="116"/>
      <c r="G164" s="116"/>
    </row>
  </sheetData>
  <dataValidations count="7">
    <dataValidation type="list" allowBlank="1" showInputMessage="1" showErrorMessage="1" sqref="B28:G28" xr:uid="{BBF4FC76-988F-4290-950B-462D6354C02B}">
      <formula1>"Pieux battus,Pieux Forage/Battus,Pieux Forage,Longrine"</formula1>
    </dataValidation>
    <dataValidation type="list" allowBlank="1" showInputMessage="1" showErrorMessage="1" sqref="B44:G44" xr:uid="{98C38DE2-3E06-4EED-8F04-609A2A16EF37}">
      <formula1>"Centraux,String"</formula1>
    </dataValidation>
    <dataValidation type="list" allowBlank="1" showInputMessage="1" showErrorMessage="1" sqref="B2:G2" xr:uid="{3349BE65-1D22-473F-AACD-B52CDCF13E85}">
      <formula1>"ESQ,APS,APD,PRO"</formula1>
    </dataValidation>
    <dataValidation type="list" allowBlank="1" showInputMessage="1" showErrorMessage="1" sqref="B159:G159" xr:uid="{28582FC5-BFA6-4491-86D0-0B8FB410AEFD}">
      <formula1>"Solargis,PVsyst"</formula1>
    </dataValidation>
    <dataValidation type="list" allowBlank="1" showInputMessage="1" showErrorMessage="1" sqref="B15:G15" xr:uid="{7508E3DB-F6EF-44BB-B975-5600CF026C69}">
      <formula1>"Fixe,Tracker,Flotteur"</formula1>
    </dataValidation>
    <dataValidation type="list" allowBlank="1" showInputMessage="1" showErrorMessage="1" sqref="B32:G32" xr:uid="{BD0DB39B-AF90-435E-AF17-B2402C25EEC2}">
      <formula1>"G12,G12R"</formula1>
    </dataValidation>
    <dataValidation type="list" allowBlank="1" showInputMessage="1" showErrorMessage="1" sqref="B5:G6" xr:uid="{6BF0C961-9EE1-4C8D-9D34-DC32FC17BE98}">
      <formula1>#REF!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489DFD-7124-4C80-AE7D-C76021F082A8}">
          <x14:formula1>
            <xm:f>'Standards UNITe'!$C$3:$J$3</xm:f>
          </x14:formula1>
          <xm:sqref>B7:G7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60201-08F0-4405-A227-16E78FF5AD86}">
  <dimension ref="G1:H164"/>
  <sheetViews>
    <sheetView tabSelected="1" topLeftCell="A18" workbookViewId="0">
      <selection activeCell="H38" sqref="H38"/>
    </sheetView>
  </sheetViews>
  <sheetFormatPr baseColWidth="10" defaultRowHeight="14.5" x14ac:dyDescent="0.35"/>
  <cols>
    <col min="7" max="7" width="33.54296875" bestFit="1" customWidth="1"/>
    <col min="8" max="8" width="11.81640625" bestFit="1" customWidth="1"/>
  </cols>
  <sheetData>
    <row r="1" spans="7:8" x14ac:dyDescent="0.35">
      <c r="G1" s="166" t="s">
        <v>297</v>
      </c>
      <c r="H1" s="17" t="s">
        <v>304</v>
      </c>
    </row>
    <row r="2" spans="7:8" x14ac:dyDescent="0.35">
      <c r="G2" s="48" t="s">
        <v>0</v>
      </c>
      <c r="H2" s="17" t="s">
        <v>261</v>
      </c>
    </row>
    <row r="3" spans="7:8" x14ac:dyDescent="0.35">
      <c r="G3" s="167" t="s">
        <v>1</v>
      </c>
      <c r="H3" s="17">
        <v>46261</v>
      </c>
    </row>
    <row r="4" spans="7:8" x14ac:dyDescent="0.35">
      <c r="G4" s="168"/>
      <c r="H4" s="17"/>
    </row>
    <row r="5" spans="7:8" x14ac:dyDescent="0.35">
      <c r="G5" s="167"/>
      <c r="H5" s="17"/>
    </row>
    <row r="6" spans="7:8" x14ac:dyDescent="0.35">
      <c r="G6" s="166" t="s">
        <v>178</v>
      </c>
      <c r="H6" s="17"/>
    </row>
    <row r="7" spans="7:8" x14ac:dyDescent="0.35">
      <c r="G7" s="169" t="s">
        <v>31</v>
      </c>
      <c r="H7" s="17" t="s">
        <v>3</v>
      </c>
    </row>
    <row r="8" spans="7:8" x14ac:dyDescent="0.35">
      <c r="G8" s="100" t="s">
        <v>103</v>
      </c>
      <c r="H8" s="17">
        <v>4.87</v>
      </c>
    </row>
    <row r="9" spans="7:8" x14ac:dyDescent="0.35">
      <c r="G9" s="100" t="s">
        <v>104</v>
      </c>
      <c r="H9" s="17">
        <v>949</v>
      </c>
    </row>
    <row r="10" spans="7:8" x14ac:dyDescent="0.35">
      <c r="G10" s="100" t="s">
        <v>132</v>
      </c>
      <c r="H10" s="17">
        <v>1</v>
      </c>
    </row>
    <row r="11" spans="7:8" x14ac:dyDescent="0.35">
      <c r="G11" s="100" t="s">
        <v>131</v>
      </c>
      <c r="H11" s="17">
        <v>7</v>
      </c>
    </row>
    <row r="12" spans="7:8" x14ac:dyDescent="0.35">
      <c r="G12" s="168"/>
      <c r="H12" s="17"/>
    </row>
    <row r="13" spans="7:8" x14ac:dyDescent="0.35">
      <c r="G13" s="166" t="s">
        <v>102</v>
      </c>
      <c r="H13" s="17"/>
    </row>
    <row r="14" spans="7:8" x14ac:dyDescent="0.35">
      <c r="G14" s="170" t="s">
        <v>95</v>
      </c>
      <c r="H14" s="17"/>
    </row>
    <row r="15" spans="7:8" x14ac:dyDescent="0.35">
      <c r="G15" s="171" t="s">
        <v>94</v>
      </c>
      <c r="H15" s="17" t="s">
        <v>4</v>
      </c>
    </row>
    <row r="16" spans="7:8" x14ac:dyDescent="0.35">
      <c r="G16" s="86" t="s">
        <v>19</v>
      </c>
      <c r="H16" s="17" t="s">
        <v>268</v>
      </c>
    </row>
    <row r="17" spans="7:8" x14ac:dyDescent="0.35">
      <c r="G17" s="48" t="s">
        <v>5</v>
      </c>
      <c r="H17" s="17">
        <v>25</v>
      </c>
    </row>
    <row r="18" spans="7:8" x14ac:dyDescent="0.35">
      <c r="G18" s="48" t="s">
        <v>6</v>
      </c>
      <c r="H18" s="17">
        <v>-24.5</v>
      </c>
    </row>
    <row r="19" spans="7:8" x14ac:dyDescent="0.35">
      <c r="G19" s="171" t="s">
        <v>89</v>
      </c>
      <c r="H19" s="17" t="s">
        <v>305</v>
      </c>
    </row>
    <row r="20" spans="7:8" x14ac:dyDescent="0.35">
      <c r="G20" s="171" t="s">
        <v>90</v>
      </c>
      <c r="H20" s="17">
        <v>6</v>
      </c>
    </row>
    <row r="21" spans="7:8" x14ac:dyDescent="0.35">
      <c r="G21" s="171" t="s">
        <v>7</v>
      </c>
      <c r="H21" s="17">
        <v>10.3</v>
      </c>
    </row>
    <row r="22" spans="7:8" x14ac:dyDescent="0.35">
      <c r="G22" s="48" t="s">
        <v>11</v>
      </c>
      <c r="H22" s="17">
        <v>1.5</v>
      </c>
    </row>
    <row r="23" spans="7:8" x14ac:dyDescent="0.35">
      <c r="G23" s="48" t="s">
        <v>12</v>
      </c>
      <c r="H23" s="17">
        <v>3.53</v>
      </c>
    </row>
    <row r="24" spans="7:8" x14ac:dyDescent="0.35">
      <c r="G24" s="48" t="s">
        <v>23</v>
      </c>
      <c r="H24" s="17">
        <v>2</v>
      </c>
    </row>
    <row r="25" spans="7:8" x14ac:dyDescent="0.35">
      <c r="G25" s="48" t="s">
        <v>24</v>
      </c>
      <c r="H25" s="17" t="s">
        <v>269</v>
      </c>
    </row>
    <row r="26" spans="7:8" x14ac:dyDescent="0.35">
      <c r="G26" s="48" t="s">
        <v>21</v>
      </c>
      <c r="H26" s="17">
        <v>26</v>
      </c>
    </row>
    <row r="27" spans="7:8" x14ac:dyDescent="0.35">
      <c r="G27" s="48" t="s">
        <v>22</v>
      </c>
      <c r="H27" s="17" t="s">
        <v>303</v>
      </c>
    </row>
    <row r="28" spans="7:8" x14ac:dyDescent="0.35">
      <c r="G28" s="86" t="s">
        <v>20</v>
      </c>
      <c r="H28" s="17" t="s">
        <v>155</v>
      </c>
    </row>
    <row r="29" spans="7:8" x14ac:dyDescent="0.35">
      <c r="G29" s="48" t="s">
        <v>100</v>
      </c>
      <c r="H29" s="17">
        <v>761</v>
      </c>
    </row>
    <row r="30" spans="7:8" x14ac:dyDescent="0.35">
      <c r="G30" s="48" t="s">
        <v>30</v>
      </c>
      <c r="H30" s="17">
        <v>5.327</v>
      </c>
    </row>
    <row r="31" spans="7:8" x14ac:dyDescent="0.35">
      <c r="G31" s="170" t="s">
        <v>96</v>
      </c>
      <c r="H31" s="17"/>
    </row>
    <row r="32" spans="7:8" x14ac:dyDescent="0.35">
      <c r="G32" s="48" t="s">
        <v>97</v>
      </c>
      <c r="H32" s="17" t="s">
        <v>10</v>
      </c>
    </row>
    <row r="33" spans="7:8" x14ac:dyDescent="0.35">
      <c r="G33" s="48" t="s">
        <v>98</v>
      </c>
      <c r="H33" s="17">
        <v>680</v>
      </c>
    </row>
    <row r="34" spans="7:8" x14ac:dyDescent="0.35">
      <c r="G34" s="48" t="s">
        <v>101</v>
      </c>
      <c r="H34" s="17">
        <v>2.7011879999999997</v>
      </c>
    </row>
    <row r="35" spans="7:8" x14ac:dyDescent="0.35">
      <c r="G35" s="48" t="s">
        <v>99</v>
      </c>
      <c r="H35" s="17">
        <v>4394</v>
      </c>
    </row>
    <row r="36" spans="7:8" x14ac:dyDescent="0.35">
      <c r="G36" s="48" t="s">
        <v>8</v>
      </c>
      <c r="H36" s="17" t="s">
        <v>271</v>
      </c>
    </row>
    <row r="37" spans="7:8" x14ac:dyDescent="0.35">
      <c r="G37" s="48" t="s">
        <v>13</v>
      </c>
      <c r="H37" s="17">
        <v>11869.020071999999</v>
      </c>
    </row>
    <row r="38" spans="7:8" x14ac:dyDescent="0.35">
      <c r="G38" s="172" t="s">
        <v>14</v>
      </c>
      <c r="H38" s="17">
        <v>10756.985315747899</v>
      </c>
    </row>
    <row r="39" spans="7:8" x14ac:dyDescent="0.35">
      <c r="G39" s="84" t="s">
        <v>15</v>
      </c>
      <c r="H39" s="17">
        <v>2.9879199999999999</v>
      </c>
    </row>
    <row r="40" spans="7:8" x14ac:dyDescent="0.35">
      <c r="G40" s="168"/>
      <c r="H40" s="17"/>
    </row>
    <row r="41" spans="7:8" x14ac:dyDescent="0.35">
      <c r="G41" s="168"/>
      <c r="H41" s="17"/>
    </row>
    <row r="42" spans="7:8" x14ac:dyDescent="0.35">
      <c r="G42" s="166" t="s">
        <v>135</v>
      </c>
      <c r="H42" s="17"/>
    </row>
    <row r="43" spans="7:8" x14ac:dyDescent="0.35">
      <c r="G43" s="170" t="s">
        <v>109</v>
      </c>
      <c r="H43" s="17"/>
    </row>
    <row r="44" spans="7:8" x14ac:dyDescent="0.35">
      <c r="G44" s="86" t="s">
        <v>25</v>
      </c>
      <c r="H44" s="17" t="s">
        <v>87</v>
      </c>
    </row>
    <row r="45" spans="7:8" x14ac:dyDescent="0.35">
      <c r="G45" s="86" t="s">
        <v>26</v>
      </c>
      <c r="H45" s="17">
        <v>0</v>
      </c>
    </row>
    <row r="46" spans="7:8" x14ac:dyDescent="0.35">
      <c r="G46" s="86" t="s">
        <v>105</v>
      </c>
      <c r="H46" s="17">
        <v>0</v>
      </c>
    </row>
    <row r="47" spans="7:8" x14ac:dyDescent="0.35">
      <c r="G47" s="86" t="s">
        <v>107</v>
      </c>
      <c r="H47" s="17">
        <v>0</v>
      </c>
    </row>
    <row r="48" spans="7:8" x14ac:dyDescent="0.35">
      <c r="G48" s="48" t="s">
        <v>27</v>
      </c>
      <c r="H48" s="17">
        <v>1</v>
      </c>
    </row>
    <row r="49" spans="7:8" x14ac:dyDescent="0.35">
      <c r="G49" s="86" t="s">
        <v>106</v>
      </c>
      <c r="H49" s="17">
        <v>36</v>
      </c>
    </row>
    <row r="50" spans="7:8" x14ac:dyDescent="0.35">
      <c r="G50" s="86" t="s">
        <v>108</v>
      </c>
      <c r="H50" s="17">
        <v>132</v>
      </c>
    </row>
    <row r="51" spans="7:8" x14ac:dyDescent="0.35">
      <c r="G51" s="48" t="s">
        <v>179</v>
      </c>
      <c r="H51" s="17">
        <v>0</v>
      </c>
    </row>
    <row r="52" spans="7:8" x14ac:dyDescent="0.35">
      <c r="G52" s="86" t="s">
        <v>180</v>
      </c>
      <c r="H52" s="17">
        <v>0</v>
      </c>
    </row>
    <row r="53" spans="7:8" x14ac:dyDescent="0.35">
      <c r="G53" s="86" t="s">
        <v>181</v>
      </c>
      <c r="H53" s="17">
        <v>0</v>
      </c>
    </row>
    <row r="54" spans="7:8" x14ac:dyDescent="0.35">
      <c r="G54" s="170" t="s">
        <v>110</v>
      </c>
      <c r="H54" s="17"/>
    </row>
    <row r="55" spans="7:8" x14ac:dyDescent="0.35">
      <c r="G55" s="48" t="s">
        <v>111</v>
      </c>
      <c r="H55" s="17">
        <v>1</v>
      </c>
    </row>
    <row r="56" spans="7:8" x14ac:dyDescent="0.35">
      <c r="G56" s="86" t="s">
        <v>112</v>
      </c>
      <c r="H56" s="17">
        <v>18</v>
      </c>
    </row>
    <row r="57" spans="7:8" x14ac:dyDescent="0.35">
      <c r="G57" s="86" t="s">
        <v>185</v>
      </c>
      <c r="H57" s="17">
        <v>50</v>
      </c>
    </row>
    <row r="58" spans="7:8" x14ac:dyDescent="0.35">
      <c r="G58" s="86" t="s">
        <v>114</v>
      </c>
      <c r="H58" s="17">
        <v>1</v>
      </c>
    </row>
    <row r="59" spans="7:8" x14ac:dyDescent="0.35">
      <c r="G59" s="86" t="s">
        <v>115</v>
      </c>
      <c r="H59" s="17">
        <v>30</v>
      </c>
    </row>
    <row r="60" spans="7:8" x14ac:dyDescent="0.35">
      <c r="G60" s="86" t="s">
        <v>116</v>
      </c>
      <c r="H60" s="17">
        <v>115</v>
      </c>
    </row>
    <row r="61" spans="7:8" x14ac:dyDescent="0.35">
      <c r="G61" s="86" t="s">
        <v>117</v>
      </c>
      <c r="H61" s="17">
        <v>1</v>
      </c>
    </row>
    <row r="62" spans="7:8" x14ac:dyDescent="0.35">
      <c r="G62" s="86" t="s">
        <v>183</v>
      </c>
      <c r="H62" s="17">
        <v>1</v>
      </c>
    </row>
    <row r="63" spans="7:8" x14ac:dyDescent="0.35">
      <c r="G63" s="86" t="s">
        <v>113</v>
      </c>
      <c r="H63" s="17">
        <v>1</v>
      </c>
    </row>
    <row r="64" spans="7:8" x14ac:dyDescent="0.35">
      <c r="G64" s="170" t="s">
        <v>119</v>
      </c>
      <c r="H64" s="17"/>
    </row>
    <row r="65" spans="7:8" ht="29" x14ac:dyDescent="0.35">
      <c r="G65" s="86" t="s">
        <v>118</v>
      </c>
      <c r="H65" s="17">
        <v>1</v>
      </c>
    </row>
    <row r="66" spans="7:8" ht="29" x14ac:dyDescent="0.35">
      <c r="G66" s="86" t="s">
        <v>136</v>
      </c>
      <c r="H66" s="17">
        <v>18</v>
      </c>
    </row>
    <row r="67" spans="7:8" x14ac:dyDescent="0.35">
      <c r="G67" s="166" t="s">
        <v>137</v>
      </c>
      <c r="H67" s="17"/>
    </row>
    <row r="68" spans="7:8" ht="29" x14ac:dyDescent="0.35">
      <c r="G68" s="86" t="s">
        <v>156</v>
      </c>
      <c r="H68" s="17">
        <v>295</v>
      </c>
    </row>
    <row r="69" spans="7:8" ht="29" x14ac:dyDescent="0.35">
      <c r="G69" s="86" t="s">
        <v>157</v>
      </c>
      <c r="H69" s="17">
        <v>412</v>
      </c>
    </row>
    <row r="70" spans="7:8" x14ac:dyDescent="0.35">
      <c r="G70" s="86"/>
      <c r="H70" s="17"/>
    </row>
    <row r="71" spans="7:8" x14ac:dyDescent="0.35">
      <c r="G71" s="168"/>
      <c r="H71" s="17"/>
    </row>
    <row r="72" spans="7:8" x14ac:dyDescent="0.35">
      <c r="G72" s="166" t="s">
        <v>148</v>
      </c>
      <c r="H72" s="17"/>
    </row>
    <row r="73" spans="7:8" x14ac:dyDescent="0.35">
      <c r="G73" s="170" t="s">
        <v>120</v>
      </c>
      <c r="H73" s="17"/>
    </row>
    <row r="74" spans="7:8" x14ac:dyDescent="0.35">
      <c r="G74" s="48" t="s">
        <v>215</v>
      </c>
      <c r="H74" s="17">
        <v>0</v>
      </c>
    </row>
    <row r="75" spans="7:8" x14ac:dyDescent="0.35">
      <c r="G75" s="48" t="s">
        <v>213</v>
      </c>
      <c r="H75" s="17">
        <v>0</v>
      </c>
    </row>
    <row r="76" spans="7:8" x14ac:dyDescent="0.35">
      <c r="G76" s="48" t="s">
        <v>214</v>
      </c>
      <c r="H76" s="17">
        <v>1</v>
      </c>
    </row>
    <row r="77" spans="7:8" x14ac:dyDescent="0.35">
      <c r="G77" s="48" t="s">
        <v>216</v>
      </c>
      <c r="H77" s="17">
        <v>0</v>
      </c>
    </row>
    <row r="78" spans="7:8" x14ac:dyDescent="0.35">
      <c r="G78" s="166" t="s">
        <v>137</v>
      </c>
      <c r="H78" s="17"/>
    </row>
    <row r="79" spans="7:8" x14ac:dyDescent="0.35">
      <c r="G79" s="48" t="s">
        <v>219</v>
      </c>
      <c r="H79" s="17">
        <v>104</v>
      </c>
    </row>
    <row r="80" spans="7:8" x14ac:dyDescent="0.35">
      <c r="G80" s="48" t="s">
        <v>220</v>
      </c>
      <c r="H80" s="17">
        <v>32</v>
      </c>
    </row>
    <row r="81" spans="7:8" x14ac:dyDescent="0.35">
      <c r="G81" s="170" t="s">
        <v>121</v>
      </c>
      <c r="H81" s="17"/>
    </row>
    <row r="82" spans="7:8" x14ac:dyDescent="0.35">
      <c r="G82" s="48" t="s">
        <v>212</v>
      </c>
      <c r="H82" s="17">
        <v>1280</v>
      </c>
    </row>
    <row r="83" spans="7:8" x14ac:dyDescent="0.35">
      <c r="G83" s="48" t="s">
        <v>217</v>
      </c>
      <c r="H83" s="17">
        <v>4</v>
      </c>
    </row>
    <row r="84" spans="7:8" x14ac:dyDescent="0.35">
      <c r="G84" s="48" t="s">
        <v>218</v>
      </c>
      <c r="H84" s="17">
        <v>320</v>
      </c>
    </row>
    <row r="85" spans="7:8" x14ac:dyDescent="0.35">
      <c r="G85" s="48" t="s">
        <v>122</v>
      </c>
      <c r="H85" s="17">
        <v>0</v>
      </c>
    </row>
    <row r="86" spans="7:8" x14ac:dyDescent="0.35">
      <c r="G86" s="48" t="s">
        <v>124</v>
      </c>
      <c r="H86" s="17">
        <v>3.5</v>
      </c>
    </row>
    <row r="87" spans="7:8" x14ac:dyDescent="0.35">
      <c r="G87" s="48" t="s">
        <v>123</v>
      </c>
      <c r="H87" s="17">
        <v>0</v>
      </c>
    </row>
    <row r="88" spans="7:8" x14ac:dyDescent="0.35">
      <c r="G88" s="48" t="s">
        <v>28</v>
      </c>
      <c r="H88" s="17">
        <v>0</v>
      </c>
    </row>
    <row r="89" spans="7:8" x14ac:dyDescent="0.35">
      <c r="G89" s="48" t="s">
        <v>126</v>
      </c>
      <c r="H89" s="17">
        <v>3.5</v>
      </c>
    </row>
    <row r="90" spans="7:8" x14ac:dyDescent="0.35">
      <c r="G90" s="48" t="s">
        <v>125</v>
      </c>
      <c r="H90" s="17">
        <v>0</v>
      </c>
    </row>
    <row r="91" spans="7:8" x14ac:dyDescent="0.35">
      <c r="G91" s="48" t="s">
        <v>243</v>
      </c>
      <c r="H91" s="17">
        <v>3424</v>
      </c>
    </row>
    <row r="92" spans="7:8" x14ac:dyDescent="0.35">
      <c r="G92" s="48" t="s">
        <v>244</v>
      </c>
      <c r="H92" s="17">
        <v>4</v>
      </c>
    </row>
    <row r="93" spans="7:8" x14ac:dyDescent="0.35">
      <c r="G93" s="48" t="s">
        <v>245</v>
      </c>
      <c r="H93" s="17">
        <v>856</v>
      </c>
    </row>
    <row r="94" spans="7:8" x14ac:dyDescent="0.35">
      <c r="G94" s="48" t="s">
        <v>246</v>
      </c>
      <c r="H94" s="17">
        <v>0</v>
      </c>
    </row>
    <row r="95" spans="7:8" x14ac:dyDescent="0.35">
      <c r="G95" s="48" t="s">
        <v>247</v>
      </c>
      <c r="H95" s="17">
        <v>3.5</v>
      </c>
    </row>
    <row r="96" spans="7:8" x14ac:dyDescent="0.35">
      <c r="G96" s="48" t="s">
        <v>248</v>
      </c>
      <c r="H96" s="17">
        <v>0</v>
      </c>
    </row>
    <row r="97" spans="7:8" x14ac:dyDescent="0.35">
      <c r="G97" s="48" t="s">
        <v>138</v>
      </c>
      <c r="H97" s="17">
        <v>0</v>
      </c>
    </row>
    <row r="98" spans="7:8" x14ac:dyDescent="0.35">
      <c r="G98" s="48" t="s">
        <v>139</v>
      </c>
      <c r="H98" s="17">
        <v>3.5</v>
      </c>
    </row>
    <row r="99" spans="7:8" x14ac:dyDescent="0.35">
      <c r="G99" s="48" t="s">
        <v>140</v>
      </c>
      <c r="H99" s="17">
        <v>0</v>
      </c>
    </row>
    <row r="100" spans="7:8" x14ac:dyDescent="0.35">
      <c r="G100" s="170" t="s">
        <v>127</v>
      </c>
      <c r="H100" s="17"/>
    </row>
    <row r="101" spans="7:8" x14ac:dyDescent="0.35">
      <c r="G101" s="48" t="s">
        <v>128</v>
      </c>
      <c r="H101" s="17">
        <v>0</v>
      </c>
    </row>
    <row r="102" spans="7:8" x14ac:dyDescent="0.35">
      <c r="G102" s="48" t="s">
        <v>129</v>
      </c>
      <c r="H102" s="17">
        <v>3.5</v>
      </c>
    </row>
    <row r="103" spans="7:8" x14ac:dyDescent="0.35">
      <c r="G103" s="48" t="s">
        <v>130</v>
      </c>
      <c r="H103" s="17">
        <v>0</v>
      </c>
    </row>
    <row r="104" spans="7:8" x14ac:dyDescent="0.35">
      <c r="G104" s="173" t="s">
        <v>257</v>
      </c>
      <c r="H104" s="17"/>
    </row>
    <row r="105" spans="7:8" x14ac:dyDescent="0.35">
      <c r="G105" s="165" t="s">
        <v>249</v>
      </c>
      <c r="H105" s="17">
        <v>2</v>
      </c>
    </row>
    <row r="106" spans="7:8" x14ac:dyDescent="0.35">
      <c r="G106" s="165" t="s">
        <v>250</v>
      </c>
      <c r="H106" s="17">
        <v>258</v>
      </c>
    </row>
    <row r="107" spans="7:8" x14ac:dyDescent="0.35">
      <c r="G107" s="166" t="s">
        <v>137</v>
      </c>
      <c r="H107" s="17"/>
    </row>
    <row r="108" spans="7:8" x14ac:dyDescent="0.35">
      <c r="G108" s="48" t="s">
        <v>242</v>
      </c>
      <c r="H108" s="17">
        <v>1538</v>
      </c>
    </row>
    <row r="109" spans="7:8" x14ac:dyDescent="0.35">
      <c r="G109" s="48" t="s">
        <v>138</v>
      </c>
      <c r="H109" s="17">
        <v>3424</v>
      </c>
    </row>
    <row r="110" spans="7:8" x14ac:dyDescent="0.35">
      <c r="G110" s="48"/>
      <c r="H110" s="17"/>
    </row>
    <row r="111" spans="7:8" x14ac:dyDescent="0.35">
      <c r="G111" s="168"/>
      <c r="H111" s="17"/>
    </row>
    <row r="112" spans="7:8" x14ac:dyDescent="0.35">
      <c r="G112" s="166" t="s">
        <v>149</v>
      </c>
      <c r="H112" s="17"/>
    </row>
    <row r="113" spans="7:8" x14ac:dyDescent="0.35">
      <c r="G113" s="48" t="s">
        <v>133</v>
      </c>
      <c r="H113" s="17"/>
    </row>
    <row r="114" spans="7:8" x14ac:dyDescent="0.35">
      <c r="G114" s="48" t="s">
        <v>134</v>
      </c>
      <c r="H114" s="17"/>
    </row>
    <row r="115" spans="7:8" x14ac:dyDescent="0.35">
      <c r="G115" s="170" t="s">
        <v>34</v>
      </c>
      <c r="H115" s="17"/>
    </row>
    <row r="116" spans="7:8" x14ac:dyDescent="0.35">
      <c r="G116" s="48" t="s">
        <v>152</v>
      </c>
      <c r="H116" s="17"/>
    </row>
    <row r="117" spans="7:8" x14ac:dyDescent="0.35">
      <c r="G117" s="48" t="s">
        <v>153</v>
      </c>
      <c r="H117" s="17"/>
    </row>
    <row r="118" spans="7:8" x14ac:dyDescent="0.35">
      <c r="G118" s="48" t="s">
        <v>154</v>
      </c>
      <c r="H118" s="17"/>
    </row>
    <row r="119" spans="7:8" x14ac:dyDescent="0.35">
      <c r="G119" s="170" t="s">
        <v>158</v>
      </c>
      <c r="H119" s="17"/>
    </row>
    <row r="120" spans="7:8" x14ac:dyDescent="0.35">
      <c r="G120" s="48" t="s">
        <v>159</v>
      </c>
      <c r="H120" s="17">
        <v>0</v>
      </c>
    </row>
    <row r="121" spans="7:8" x14ac:dyDescent="0.35">
      <c r="G121" s="48" t="s">
        <v>160</v>
      </c>
      <c r="H121" s="17">
        <v>163</v>
      </c>
    </row>
    <row r="122" spans="7:8" x14ac:dyDescent="0.35">
      <c r="G122" s="48" t="s">
        <v>224</v>
      </c>
      <c r="H122" s="17">
        <v>326</v>
      </c>
    </row>
    <row r="123" spans="7:8" x14ac:dyDescent="0.35">
      <c r="G123" s="48" t="s">
        <v>222</v>
      </c>
      <c r="H123" s="17"/>
    </row>
    <row r="124" spans="7:8" x14ac:dyDescent="0.35">
      <c r="G124" s="48" t="s">
        <v>223</v>
      </c>
      <c r="H124" s="17"/>
    </row>
    <row r="125" spans="7:8" x14ac:dyDescent="0.35">
      <c r="G125" s="48" t="s">
        <v>221</v>
      </c>
      <c r="H125" s="17"/>
    </row>
    <row r="126" spans="7:8" x14ac:dyDescent="0.35">
      <c r="G126" s="48"/>
      <c r="H126" s="17"/>
    </row>
    <row r="127" spans="7:8" x14ac:dyDescent="0.35">
      <c r="G127" s="168"/>
      <c r="H127" s="17"/>
    </row>
    <row r="128" spans="7:8" x14ac:dyDescent="0.35">
      <c r="G128" s="170" t="s">
        <v>251</v>
      </c>
      <c r="H128" s="17"/>
    </row>
    <row r="129" spans="7:8" x14ac:dyDescent="0.35">
      <c r="G129" s="128" t="s">
        <v>252</v>
      </c>
      <c r="H129" s="17"/>
    </row>
    <row r="130" spans="7:8" x14ac:dyDescent="0.35">
      <c r="G130" s="48" t="s">
        <v>209</v>
      </c>
      <c r="H130" s="17">
        <v>790</v>
      </c>
    </row>
    <row r="131" spans="7:8" x14ac:dyDescent="0.35">
      <c r="G131" s="48" t="s">
        <v>253</v>
      </c>
      <c r="H131" s="17">
        <v>0</v>
      </c>
    </row>
    <row r="132" spans="7:8" x14ac:dyDescent="0.35">
      <c r="G132" s="48" t="s">
        <v>254</v>
      </c>
      <c r="H132" s="17">
        <v>0</v>
      </c>
    </row>
    <row r="133" spans="7:8" x14ac:dyDescent="0.35">
      <c r="G133" s="128" t="s">
        <v>255</v>
      </c>
      <c r="H133" s="17"/>
    </row>
    <row r="134" spans="7:8" x14ac:dyDescent="0.35">
      <c r="G134" s="48" t="s">
        <v>209</v>
      </c>
      <c r="H134" s="17">
        <v>1000</v>
      </c>
    </row>
    <row r="135" spans="7:8" x14ac:dyDescent="0.35">
      <c r="G135" s="48" t="s">
        <v>253</v>
      </c>
      <c r="H135" s="17">
        <v>0</v>
      </c>
    </row>
    <row r="136" spans="7:8" x14ac:dyDescent="0.35">
      <c r="G136" s="48" t="s">
        <v>254</v>
      </c>
      <c r="H136" s="17">
        <v>0</v>
      </c>
    </row>
    <row r="137" spans="7:8" x14ac:dyDescent="0.35">
      <c r="G137" s="128" t="s">
        <v>258</v>
      </c>
      <c r="H137" s="17"/>
    </row>
    <row r="138" spans="7:8" x14ac:dyDescent="0.35">
      <c r="G138" s="48" t="s">
        <v>209</v>
      </c>
      <c r="H138" s="17"/>
    </row>
    <row r="139" spans="7:8" x14ac:dyDescent="0.35">
      <c r="G139" s="48" t="s">
        <v>253</v>
      </c>
      <c r="H139" s="17"/>
    </row>
    <row r="140" spans="7:8" x14ac:dyDescent="0.35">
      <c r="G140" s="48" t="s">
        <v>254</v>
      </c>
      <c r="H140" s="17"/>
    </row>
    <row r="141" spans="7:8" x14ac:dyDescent="0.35">
      <c r="G141" s="170" t="s">
        <v>142</v>
      </c>
      <c r="H141" s="17"/>
    </row>
    <row r="142" spans="7:8" x14ac:dyDescent="0.35">
      <c r="G142" s="172" t="s">
        <v>143</v>
      </c>
      <c r="H142" s="17"/>
    </row>
    <row r="143" spans="7:8" x14ac:dyDescent="0.35">
      <c r="G143" s="86" t="s">
        <v>144</v>
      </c>
      <c r="H143" s="17"/>
    </row>
    <row r="144" spans="7:8" x14ac:dyDescent="0.35">
      <c r="G144" s="86" t="s">
        <v>145</v>
      </c>
      <c r="H144" s="17"/>
    </row>
    <row r="145" spans="7:8" x14ac:dyDescent="0.35">
      <c r="G145" s="86" t="s">
        <v>146</v>
      </c>
      <c r="H145" s="17"/>
    </row>
    <row r="146" spans="7:8" ht="29" x14ac:dyDescent="0.35">
      <c r="G146" s="86" t="s">
        <v>147</v>
      </c>
      <c r="H146" s="17"/>
    </row>
    <row r="147" spans="7:8" ht="29" x14ac:dyDescent="0.35">
      <c r="G147" s="86" t="s">
        <v>256</v>
      </c>
      <c r="H147" s="17"/>
    </row>
    <row r="148" spans="7:8" x14ac:dyDescent="0.35">
      <c r="G148" s="166" t="s">
        <v>150</v>
      </c>
      <c r="H148" s="17"/>
    </row>
    <row r="149" spans="7:8" x14ac:dyDescent="0.35">
      <c r="G149" s="172" t="s">
        <v>29</v>
      </c>
      <c r="H149" s="17">
        <v>3881.3270000000002</v>
      </c>
    </row>
    <row r="150" spans="7:8" x14ac:dyDescent="0.35">
      <c r="G150" s="172" t="s">
        <v>141</v>
      </c>
      <c r="H150" s="17">
        <v>0</v>
      </c>
    </row>
    <row r="151" spans="7:8" x14ac:dyDescent="0.35">
      <c r="G151" s="168"/>
      <c r="H151" s="17"/>
    </row>
    <row r="152" spans="7:8" x14ac:dyDescent="0.35">
      <c r="G152" s="168"/>
      <c r="H152" s="17"/>
    </row>
    <row r="153" spans="7:8" x14ac:dyDescent="0.35">
      <c r="G153" s="166" t="s">
        <v>182</v>
      </c>
      <c r="H153" s="17"/>
    </row>
    <row r="154" spans="7:8" x14ac:dyDescent="0.35">
      <c r="G154" s="171" t="s">
        <v>9</v>
      </c>
      <c r="H154" s="17">
        <v>0.4406975015669588</v>
      </c>
    </row>
    <row r="155" spans="7:8" x14ac:dyDescent="0.35">
      <c r="G155" s="171" t="s">
        <v>88</v>
      </c>
      <c r="H155" s="17"/>
    </row>
    <row r="156" spans="7:8" x14ac:dyDescent="0.35">
      <c r="G156" s="168"/>
      <c r="H156" s="17"/>
    </row>
    <row r="157" spans="7:8" x14ac:dyDescent="0.35">
      <c r="G157" s="168"/>
      <c r="H157" s="17"/>
    </row>
    <row r="158" spans="7:8" x14ac:dyDescent="0.35">
      <c r="G158" s="166" t="s">
        <v>151</v>
      </c>
      <c r="H158" s="17"/>
    </row>
    <row r="159" spans="7:8" x14ac:dyDescent="0.35">
      <c r="G159" s="48" t="s">
        <v>92</v>
      </c>
      <c r="H159" s="17" t="s">
        <v>301</v>
      </c>
    </row>
    <row r="160" spans="7:8" x14ac:dyDescent="0.35">
      <c r="G160" s="171" t="s">
        <v>16</v>
      </c>
      <c r="H160" s="17">
        <v>1157</v>
      </c>
    </row>
    <row r="161" spans="7:8" x14ac:dyDescent="0.35">
      <c r="G161" s="48" t="s">
        <v>17</v>
      </c>
      <c r="H161" s="17">
        <v>0.89700000000000002</v>
      </c>
    </row>
    <row r="162" spans="7:8" x14ac:dyDescent="0.35">
      <c r="G162" s="48" t="s">
        <v>18</v>
      </c>
      <c r="H162" s="17">
        <v>3.4570234399999999</v>
      </c>
    </row>
    <row r="163" spans="7:8" x14ac:dyDescent="0.35">
      <c r="G163" s="115"/>
    </row>
    <row r="164" spans="7:8" x14ac:dyDescent="0.35">
      <c r="G164" s="115"/>
    </row>
  </sheetData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3E4D-0AAE-4336-903C-3CB9F29FC3FC}">
  <dimension ref="C3:F28"/>
  <sheetViews>
    <sheetView topLeftCell="C1" zoomScaleNormal="100" workbookViewId="0">
      <selection activeCell="H2" sqref="H2"/>
    </sheetView>
  </sheetViews>
  <sheetFormatPr baseColWidth="10" defaultRowHeight="14.5" x14ac:dyDescent="0.35"/>
  <cols>
    <col min="3" max="3" width="36.36328125" customWidth="1"/>
    <col min="4" max="4" width="10.54296875" customWidth="1"/>
  </cols>
  <sheetData>
    <row r="3" spans="3:6" x14ac:dyDescent="0.35">
      <c r="C3" s="17"/>
      <c r="D3" s="32" t="s">
        <v>161</v>
      </c>
      <c r="E3" s="32" t="s">
        <v>162</v>
      </c>
    </row>
    <row r="4" spans="3:6" x14ac:dyDescent="0.35">
      <c r="C4" s="17" t="s">
        <v>163</v>
      </c>
      <c r="D4" s="28">
        <f>1846*(2.382*1.134)*COS(RADIANS(Projet!$F$17))</f>
        <v>4519.2068486278149</v>
      </c>
      <c r="E4" s="28">
        <f>2548*(2.382*1.134)*COS(RADIANS(Projet!$F$17))</f>
        <v>6237.7784671200834</v>
      </c>
      <c r="F4" s="28"/>
    </row>
    <row r="5" spans="3:6" x14ac:dyDescent="0.35">
      <c r="C5" s="17" t="s">
        <v>167</v>
      </c>
      <c r="D5" s="1">
        <v>9955</v>
      </c>
      <c r="E5" s="1">
        <v>14454</v>
      </c>
      <c r="F5" s="133"/>
    </row>
    <row r="6" spans="3:6" x14ac:dyDescent="0.35">
      <c r="C6" s="17" t="s">
        <v>166</v>
      </c>
      <c r="D6" s="176">
        <f>Projet!F8</f>
        <v>4.87</v>
      </c>
      <c r="E6" s="177"/>
    </row>
    <row r="7" spans="3:6" x14ac:dyDescent="0.35">
      <c r="C7" s="4" t="s">
        <v>174</v>
      </c>
      <c r="D7" s="27"/>
      <c r="E7" s="4"/>
    </row>
    <row r="8" spans="3:6" x14ac:dyDescent="0.35">
      <c r="C8" s="17" t="s">
        <v>100</v>
      </c>
      <c r="D8" s="75">
        <f>35*9+1*5</f>
        <v>320</v>
      </c>
      <c r="E8" s="75">
        <f>49*9+8*5</f>
        <v>481</v>
      </c>
    </row>
    <row r="9" spans="3:6" x14ac:dyDescent="0.35">
      <c r="C9" s="17" t="s">
        <v>30</v>
      </c>
      <c r="D9" s="29">
        <f>0.007*D8</f>
        <v>2.2400000000000002</v>
      </c>
      <c r="E9" s="29">
        <f t="shared" ref="E9" si="0">0.007*E8</f>
        <v>3.367</v>
      </c>
    </row>
    <row r="10" spans="3:6" x14ac:dyDescent="0.35">
      <c r="C10" s="17" t="s">
        <v>168</v>
      </c>
      <c r="D10" s="29">
        <f>0.2*D8</f>
        <v>64</v>
      </c>
      <c r="E10" s="29">
        <f t="shared" ref="E10" si="1">0.2*E8</f>
        <v>96.2</v>
      </c>
    </row>
    <row r="11" spans="3:6" x14ac:dyDescent="0.35">
      <c r="C11" s="4" t="s">
        <v>109</v>
      </c>
      <c r="D11" s="27"/>
      <c r="E11" s="4"/>
    </row>
    <row r="12" spans="3:6" x14ac:dyDescent="0.35">
      <c r="C12" s="17" t="s">
        <v>107</v>
      </c>
      <c r="D12" s="1">
        <v>0</v>
      </c>
      <c r="E12" s="1">
        <v>0</v>
      </c>
    </row>
    <row r="13" spans="3:6" x14ac:dyDescent="0.35">
      <c r="C13" s="17" t="s">
        <v>108</v>
      </c>
      <c r="D13" s="1">
        <v>132</v>
      </c>
      <c r="E13" s="1">
        <v>0</v>
      </c>
    </row>
    <row r="14" spans="3:6" x14ac:dyDescent="0.35">
      <c r="C14" s="4" t="s">
        <v>110</v>
      </c>
      <c r="D14" s="27"/>
      <c r="E14" s="4"/>
    </row>
    <row r="15" spans="3:6" x14ac:dyDescent="0.35">
      <c r="C15" s="17" t="s">
        <v>169</v>
      </c>
      <c r="D15" s="1">
        <f>18*2</f>
        <v>36</v>
      </c>
      <c r="E15" s="28">
        <v>0</v>
      </c>
    </row>
    <row r="16" spans="3:6" x14ac:dyDescent="0.35">
      <c r="C16" s="17" t="s">
        <v>107</v>
      </c>
      <c r="D16" s="1">
        <v>115</v>
      </c>
      <c r="E16" s="28">
        <v>0</v>
      </c>
    </row>
    <row r="17" spans="3:5" x14ac:dyDescent="0.35">
      <c r="C17" s="17" t="s">
        <v>176</v>
      </c>
      <c r="D17" s="1">
        <f>1*36</f>
        <v>36</v>
      </c>
      <c r="E17" s="28">
        <v>0</v>
      </c>
    </row>
    <row r="18" spans="3:5" x14ac:dyDescent="0.35">
      <c r="C18" s="17" t="s">
        <v>177</v>
      </c>
      <c r="D18" s="1">
        <f>1*104</f>
        <v>104</v>
      </c>
      <c r="E18" s="28">
        <v>0</v>
      </c>
    </row>
    <row r="19" spans="3:5" x14ac:dyDescent="0.35">
      <c r="C19" s="4" t="s">
        <v>173</v>
      </c>
      <c r="D19" s="27"/>
      <c r="E19" s="4"/>
    </row>
    <row r="20" spans="3:5" x14ac:dyDescent="0.35">
      <c r="C20" s="17" t="s">
        <v>175</v>
      </c>
      <c r="D20" s="1">
        <v>104</v>
      </c>
      <c r="E20" s="1">
        <v>0</v>
      </c>
    </row>
    <row r="21" spans="3:5" x14ac:dyDescent="0.35">
      <c r="C21" s="31" t="s">
        <v>170</v>
      </c>
      <c r="D21" s="2">
        <v>18</v>
      </c>
      <c r="E21" s="2">
        <v>0</v>
      </c>
    </row>
    <row r="22" spans="3:5" x14ac:dyDescent="0.35">
      <c r="C22" s="30" t="s">
        <v>164</v>
      </c>
      <c r="D22" s="182">
        <v>1280</v>
      </c>
      <c r="E22" s="183"/>
    </row>
    <row r="23" spans="3:5" x14ac:dyDescent="0.35">
      <c r="C23" s="4" t="s">
        <v>91</v>
      </c>
      <c r="D23" s="27"/>
      <c r="E23" s="4"/>
    </row>
    <row r="24" spans="3:5" x14ac:dyDescent="0.35">
      <c r="C24" s="30" t="s">
        <v>171</v>
      </c>
      <c r="D24" s="178">
        <f>SUM(D10:E22)/10000</f>
        <v>0.19852</v>
      </c>
      <c r="E24" s="179"/>
    </row>
    <row r="25" spans="3:5" x14ac:dyDescent="0.35">
      <c r="C25" s="30" t="s">
        <v>172</v>
      </c>
      <c r="D25" s="180">
        <f>D24/SUM(D6:E6)</f>
        <v>4.0763860369609856E-2</v>
      </c>
      <c r="E25" s="181"/>
    </row>
    <row r="26" spans="3:5" x14ac:dyDescent="0.35">
      <c r="C26" s="17" t="s">
        <v>165</v>
      </c>
      <c r="D26" s="3">
        <f t="shared" ref="D26:E26" si="2">D4/D5</f>
        <v>0.4539635207059583</v>
      </c>
      <c r="E26" s="3">
        <f t="shared" si="2"/>
        <v>0.43156070756331005</v>
      </c>
    </row>
    <row r="27" spans="3:5" ht="15" thickBot="1" x14ac:dyDescent="0.4"/>
    <row r="28" spans="3:5" ht="66.75" customHeight="1" thickBot="1" x14ac:dyDescent="0.4">
      <c r="C28" s="174" t="s">
        <v>184</v>
      </c>
      <c r="D28" s="175"/>
      <c r="E28" s="175"/>
    </row>
  </sheetData>
  <mergeCells count="5">
    <mergeCell ref="C28:E28"/>
    <mergeCell ref="D6:E6"/>
    <mergeCell ref="D24:E24"/>
    <mergeCell ref="D25:E25"/>
    <mergeCell ref="D22:E22"/>
  </mergeCell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9ABB-BBB6-430B-BA8A-E92D96ED23EF}">
  <dimension ref="B1:L12"/>
  <sheetViews>
    <sheetView topLeftCell="A2" workbookViewId="0">
      <selection activeCell="E1" sqref="E1:E1048576"/>
    </sheetView>
  </sheetViews>
  <sheetFormatPr baseColWidth="10" defaultRowHeight="14.5" x14ac:dyDescent="0.35"/>
  <sheetData>
    <row r="1" spans="2:12" ht="15" thickBot="1" x14ac:dyDescent="0.4"/>
    <row r="2" spans="2:12" ht="29.5" thickBot="1" x14ac:dyDescent="0.4">
      <c r="B2" s="5" t="s">
        <v>31</v>
      </c>
      <c r="C2" s="184" t="s">
        <v>32</v>
      </c>
      <c r="D2" s="185"/>
      <c r="E2" s="185"/>
      <c r="F2" s="186"/>
      <c r="G2" s="187" t="s">
        <v>33</v>
      </c>
      <c r="H2" s="185"/>
      <c r="I2" s="186"/>
      <c r="J2" s="6" t="s">
        <v>34</v>
      </c>
      <c r="K2" s="184" t="s">
        <v>35</v>
      </c>
      <c r="L2" s="188"/>
    </row>
    <row r="3" spans="2:12" ht="44" thickBot="1" x14ac:dyDescent="0.4">
      <c r="B3" s="7" t="s">
        <v>2</v>
      </c>
      <c r="C3" s="8" t="s">
        <v>229</v>
      </c>
      <c r="D3" s="8" t="s">
        <v>230</v>
      </c>
      <c r="E3" s="8" t="s">
        <v>3</v>
      </c>
      <c r="F3" s="8" t="s">
        <v>36</v>
      </c>
      <c r="G3" s="8" t="s">
        <v>37</v>
      </c>
      <c r="H3" s="8" t="s">
        <v>38</v>
      </c>
      <c r="I3" s="8" t="s">
        <v>39</v>
      </c>
      <c r="J3" s="8" t="s">
        <v>34</v>
      </c>
      <c r="K3" s="8" t="s">
        <v>239</v>
      </c>
      <c r="L3" s="8" t="s">
        <v>240</v>
      </c>
    </row>
    <row r="4" spans="2:12" ht="29.5" thickBot="1" x14ac:dyDescent="0.4">
      <c r="B4" s="9" t="s">
        <v>238</v>
      </c>
      <c r="C4" s="10" t="s">
        <v>10</v>
      </c>
      <c r="D4" s="10" t="s">
        <v>10</v>
      </c>
      <c r="E4" s="10" t="s">
        <v>10</v>
      </c>
      <c r="F4" s="10" t="s">
        <v>10</v>
      </c>
      <c r="G4" s="10" t="s">
        <v>10</v>
      </c>
      <c r="H4" s="10" t="s">
        <v>10</v>
      </c>
      <c r="I4" s="10" t="s">
        <v>10</v>
      </c>
      <c r="J4" s="10" t="s">
        <v>10</v>
      </c>
      <c r="K4" s="10" t="s">
        <v>10</v>
      </c>
      <c r="L4" s="10" t="s">
        <v>10</v>
      </c>
    </row>
    <row r="5" spans="2:12" ht="15" thickBot="1" x14ac:dyDescent="0.4">
      <c r="B5" s="7" t="s">
        <v>231</v>
      </c>
      <c r="C5" s="10">
        <v>15</v>
      </c>
      <c r="D5" s="10">
        <v>15</v>
      </c>
      <c r="E5" s="10">
        <v>25</v>
      </c>
      <c r="F5" s="10">
        <v>15</v>
      </c>
      <c r="G5" s="10">
        <v>10</v>
      </c>
      <c r="H5" s="10">
        <v>10</v>
      </c>
      <c r="I5" s="10">
        <v>10</v>
      </c>
      <c r="J5" s="10">
        <v>5</v>
      </c>
      <c r="K5" s="10">
        <v>0</v>
      </c>
      <c r="L5" s="10">
        <v>0</v>
      </c>
    </row>
    <row r="6" spans="2:12" ht="15" thickBot="1" x14ac:dyDescent="0.4">
      <c r="B6" s="7" t="s">
        <v>232</v>
      </c>
      <c r="C6" s="10" t="s">
        <v>259</v>
      </c>
      <c r="D6" s="10" t="s">
        <v>259</v>
      </c>
      <c r="E6" s="10" t="s">
        <v>259</v>
      </c>
      <c r="F6" s="10" t="s">
        <v>259</v>
      </c>
      <c r="G6" s="10" t="s">
        <v>259</v>
      </c>
      <c r="H6" s="10" t="s">
        <v>259</v>
      </c>
      <c r="I6" s="10" t="s">
        <v>259</v>
      </c>
      <c r="J6" s="10" t="s">
        <v>259</v>
      </c>
      <c r="K6" s="10" t="s">
        <v>233</v>
      </c>
      <c r="L6" s="10" t="s">
        <v>233</v>
      </c>
    </row>
    <row r="7" spans="2:12" ht="15" thickBot="1" x14ac:dyDescent="0.4">
      <c r="B7" s="7" t="s">
        <v>40</v>
      </c>
      <c r="C7" s="10" t="s">
        <v>41</v>
      </c>
      <c r="D7" s="10" t="s">
        <v>41</v>
      </c>
      <c r="E7" s="10" t="s">
        <v>41</v>
      </c>
      <c r="F7" s="10" t="s">
        <v>41</v>
      </c>
      <c r="G7" s="10" t="s">
        <v>41</v>
      </c>
      <c r="H7" s="10" t="s">
        <v>41</v>
      </c>
      <c r="I7" s="10" t="s">
        <v>41</v>
      </c>
      <c r="J7" s="10" t="s">
        <v>42</v>
      </c>
      <c r="K7" s="10" t="s">
        <v>41</v>
      </c>
      <c r="L7" s="10" t="s">
        <v>41</v>
      </c>
    </row>
    <row r="8" spans="2:12" ht="73" thickBot="1" x14ac:dyDescent="0.4">
      <c r="B8" s="7" t="s">
        <v>43</v>
      </c>
      <c r="C8" s="10" t="s">
        <v>44</v>
      </c>
      <c r="D8" s="10" t="s">
        <v>45</v>
      </c>
      <c r="E8" s="10" t="s">
        <v>44</v>
      </c>
      <c r="F8" s="10" t="s">
        <v>44</v>
      </c>
      <c r="G8" s="10" t="s">
        <v>234</v>
      </c>
      <c r="H8" s="10" t="s">
        <v>46</v>
      </c>
      <c r="I8" s="10" t="s">
        <v>47</v>
      </c>
      <c r="J8" s="10" t="s">
        <v>241</v>
      </c>
      <c r="K8" s="10" t="s">
        <v>48</v>
      </c>
      <c r="L8" s="10" t="s">
        <v>44</v>
      </c>
    </row>
    <row r="9" spans="2:12" ht="29.5" thickBot="1" x14ac:dyDescent="0.4">
      <c r="B9" s="9" t="s">
        <v>235</v>
      </c>
      <c r="C9" s="10">
        <v>3</v>
      </c>
      <c r="D9" s="11">
        <v>4</v>
      </c>
      <c r="E9" s="10">
        <v>8</v>
      </c>
      <c r="F9" s="10">
        <v>8</v>
      </c>
      <c r="G9" s="10">
        <v>12</v>
      </c>
      <c r="H9" s="10">
        <v>12</v>
      </c>
      <c r="I9" s="10">
        <v>6</v>
      </c>
      <c r="J9" s="10" t="s">
        <v>49</v>
      </c>
      <c r="K9" s="12">
        <v>5.0999999999999996</v>
      </c>
      <c r="L9" s="13">
        <v>8.1999999999999993</v>
      </c>
    </row>
    <row r="10" spans="2:12" ht="29.5" thickBot="1" x14ac:dyDescent="0.4">
      <c r="B10" s="7" t="s">
        <v>50</v>
      </c>
      <c r="C10" s="10">
        <v>1.1000000000000001</v>
      </c>
      <c r="D10" s="10">
        <v>1.1000000000000001</v>
      </c>
      <c r="E10" s="10">
        <v>1.5</v>
      </c>
      <c r="F10" s="10">
        <v>2.5</v>
      </c>
      <c r="G10" s="10">
        <v>2.5</v>
      </c>
      <c r="H10" s="10">
        <v>2.5</v>
      </c>
      <c r="I10" s="10">
        <v>3</v>
      </c>
      <c r="J10" s="10" t="s">
        <v>51</v>
      </c>
      <c r="K10" s="10">
        <v>1.1000000000000001</v>
      </c>
      <c r="L10" s="10">
        <v>1.1000000000000001</v>
      </c>
    </row>
    <row r="11" spans="2:12" ht="29.5" thickBot="1" x14ac:dyDescent="0.4">
      <c r="B11" s="7" t="s">
        <v>52</v>
      </c>
      <c r="C11" s="10">
        <v>2.34</v>
      </c>
      <c r="D11" s="10">
        <v>2.34</v>
      </c>
      <c r="E11" s="10">
        <v>3.12</v>
      </c>
      <c r="F11" s="10">
        <v>3.74</v>
      </c>
      <c r="G11" s="10">
        <v>5.42</v>
      </c>
      <c r="H11" s="10">
        <v>5</v>
      </c>
      <c r="I11" s="10">
        <v>7.58</v>
      </c>
      <c r="J11" s="10" t="s">
        <v>51</v>
      </c>
      <c r="K11" s="10" t="s">
        <v>51</v>
      </c>
      <c r="L11" s="10" t="s">
        <v>51</v>
      </c>
    </row>
    <row r="12" spans="2:12" ht="44" thickBot="1" x14ac:dyDescent="0.4">
      <c r="B12" s="7" t="s">
        <v>236</v>
      </c>
      <c r="C12" s="13">
        <v>5</v>
      </c>
      <c r="D12" s="44">
        <v>5</v>
      </c>
      <c r="E12" s="44">
        <v>10</v>
      </c>
      <c r="F12" s="44">
        <v>10</v>
      </c>
      <c r="G12" s="44">
        <v>5</v>
      </c>
      <c r="H12" s="44">
        <v>5</v>
      </c>
      <c r="I12" s="44">
        <v>6</v>
      </c>
      <c r="J12" s="44" t="s">
        <v>237</v>
      </c>
      <c r="K12" s="44">
        <v>10</v>
      </c>
      <c r="L12" s="44">
        <v>10</v>
      </c>
    </row>
  </sheetData>
  <mergeCells count="3">
    <mergeCell ref="C2:F2"/>
    <mergeCell ref="G2:I2"/>
    <mergeCell ref="K2:L2"/>
  </mergeCells>
  <dataValidations count="1">
    <dataValidation type="list" allowBlank="1" showInputMessage="1" showErrorMessage="1" sqref="C4:L4" xr:uid="{263A27D3-BBF0-4A01-A07A-48C753D98A9F}">
      <formula1>"G12,G12R"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339D-937E-424A-AF9A-4A98EC1B6E1E}">
  <dimension ref="B2:P59"/>
  <sheetViews>
    <sheetView zoomScaleNormal="100" workbookViewId="0">
      <selection activeCell="P8" sqref="P8"/>
    </sheetView>
  </sheetViews>
  <sheetFormatPr baseColWidth="10" defaultColWidth="11.453125" defaultRowHeight="14.5" x14ac:dyDescent="0.35"/>
  <cols>
    <col min="2" max="2" width="25.36328125" bestFit="1" customWidth="1"/>
    <col min="3" max="3" width="22.54296875" customWidth="1"/>
    <col min="4" max="5" width="18.08984375" bestFit="1" customWidth="1"/>
    <col min="6" max="6" width="16.453125" customWidth="1"/>
    <col min="7" max="7" width="17.6328125" customWidth="1"/>
    <col min="14" max="14" width="24.6328125" customWidth="1"/>
    <col min="15" max="15" width="18.90625" customWidth="1"/>
  </cols>
  <sheetData>
    <row r="2" spans="3:16" ht="15" thickBot="1" x14ac:dyDescent="0.4"/>
    <row r="3" spans="3:16" ht="15.5" thickTop="1" thickBot="1" x14ac:dyDescent="0.4">
      <c r="C3" s="193" t="s">
        <v>53</v>
      </c>
      <c r="D3" s="193"/>
      <c r="E3" s="193"/>
      <c r="G3" s="14" t="s">
        <v>54</v>
      </c>
      <c r="O3" s="189" t="s">
        <v>174</v>
      </c>
      <c r="P3" s="189"/>
    </row>
    <row r="4" spans="3:16" ht="29.5" thickTop="1" x14ac:dyDescent="0.35">
      <c r="C4" s="15" t="s">
        <v>55</v>
      </c>
      <c r="D4" s="16" t="s">
        <v>209</v>
      </c>
      <c r="E4" s="38" t="s">
        <v>210</v>
      </c>
      <c r="N4" s="41" t="s">
        <v>203</v>
      </c>
      <c r="O4" s="42" t="s">
        <v>202</v>
      </c>
      <c r="P4" s="43" t="s">
        <v>209</v>
      </c>
    </row>
    <row r="5" spans="3:16" ht="15.75" customHeight="1" x14ac:dyDescent="0.35">
      <c r="C5" s="17" t="s">
        <v>56</v>
      </c>
      <c r="D5" s="17">
        <v>30</v>
      </c>
      <c r="E5" s="17">
        <v>115</v>
      </c>
      <c r="N5" s="190" t="s">
        <v>204</v>
      </c>
      <c r="O5" s="17" t="s">
        <v>155</v>
      </c>
      <c r="P5" s="17">
        <v>0.16</v>
      </c>
    </row>
    <row r="6" spans="3:16" x14ac:dyDescent="0.35">
      <c r="N6" s="190"/>
      <c r="O6" s="40" t="s">
        <v>205</v>
      </c>
      <c r="P6" s="17">
        <v>0.45</v>
      </c>
    </row>
    <row r="7" spans="3:16" x14ac:dyDescent="0.35">
      <c r="N7" s="190"/>
      <c r="O7" s="17" t="s">
        <v>206</v>
      </c>
      <c r="P7" s="17">
        <v>0.16</v>
      </c>
    </row>
    <row r="8" spans="3:16" ht="15" thickBot="1" x14ac:dyDescent="0.4">
      <c r="N8" s="190"/>
      <c r="O8" s="17" t="s">
        <v>207</v>
      </c>
      <c r="P8" s="17"/>
    </row>
    <row r="9" spans="3:16" ht="15" thickTop="1" x14ac:dyDescent="0.35">
      <c r="C9" s="193" t="s">
        <v>57</v>
      </c>
      <c r="D9" s="193"/>
      <c r="E9" s="193"/>
      <c r="G9" s="14" t="s">
        <v>58</v>
      </c>
      <c r="N9" s="191" t="s">
        <v>173</v>
      </c>
      <c r="O9" s="17" t="s">
        <v>155</v>
      </c>
      <c r="P9" s="17">
        <v>7.0000000000000001E-3</v>
      </c>
    </row>
    <row r="10" spans="3:16" ht="29" x14ac:dyDescent="0.35">
      <c r="C10" s="15" t="s">
        <v>55</v>
      </c>
      <c r="D10" s="16" t="s">
        <v>209</v>
      </c>
      <c r="E10" s="38" t="s">
        <v>210</v>
      </c>
      <c r="N10" s="191"/>
      <c r="O10" s="40" t="s">
        <v>205</v>
      </c>
      <c r="P10" s="17">
        <v>0.2</v>
      </c>
    </row>
    <row r="11" spans="3:16" x14ac:dyDescent="0.35">
      <c r="C11" s="17" t="s">
        <v>59</v>
      </c>
      <c r="D11" s="17">
        <v>18</v>
      </c>
      <c r="E11" s="17">
        <v>50</v>
      </c>
      <c r="N11" s="191"/>
      <c r="O11" s="17" t="s">
        <v>206</v>
      </c>
      <c r="P11" s="17">
        <v>0.04</v>
      </c>
    </row>
    <row r="12" spans="3:16" x14ac:dyDescent="0.35">
      <c r="N12" s="191"/>
      <c r="O12" s="17" t="s">
        <v>207</v>
      </c>
      <c r="P12" s="17">
        <v>0.9</v>
      </c>
    </row>
    <row r="14" spans="3:16" ht="15" thickBot="1" x14ac:dyDescent="0.4"/>
    <row r="15" spans="3:16" ht="15" thickTop="1" x14ac:dyDescent="0.35">
      <c r="C15" s="193" t="s">
        <v>60</v>
      </c>
      <c r="D15" s="193"/>
      <c r="E15" s="193"/>
      <c r="G15" s="14" t="s">
        <v>61</v>
      </c>
    </row>
    <row r="16" spans="3:16" ht="29" x14ac:dyDescent="0.35">
      <c r="C16" s="15" t="s">
        <v>186</v>
      </c>
      <c r="D16" s="16" t="s">
        <v>209</v>
      </c>
      <c r="E16" s="38" t="s">
        <v>210</v>
      </c>
    </row>
    <row r="17" spans="2:7" x14ac:dyDescent="0.35">
      <c r="C17" s="17" t="s">
        <v>62</v>
      </c>
      <c r="D17" s="17">
        <v>36</v>
      </c>
      <c r="E17" s="17">
        <v>132</v>
      </c>
    </row>
    <row r="20" spans="2:7" ht="15" thickBot="1" x14ac:dyDescent="0.4"/>
    <row r="21" spans="2:7" ht="15.5" thickTop="1" thickBot="1" x14ac:dyDescent="0.4">
      <c r="C21" s="189" t="s">
        <v>63</v>
      </c>
      <c r="D21" s="189"/>
      <c r="E21" s="189"/>
      <c r="G21" s="14" t="s">
        <v>64</v>
      </c>
    </row>
    <row r="22" spans="2:7" ht="29.5" thickTop="1" x14ac:dyDescent="0.35">
      <c r="C22" s="15" t="s">
        <v>186</v>
      </c>
      <c r="D22" s="16" t="s">
        <v>209</v>
      </c>
      <c r="E22" s="38" t="s">
        <v>210</v>
      </c>
    </row>
    <row r="23" spans="2:7" x14ac:dyDescent="0.35">
      <c r="C23" s="17" t="s">
        <v>65</v>
      </c>
      <c r="D23" s="17">
        <v>27</v>
      </c>
      <c r="E23" s="17">
        <v>110</v>
      </c>
      <c r="G23" s="14" t="s">
        <v>66</v>
      </c>
    </row>
    <row r="24" spans="2:7" x14ac:dyDescent="0.35">
      <c r="G24" s="14"/>
    </row>
    <row r="25" spans="2:7" x14ac:dyDescent="0.35">
      <c r="G25" s="14"/>
    </row>
    <row r="26" spans="2:7" ht="15" thickBot="1" x14ac:dyDescent="0.4">
      <c r="G26" s="14"/>
    </row>
    <row r="27" spans="2:7" ht="15.5" thickTop="1" thickBot="1" x14ac:dyDescent="0.4">
      <c r="C27" s="189" t="s">
        <v>110</v>
      </c>
      <c r="D27" s="189"/>
      <c r="E27" s="189"/>
      <c r="G27" s="14"/>
    </row>
    <row r="28" spans="2:7" ht="29.5" thickTop="1" x14ac:dyDescent="0.35">
      <c r="C28" s="15" t="s">
        <v>186</v>
      </c>
      <c r="D28" s="16" t="s">
        <v>209</v>
      </c>
      <c r="E28" s="38" t="s">
        <v>210</v>
      </c>
      <c r="G28" s="14"/>
    </row>
    <row r="29" spans="2:7" x14ac:dyDescent="0.35">
      <c r="B29" s="17" t="s">
        <v>187</v>
      </c>
      <c r="C29" s="34" t="s">
        <v>59</v>
      </c>
      <c r="D29" s="17">
        <v>18</v>
      </c>
      <c r="E29" s="17">
        <v>50</v>
      </c>
      <c r="G29" s="14"/>
    </row>
    <row r="30" spans="2:7" x14ac:dyDescent="0.35">
      <c r="B30" s="17" t="s">
        <v>76</v>
      </c>
      <c r="C30" s="34" t="s">
        <v>56</v>
      </c>
      <c r="D30" s="17">
        <v>30</v>
      </c>
      <c r="E30" s="17">
        <v>115</v>
      </c>
      <c r="G30" s="14"/>
    </row>
    <row r="31" spans="2:7" x14ac:dyDescent="0.35">
      <c r="B31" s="17" t="s">
        <v>188</v>
      </c>
      <c r="C31" s="34" t="s">
        <v>189</v>
      </c>
      <c r="D31" s="30">
        <v>104</v>
      </c>
      <c r="E31" s="17"/>
      <c r="G31" s="14"/>
    </row>
    <row r="32" spans="2:7" x14ac:dyDescent="0.35">
      <c r="B32" s="17" t="s">
        <v>190</v>
      </c>
      <c r="C32" s="17" t="s">
        <v>191</v>
      </c>
      <c r="D32" s="17">
        <v>53</v>
      </c>
      <c r="E32" s="17"/>
      <c r="G32" s="14"/>
    </row>
    <row r="33" spans="2:5" x14ac:dyDescent="0.35">
      <c r="B33" s="17" t="s">
        <v>192</v>
      </c>
      <c r="C33" s="34" t="s">
        <v>62</v>
      </c>
      <c r="D33" s="30">
        <v>36</v>
      </c>
      <c r="E33" s="17"/>
    </row>
    <row r="36" spans="2:5" ht="15" thickBot="1" x14ac:dyDescent="0.4"/>
    <row r="37" spans="2:5" ht="15.5" thickTop="1" thickBot="1" x14ac:dyDescent="0.4">
      <c r="C37" s="189" t="s">
        <v>67</v>
      </c>
      <c r="D37" s="189"/>
    </row>
    <row r="38" spans="2:5" ht="29.5" thickTop="1" x14ac:dyDescent="0.35">
      <c r="C38" s="15" t="s">
        <v>186</v>
      </c>
      <c r="D38" s="16" t="s">
        <v>209</v>
      </c>
    </row>
    <row r="39" spans="2:5" ht="29" x14ac:dyDescent="0.35">
      <c r="B39" s="18" t="s">
        <v>68</v>
      </c>
      <c r="C39" s="19" t="s">
        <v>69</v>
      </c>
      <c r="D39" s="17">
        <v>18</v>
      </c>
    </row>
    <row r="40" spans="2:5" ht="29" x14ac:dyDescent="0.35">
      <c r="B40" s="18" t="s">
        <v>70</v>
      </c>
      <c r="C40" s="19" t="s">
        <v>71</v>
      </c>
      <c r="D40" s="17">
        <v>36</v>
      </c>
    </row>
    <row r="41" spans="2:5" ht="29" x14ac:dyDescent="0.35">
      <c r="B41" s="20" t="s">
        <v>72</v>
      </c>
      <c r="C41" s="19" t="s">
        <v>73</v>
      </c>
      <c r="D41" s="17">
        <v>72</v>
      </c>
    </row>
    <row r="44" spans="2:5" ht="15" thickBot="1" x14ac:dyDescent="0.4"/>
    <row r="45" spans="2:5" ht="15.5" thickTop="1" thickBot="1" x14ac:dyDescent="0.4">
      <c r="B45" s="189" t="s">
        <v>193</v>
      </c>
      <c r="C45" s="189"/>
      <c r="D45" s="189"/>
    </row>
    <row r="46" spans="2:5" ht="29.25" customHeight="1" thickTop="1" x14ac:dyDescent="0.35">
      <c r="B46" s="37" t="s">
        <v>194</v>
      </c>
      <c r="C46" s="15" t="s">
        <v>186</v>
      </c>
      <c r="D46" s="38" t="s">
        <v>210</v>
      </c>
    </row>
    <row r="47" spans="2:5" x14ac:dyDescent="0.35">
      <c r="B47" s="17">
        <v>30</v>
      </c>
      <c r="C47" s="17" t="s">
        <v>195</v>
      </c>
      <c r="D47" s="17">
        <v>35</v>
      </c>
    </row>
    <row r="48" spans="2:5" x14ac:dyDescent="0.35">
      <c r="B48" s="17">
        <v>60</v>
      </c>
      <c r="C48" s="17" t="s">
        <v>196</v>
      </c>
      <c r="D48" s="17">
        <v>60</v>
      </c>
    </row>
    <row r="49" spans="2:6" x14ac:dyDescent="0.35">
      <c r="B49" s="17">
        <v>120</v>
      </c>
      <c r="C49" s="17" t="s">
        <v>189</v>
      </c>
      <c r="D49" s="17">
        <v>104</v>
      </c>
    </row>
    <row r="50" spans="2:6" x14ac:dyDescent="0.35">
      <c r="B50" s="17">
        <v>240</v>
      </c>
      <c r="C50" s="17" t="s">
        <v>197</v>
      </c>
      <c r="D50" s="17">
        <v>192</v>
      </c>
    </row>
    <row r="51" spans="2:6" x14ac:dyDescent="0.35">
      <c r="B51" s="192" t="s">
        <v>198</v>
      </c>
      <c r="C51" s="192"/>
      <c r="D51" s="192"/>
    </row>
    <row r="52" spans="2:6" ht="15" thickBot="1" x14ac:dyDescent="0.4"/>
    <row r="53" spans="2:6" ht="15" thickTop="1" x14ac:dyDescent="0.35">
      <c r="F53" s="39" t="s">
        <v>227</v>
      </c>
    </row>
    <row r="54" spans="2:6" ht="15" thickBot="1" x14ac:dyDescent="0.4">
      <c r="E54" s="40" t="s">
        <v>4</v>
      </c>
      <c r="F54" s="40" t="s">
        <v>225</v>
      </c>
    </row>
    <row r="55" spans="2:6" ht="15.5" thickTop="1" thickBot="1" x14ac:dyDescent="0.4">
      <c r="C55" s="33" t="s">
        <v>199</v>
      </c>
      <c r="E55" s="17" t="s">
        <v>208</v>
      </c>
      <c r="F55" s="40" t="s">
        <v>226</v>
      </c>
    </row>
    <row r="56" spans="2:6" ht="15.5" thickTop="1" thickBot="1" x14ac:dyDescent="0.4">
      <c r="C56" s="35" t="s">
        <v>211</v>
      </c>
    </row>
    <row r="57" spans="2:6" ht="15" thickTop="1" x14ac:dyDescent="0.35">
      <c r="B57" s="17" t="s">
        <v>200</v>
      </c>
      <c r="C57" s="36">
        <v>1500</v>
      </c>
      <c r="F57" s="39" t="s">
        <v>228</v>
      </c>
    </row>
    <row r="58" spans="2:6" x14ac:dyDescent="0.35">
      <c r="B58" s="17" t="s">
        <v>201</v>
      </c>
      <c r="C58" s="36">
        <v>2500</v>
      </c>
      <c r="E58" s="40" t="s">
        <v>4</v>
      </c>
      <c r="F58" s="40" t="s">
        <v>225</v>
      </c>
    </row>
    <row r="59" spans="2:6" x14ac:dyDescent="0.35">
      <c r="E59" s="17" t="s">
        <v>208</v>
      </c>
      <c r="F59" s="40" t="s">
        <v>226</v>
      </c>
    </row>
  </sheetData>
  <mergeCells count="11">
    <mergeCell ref="O3:P3"/>
    <mergeCell ref="N5:N8"/>
    <mergeCell ref="N9:N12"/>
    <mergeCell ref="B45:D45"/>
    <mergeCell ref="B51:D51"/>
    <mergeCell ref="C3:E3"/>
    <mergeCell ref="C9:E9"/>
    <mergeCell ref="C15:E15"/>
    <mergeCell ref="C21:E21"/>
    <mergeCell ref="C27:E27"/>
    <mergeCell ref="C37:D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B76C-D88C-446C-A46D-89ADD0D62795}">
  <dimension ref="B3:E14"/>
  <sheetViews>
    <sheetView workbookViewId="0">
      <selection activeCell="E26" sqref="E26"/>
    </sheetView>
  </sheetViews>
  <sheetFormatPr baseColWidth="10" defaultColWidth="11.453125" defaultRowHeight="14.5" x14ac:dyDescent="0.35"/>
  <cols>
    <col min="2" max="2" width="54.36328125" bestFit="1" customWidth="1"/>
    <col min="3" max="3" width="11.36328125" customWidth="1"/>
    <col min="4" max="4" width="18.36328125" bestFit="1" customWidth="1"/>
  </cols>
  <sheetData>
    <row r="3" spans="2:5" x14ac:dyDescent="0.35">
      <c r="D3" s="194" t="s">
        <v>74</v>
      </c>
      <c r="E3" s="194"/>
    </row>
    <row r="4" spans="2:5" ht="29" x14ac:dyDescent="0.35">
      <c r="D4" s="21" t="s">
        <v>75</v>
      </c>
      <c r="E4" s="22" t="s">
        <v>76</v>
      </c>
    </row>
    <row r="5" spans="2:5" x14ac:dyDescent="0.35">
      <c r="C5" s="23" t="s">
        <v>77</v>
      </c>
      <c r="D5" s="24" t="s">
        <v>78</v>
      </c>
      <c r="E5" s="24" t="s">
        <v>79</v>
      </c>
    </row>
    <row r="6" spans="2:5" x14ac:dyDescent="0.35">
      <c r="C6" s="23" t="s">
        <v>80</v>
      </c>
      <c r="D6" s="24" t="s">
        <v>81</v>
      </c>
      <c r="E6" s="24" t="s">
        <v>78</v>
      </c>
    </row>
    <row r="7" spans="2:5" x14ac:dyDescent="0.35">
      <c r="D7" s="25"/>
      <c r="E7" s="25"/>
    </row>
    <row r="9" spans="2:5" x14ac:dyDescent="0.35">
      <c r="B9" s="26" t="s">
        <v>82</v>
      </c>
    </row>
    <row r="10" spans="2:5" x14ac:dyDescent="0.35">
      <c r="B10" t="s">
        <v>83</v>
      </c>
    </row>
    <row r="11" spans="2:5" x14ac:dyDescent="0.35">
      <c r="B11" t="s">
        <v>84</v>
      </c>
    </row>
    <row r="13" spans="2:5" x14ac:dyDescent="0.35">
      <c r="B13" s="26" t="s">
        <v>85</v>
      </c>
    </row>
    <row r="14" spans="2:5" x14ac:dyDescent="0.35">
      <c r="B14" t="s">
        <v>86</v>
      </c>
    </row>
  </sheetData>
  <sheetProtection algorithmName="SHA-512" hashValue="XFrZ/JK0i62K6wRSwNBlRxd0ADbyxk+5TBHDUCA0hq1OXUKyj7UGpRWL7hXedeeiaw9Dbm/RPGTa4PyTYxEUfg==" saltValue="NB2yWabU6R70CfolHT+GMw==" spinCount="100000" sheet="1" formatCells="0" formatColumns="0" formatRows="0" insertColumns="0" insertRows="0" insertHyperlinks="0" deleteColumns="0" deleteRows="0" sort="0" autoFilter="0" pivotTables="0"/>
  <mergeCells count="1"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C498-5F4D-414B-BE8D-BB4A344C1495}">
  <dimension ref="B1:R36"/>
  <sheetViews>
    <sheetView workbookViewId="0">
      <selection activeCell="L18" sqref="L18"/>
    </sheetView>
  </sheetViews>
  <sheetFormatPr baseColWidth="10" defaultColWidth="11.54296875" defaultRowHeight="14.5" x14ac:dyDescent="0.35"/>
  <cols>
    <col min="1" max="1" width="11.54296875" style="134"/>
    <col min="2" max="2" width="1.81640625" style="134" customWidth="1"/>
    <col min="3" max="9" width="10.81640625" style="134" customWidth="1"/>
    <col min="10" max="10" width="17.36328125" style="134" bestFit="1" customWidth="1"/>
    <col min="11" max="11" width="12.81640625" style="134" bestFit="1" customWidth="1"/>
    <col min="12" max="12" width="14" style="134" bestFit="1" customWidth="1"/>
    <col min="13" max="13" width="11.54296875" style="134"/>
    <col min="14" max="14" width="1.81640625" style="134" customWidth="1"/>
    <col min="15" max="16384" width="11.54296875" style="134"/>
  </cols>
  <sheetData>
    <row r="1" spans="2:18" ht="15" thickBot="1" x14ac:dyDescent="0.4"/>
    <row r="2" spans="2:18" ht="8" customHeight="1" thickBot="1" x14ac:dyDescent="0.4">
      <c r="B2" s="135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7"/>
    </row>
    <row r="3" spans="2:18" ht="50" customHeight="1" thickBot="1" x14ac:dyDescent="0.4">
      <c r="B3" s="138"/>
      <c r="C3" s="208" t="str">
        <f>Projet!A1</f>
        <v>Projet Sarnois</v>
      </c>
      <c r="D3" s="209"/>
      <c r="E3" s="209"/>
      <c r="F3" s="209"/>
      <c r="G3" s="209"/>
      <c r="H3" s="209"/>
      <c r="I3" s="209"/>
      <c r="J3" s="209"/>
      <c r="K3" s="209"/>
      <c r="L3" s="209"/>
      <c r="M3" s="210"/>
      <c r="N3" s="139"/>
      <c r="O3" s="140"/>
    </row>
    <row r="4" spans="2:18" ht="8" customHeight="1" x14ac:dyDescent="0.35">
      <c r="B4" s="138"/>
      <c r="C4" s="141"/>
      <c r="D4" s="141"/>
      <c r="E4" s="141"/>
      <c r="F4" s="141"/>
      <c r="G4" s="141"/>
      <c r="H4" s="141"/>
      <c r="I4" s="141"/>
      <c r="J4" s="141"/>
      <c r="K4" s="141"/>
      <c r="N4" s="142"/>
    </row>
    <row r="5" spans="2:18" ht="15.5" x14ac:dyDescent="0.35">
      <c r="B5" s="138"/>
      <c r="C5" s="211" t="s">
        <v>273</v>
      </c>
      <c r="D5" s="212"/>
      <c r="E5" s="143"/>
      <c r="F5" s="144"/>
      <c r="G5" s="144"/>
      <c r="H5" s="144"/>
      <c r="I5" s="144"/>
      <c r="J5" s="144"/>
      <c r="K5" s="144"/>
      <c r="N5" s="142"/>
    </row>
    <row r="6" spans="2:18" ht="15.5" x14ac:dyDescent="0.35">
      <c r="B6" s="138"/>
      <c r="C6" s="213" t="s">
        <v>274</v>
      </c>
      <c r="D6" s="214"/>
      <c r="E6" s="145" t="s">
        <v>275</v>
      </c>
      <c r="F6" s="146"/>
      <c r="G6" s="146"/>
      <c r="H6" s="146"/>
      <c r="I6" s="146"/>
      <c r="J6" s="146"/>
      <c r="K6" s="146"/>
      <c r="N6" s="142"/>
    </row>
    <row r="7" spans="2:18" ht="8" customHeight="1" thickBot="1" x14ac:dyDescent="0.4">
      <c r="B7" s="138"/>
      <c r="E7" s="146"/>
      <c r="F7" s="146"/>
      <c r="G7" s="146"/>
      <c r="H7" s="146"/>
      <c r="I7" s="146"/>
      <c r="J7" s="146"/>
      <c r="K7" s="146"/>
      <c r="N7" s="142"/>
    </row>
    <row r="8" spans="2:18" ht="19" thickBot="1" x14ac:dyDescent="0.4">
      <c r="B8" s="138"/>
      <c r="C8" s="215" t="s">
        <v>276</v>
      </c>
      <c r="D8" s="216"/>
      <c r="E8" s="216"/>
      <c r="F8" s="216"/>
      <c r="G8" s="216"/>
      <c r="H8" s="216"/>
      <c r="I8" s="216"/>
      <c r="J8" s="216"/>
      <c r="K8" s="216"/>
      <c r="L8" s="216"/>
      <c r="M8" s="217"/>
      <c r="N8" s="147"/>
      <c r="O8" s="144"/>
    </row>
    <row r="9" spans="2:18" ht="18.5" x14ac:dyDescent="0.35">
      <c r="B9" s="138"/>
      <c r="C9" s="218" t="s">
        <v>277</v>
      </c>
      <c r="D9" s="218"/>
      <c r="E9" s="163"/>
      <c r="F9" s="218" t="s">
        <v>298</v>
      </c>
      <c r="G9" s="218"/>
      <c r="H9" s="162"/>
      <c r="I9" s="218" t="s">
        <v>278</v>
      </c>
      <c r="J9" s="218"/>
      <c r="K9" s="162"/>
      <c r="L9" s="218" t="s">
        <v>279</v>
      </c>
      <c r="M9" s="218"/>
      <c r="N9" s="142"/>
    </row>
    <row r="10" spans="2:18" ht="18.5" x14ac:dyDescent="0.35">
      <c r="B10" s="138"/>
      <c r="C10" s="200">
        <f ca="1">OFFSET(Projet!B39,0,MATCH(MAX(Projet!B39:Y39)+1,Projet!B39:Y39,1)-1)</f>
        <v>2.9879199999999999</v>
      </c>
      <c r="D10" s="200"/>
      <c r="E10" s="148"/>
      <c r="F10" s="201">
        <f ca="1">OFFSET(Projet!B160,0,MATCH(MAX(Projet!B160:Y160)+1,Projet!B160:Y160,1)-1)</f>
        <v>1138</v>
      </c>
      <c r="G10" s="201"/>
      <c r="H10" s="149"/>
      <c r="I10" s="202">
        <f ca="1">OFFSET(Projet!B161,0,MATCH(MAX(Projet!B161:Y161)+1,Projet!B161:Y161,1)-1)</f>
        <v>0.88149999999999995</v>
      </c>
      <c r="J10" s="202"/>
      <c r="K10" s="149"/>
      <c r="L10" s="203">
        <f ca="1">OFFSET(Projet!B162,0,MATCH(MAX(Projet!B162:Y162)+1,Projet!B162:Y162,1)-1)</f>
        <v>3.40025296</v>
      </c>
      <c r="M10" s="203"/>
      <c r="N10" s="142"/>
      <c r="P10" s="150"/>
    </row>
    <row r="11" spans="2:18" x14ac:dyDescent="0.35">
      <c r="B11" s="138"/>
      <c r="C11" s="151"/>
      <c r="D11" s="151"/>
      <c r="E11" s="151"/>
      <c r="F11" s="151"/>
      <c r="G11" s="151"/>
      <c r="H11" s="151"/>
      <c r="N11" s="142"/>
    </row>
    <row r="12" spans="2:18" ht="18.5" x14ac:dyDescent="0.35">
      <c r="B12" s="138"/>
      <c r="E12" s="151"/>
      <c r="F12" s="151"/>
      <c r="G12" s="151"/>
      <c r="H12" s="151"/>
      <c r="J12" s="204" t="s">
        <v>280</v>
      </c>
      <c r="K12" s="205"/>
      <c r="L12" s="205"/>
      <c r="M12" s="206"/>
      <c r="N12" s="142"/>
      <c r="Q12" s="207"/>
      <c r="R12" s="207"/>
    </row>
    <row r="13" spans="2:18" ht="20" customHeight="1" x14ac:dyDescent="0.35">
      <c r="B13" s="138"/>
      <c r="E13" s="151"/>
      <c r="F13" s="151"/>
      <c r="G13" s="151"/>
      <c r="H13" s="151"/>
      <c r="J13" s="152" t="s">
        <v>281</v>
      </c>
      <c r="K13" s="164" t="b">
        <v>1</v>
      </c>
      <c r="L13" s="152" t="s">
        <v>282</v>
      </c>
      <c r="M13" s="164" t="b">
        <v>1</v>
      </c>
      <c r="N13" s="142"/>
    </row>
    <row r="14" spans="2:18" ht="20" customHeight="1" x14ac:dyDescent="0.35">
      <c r="B14" s="138"/>
      <c r="E14" s="151"/>
      <c r="F14" s="151"/>
      <c r="G14" s="151"/>
      <c r="H14" s="151"/>
      <c r="J14" s="152" t="s">
        <v>283</v>
      </c>
      <c r="K14" s="164" t="b">
        <v>1</v>
      </c>
      <c r="L14" s="152" t="s">
        <v>284</v>
      </c>
      <c r="M14" s="164" t="b">
        <v>1</v>
      </c>
      <c r="N14" s="153"/>
    </row>
    <row r="15" spans="2:18" ht="20" customHeight="1" x14ac:dyDescent="0.35">
      <c r="B15" s="138"/>
      <c r="E15" s="151"/>
      <c r="F15" s="151"/>
      <c r="G15" s="151"/>
      <c r="H15" s="151"/>
      <c r="J15" s="152" t="s">
        <v>285</v>
      </c>
      <c r="K15" s="164" t="b">
        <v>1</v>
      </c>
      <c r="L15" s="152" t="s">
        <v>286</v>
      </c>
      <c r="M15" s="154"/>
      <c r="N15" s="153"/>
    </row>
    <row r="16" spans="2:18" ht="20" customHeight="1" x14ac:dyDescent="0.35">
      <c r="B16" s="138"/>
      <c r="E16" s="151"/>
      <c r="F16" s="151"/>
      <c r="G16" s="151"/>
      <c r="H16" s="151"/>
      <c r="J16" s="152" t="s">
        <v>287</v>
      </c>
      <c r="K16" s="164" t="b">
        <v>1</v>
      </c>
      <c r="L16" s="152" t="s">
        <v>288</v>
      </c>
      <c r="M16" s="154"/>
      <c r="N16" s="153"/>
    </row>
    <row r="17" spans="2:14" x14ac:dyDescent="0.35">
      <c r="B17" s="138"/>
      <c r="E17" s="151"/>
      <c r="F17" s="151"/>
      <c r="G17" s="151"/>
      <c r="H17" s="151"/>
      <c r="N17" s="153"/>
    </row>
    <row r="18" spans="2:14" ht="30" customHeight="1" x14ac:dyDescent="0.35">
      <c r="B18" s="138"/>
      <c r="E18" s="151"/>
      <c r="F18" s="151"/>
      <c r="G18" s="151"/>
      <c r="H18" s="151"/>
      <c r="N18" s="153"/>
    </row>
    <row r="19" spans="2:14" s="151" customFormat="1" x14ac:dyDescent="0.35">
      <c r="B19" s="155"/>
      <c r="J19" s="195" t="s">
        <v>289</v>
      </c>
      <c r="K19" s="196"/>
      <c r="L19" s="196"/>
      <c r="M19" s="197"/>
      <c r="N19" s="153"/>
    </row>
    <row r="20" spans="2:14" s="151" customFormat="1" ht="20" customHeight="1" x14ac:dyDescent="0.35">
      <c r="B20" s="155"/>
      <c r="J20" s="152" t="s">
        <v>290</v>
      </c>
      <c r="K20" s="156" t="s">
        <v>291</v>
      </c>
      <c r="L20" s="152" t="s">
        <v>292</v>
      </c>
      <c r="M20" s="157">
        <f ca="1">OFFSET(Projet!B33,0,MATCH(MAX(Projet!B33:Y33)+1,Projet!B33:Y33,1)-1)</f>
        <v>680</v>
      </c>
      <c r="N20" s="153"/>
    </row>
    <row r="21" spans="2:14" ht="20" customHeight="1" x14ac:dyDescent="0.35">
      <c r="B21" s="138"/>
      <c r="J21" s="152" t="s">
        <v>293</v>
      </c>
      <c r="K21" s="156" t="s">
        <v>294</v>
      </c>
      <c r="L21" s="152" t="s">
        <v>295</v>
      </c>
      <c r="M21" s="164" t="b">
        <v>0</v>
      </c>
      <c r="N21" s="142"/>
    </row>
    <row r="22" spans="2:14" ht="20" customHeight="1" x14ac:dyDescent="0.35">
      <c r="B22" s="138"/>
      <c r="C22" s="151"/>
      <c r="D22" s="151"/>
      <c r="E22" s="151"/>
      <c r="F22" s="151"/>
      <c r="G22" s="151"/>
      <c r="H22" s="151"/>
      <c r="J22" s="152" t="s">
        <v>296</v>
      </c>
      <c r="K22" s="198" t="s">
        <v>300</v>
      </c>
      <c r="L22" s="198"/>
      <c r="M22" s="199"/>
      <c r="N22" s="142"/>
    </row>
    <row r="23" spans="2:14" ht="20" customHeight="1" x14ac:dyDescent="0.35">
      <c r="B23" s="138"/>
      <c r="C23" s="151"/>
      <c r="D23" s="151"/>
      <c r="E23" s="151"/>
      <c r="F23" s="151"/>
      <c r="G23" s="151"/>
      <c r="H23" s="151"/>
      <c r="K23" s="151"/>
      <c r="L23" s="151"/>
      <c r="M23" s="151"/>
      <c r="N23" s="142"/>
    </row>
    <row r="24" spans="2:14" ht="20" customHeight="1" x14ac:dyDescent="0.35">
      <c r="B24" s="138"/>
      <c r="C24" s="151"/>
      <c r="D24" s="151"/>
      <c r="E24" s="151"/>
      <c r="F24" s="151"/>
      <c r="G24" s="151"/>
      <c r="H24" s="151"/>
      <c r="K24" s="151"/>
      <c r="L24" s="151"/>
      <c r="M24" s="151"/>
      <c r="N24" s="153"/>
    </row>
    <row r="25" spans="2:14" x14ac:dyDescent="0.35">
      <c r="B25" s="138"/>
      <c r="C25" s="151"/>
      <c r="D25" s="151"/>
      <c r="E25" s="151"/>
      <c r="F25" s="151"/>
      <c r="G25" s="151"/>
      <c r="H25" s="151"/>
      <c r="K25" s="151"/>
      <c r="L25" s="151"/>
      <c r="M25" s="151"/>
      <c r="N25" s="153"/>
    </row>
    <row r="26" spans="2:14" x14ac:dyDescent="0.35">
      <c r="B26" s="138"/>
      <c r="C26" s="151"/>
      <c r="D26" s="151"/>
      <c r="E26" s="151"/>
      <c r="F26" s="151"/>
      <c r="G26" s="151"/>
      <c r="H26" s="151"/>
      <c r="K26" s="151"/>
      <c r="L26" s="151"/>
      <c r="M26" s="151"/>
      <c r="N26" s="153"/>
    </row>
    <row r="27" spans="2:14" x14ac:dyDescent="0.35">
      <c r="B27" s="138"/>
      <c r="C27" s="151"/>
      <c r="D27" s="151"/>
      <c r="E27" s="151"/>
      <c r="F27" s="151"/>
      <c r="G27" s="151"/>
      <c r="H27" s="151"/>
      <c r="N27" s="153"/>
    </row>
    <row r="28" spans="2:14" x14ac:dyDescent="0.35">
      <c r="B28" s="138"/>
      <c r="C28" s="151"/>
      <c r="D28" s="151"/>
      <c r="E28" s="151"/>
      <c r="F28" s="151"/>
      <c r="G28" s="151"/>
      <c r="H28" s="151"/>
      <c r="N28" s="153"/>
    </row>
    <row r="29" spans="2:14" x14ac:dyDescent="0.35">
      <c r="B29" s="138"/>
      <c r="C29" s="151"/>
      <c r="D29" s="151"/>
      <c r="E29" s="151"/>
      <c r="F29" s="151"/>
      <c r="G29" s="151"/>
      <c r="H29" s="151"/>
      <c r="N29" s="153"/>
    </row>
    <row r="30" spans="2:14" x14ac:dyDescent="0.35">
      <c r="B30" s="138"/>
      <c r="C30" s="151"/>
      <c r="D30" s="151"/>
      <c r="E30" s="151"/>
      <c r="F30" s="151"/>
      <c r="G30" s="151"/>
      <c r="H30" s="151"/>
      <c r="N30" s="153"/>
    </row>
    <row r="31" spans="2:14" x14ac:dyDescent="0.35">
      <c r="B31" s="138"/>
      <c r="C31" s="151"/>
      <c r="D31" s="151"/>
      <c r="E31" s="151"/>
      <c r="F31" s="151"/>
      <c r="G31" s="151"/>
      <c r="H31" s="151"/>
      <c r="N31" s="153"/>
    </row>
    <row r="32" spans="2:14" x14ac:dyDescent="0.35">
      <c r="B32" s="138"/>
      <c r="C32" s="151"/>
      <c r="D32" s="151"/>
      <c r="E32" s="151"/>
      <c r="F32" s="151"/>
      <c r="G32" s="151"/>
      <c r="H32" s="151"/>
      <c r="N32" s="153"/>
    </row>
    <row r="33" spans="2:14" ht="15" thickBot="1" x14ac:dyDescent="0.4">
      <c r="B33" s="158"/>
      <c r="C33" s="159"/>
      <c r="D33" s="159"/>
      <c r="E33" s="159"/>
      <c r="F33" s="159"/>
      <c r="G33" s="159"/>
      <c r="H33" s="159"/>
      <c r="I33" s="160"/>
      <c r="J33" s="160"/>
      <c r="K33" s="160"/>
      <c r="L33" s="160"/>
      <c r="M33" s="160"/>
      <c r="N33" s="161"/>
    </row>
    <row r="34" spans="2:14" ht="0.65" customHeight="1" x14ac:dyDescent="0.35">
      <c r="B34" s="138"/>
      <c r="C34" s="151"/>
      <c r="D34" s="151"/>
      <c r="E34" s="151"/>
      <c r="F34" s="151"/>
      <c r="G34" s="151"/>
      <c r="H34" s="151"/>
      <c r="N34" s="142"/>
    </row>
    <row r="35" spans="2:14" hidden="1" x14ac:dyDescent="0.35">
      <c r="B35" s="138"/>
      <c r="N35" s="142"/>
    </row>
    <row r="36" spans="2:14" hidden="1" x14ac:dyDescent="0.35">
      <c r="B36" s="138"/>
      <c r="N36" s="142"/>
    </row>
  </sheetData>
  <mergeCells count="16">
    <mergeCell ref="Q12:R12"/>
    <mergeCell ref="C3:M3"/>
    <mergeCell ref="C5:D5"/>
    <mergeCell ref="C6:D6"/>
    <mergeCell ref="C8:M8"/>
    <mergeCell ref="C9:D9"/>
    <mergeCell ref="F9:G9"/>
    <mergeCell ref="I9:J9"/>
    <mergeCell ref="L9:M9"/>
    <mergeCell ref="J19:M19"/>
    <mergeCell ref="K22:M22"/>
    <mergeCell ref="C10:D10"/>
    <mergeCell ref="F10:G10"/>
    <mergeCell ref="I10:J10"/>
    <mergeCell ref="L10:M10"/>
    <mergeCell ref="J12:M1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2ce41b-738f-4f71-9fde-9872d149dd84" xsi:nil="true"/>
    <_dlc_DocId xmlns="a12ce41b-738f-4f71-9fde-9872d149dd84">52JMHFCM54FC-1459352069-1810610</_dlc_DocId>
    <_dlc_DocIdUrl xmlns="a12ce41b-738f-4f71-9fde-9872d149dd84">
      <Url>https://unite69.sharepoint.com/sites/Documents/_layouts/15/DocIdRedir.aspx?ID=52JMHFCM54FC-1459352069-1810610</Url>
      <Description>52JMHFCM54FC-1459352069-1810610</Description>
    </_dlc_DocIdUrl>
    <lcf76f155ced4ddcb4097134ff3c332f xmlns="ce1b9820-3dc3-4bb1-a3a2-86da58f0f22c">
      <Terms xmlns="http://schemas.microsoft.com/office/infopath/2007/PartnerControls"/>
    </lcf76f155ced4ddcb4097134ff3c332f>
    <Version_x002e_ xmlns="ce1b9820-3dc3-4bb1-a3a2-86da58f0f22c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FE8EEC6F299B46B0A49079B624F72A" ma:contentTypeVersion="15" ma:contentTypeDescription="Crée un document." ma:contentTypeScope="" ma:versionID="3f522c63d2ae0b414fb9cf64b488f125">
  <xsd:schema xmlns:xsd="http://www.w3.org/2001/XMLSchema" xmlns:xs="http://www.w3.org/2001/XMLSchema" xmlns:p="http://schemas.microsoft.com/office/2006/metadata/properties" xmlns:ns2="a12ce41b-738f-4f71-9fde-9872d149dd84" xmlns:ns3="ce1b9820-3dc3-4bb1-a3a2-86da58f0f22c" targetNamespace="http://schemas.microsoft.com/office/2006/metadata/properties" ma:root="true" ma:fieldsID="ea37059e4fd280f38bf9db318a4ddfd7" ns2:_="" ns3:_="">
    <xsd:import namespace="a12ce41b-738f-4f71-9fde-9872d149dd84"/>
    <xsd:import namespace="ce1b9820-3dc3-4bb1-a3a2-86da58f0f22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BillingMetadata" minOccurs="0"/>
                <xsd:element ref="ns3:Version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ce41b-738f-4f71-9fde-9872d149dd8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eur d’ID de document" ma:description="Valeur de l’ID de document affecté à cet élément." ma:indexed="true" ma:internalName="_dlc_DocId" ma:readOnly="true">
      <xsd:simpleType>
        <xsd:restriction base="dms:Text"/>
      </xsd:simpleType>
    </xsd:element>
    <xsd:element name="_dlc_DocIdUrl" ma:index="9" nillable="true" ma:displayName="ID de document" ma:description="Lien permanent vers ce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2" nillable="true" ma:displayName="Taxonomy Catch All Column" ma:hidden="true" ma:list="{5fc3ebb2-f877-4b30-94e1-1d25a926da57}" ma:internalName="TaxCatchAll" ma:showField="CatchAllData" ma:web="a12ce41b-738f-4f71-9fde-9872d149dd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b9820-3dc3-4bb1-a3a2-86da58f0f2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Balises d’images" ma:readOnly="false" ma:fieldId="{5cf76f15-5ced-4ddc-b409-7134ff3c332f}" ma:taxonomyMulti="true" ma:sspId="19bffe26-7739-47bb-8e83-cffc5ce63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Version_x002e_" ma:index="25" nillable="true" ma:displayName="Version." ma:format="Dropdown" ma:internalName="Version_x002e_">
      <xsd:simpleType>
        <xsd:union memberTypes="dms:Text">
          <xsd:simpleType>
            <xsd:restriction base="dms:Choice">
              <xsd:enumeration value="En rédaction"/>
              <xsd:enumeration value="En approbation"/>
              <xsd:enumeration value="Définitive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17B149-C449-4E27-976F-2C9B51CF988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1E6A50A-4308-4C48-A666-39E8CD1F1C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0E96CC-61DC-4392-91D9-EA0D4D1E05AE}">
  <ds:schemaRefs>
    <ds:schemaRef ds:uri="http://schemas.microsoft.com/office/2006/metadata/properties"/>
    <ds:schemaRef ds:uri="http://schemas.microsoft.com/office/infopath/2007/PartnerControls"/>
    <ds:schemaRef ds:uri="a12ce41b-738f-4f71-9fde-9872d149dd84"/>
    <ds:schemaRef ds:uri="c887ee98-09f9-47e2-b639-c3ff76aa46db"/>
    <ds:schemaRef ds:uri="32725a7e-a481-4a02-a6db-58dfc2cbda38"/>
  </ds:schemaRefs>
</ds:datastoreItem>
</file>

<file path=customXml/itemProps4.xml><?xml version="1.0" encoding="utf-8"?>
<ds:datastoreItem xmlns:ds="http://schemas.openxmlformats.org/officeDocument/2006/customXml" ds:itemID="{41052FB1-0949-4D81-A422-8E8EFBC2D58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Projet</vt:lpstr>
      <vt:lpstr>Feuil1</vt:lpstr>
      <vt:lpstr>Détails AgriPV</vt:lpstr>
      <vt:lpstr>Standards UNITe</vt:lpstr>
      <vt:lpstr>Dimensions postes et pieux</vt:lpstr>
      <vt:lpstr>Batteries de stockage</vt:lpstr>
      <vt:lpstr>Revue APS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2026-09-02T07:51:37Z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0x01010061FE8EEC6F299B46B0A49079B624F72A</vt:lpwstr>
  </property>
  <property fmtid="{D5CDD505-2E9C-101B-9397-08002B2CF9AE}" pid="3" name="_dlc_DocIdItemGuid">
    <vt:lpwstr>8a38e287-da75-490c-a699-8777c4cffcb4</vt:lpwstr>
  </property>
  <property fmtid="{D5CDD505-2E9C-101B-9397-08002B2CF9AE}" pid="4" name="MediaServiceImageTags">
    <vt:lpwstr/>
  </property>
</Properties>
</file>