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w\Documents\School\U of O\5 Winter 2019\OBA 466\Project\"/>
    </mc:Choice>
  </mc:AlternateContent>
  <xr:revisionPtr revIDLastSave="0" documentId="13_ncr:1_{B3CE023A-694C-474C-AB8C-D533D00D1ED7}" xr6:coauthVersionLast="41" xr6:coauthVersionMax="41" xr10:uidLastSave="{00000000-0000-0000-0000-000000000000}"/>
  <bookViews>
    <workbookView xWindow="-108" yWindow="-108" windowWidth="23256" windowHeight="12576" xr2:uid="{51C37703-F0B5-4DA4-BEC4-35F689913E4A}"/>
  </bookViews>
  <sheets>
    <sheet name="Input" sheetId="1" r:id="rId1"/>
    <sheet name="Solver" sheetId="4" r:id="rId2"/>
    <sheet name="Answer Report 80%" sheetId="6" r:id="rId3"/>
    <sheet name="Supply" sheetId="2" r:id="rId4"/>
  </sheets>
  <definedNames>
    <definedName name="solver_adj" localSheetId="1" hidden="1">Solver!$E$2:$E$45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Solver!$J$12:$J$15</definedName>
    <definedName name="solver_lhs10" localSheetId="1" hidden="1">Solver!$J$52:$J$55</definedName>
    <definedName name="solver_lhs11" localSheetId="1" hidden="1">Solver!$J$57:$J$60</definedName>
    <definedName name="solver_lhs12" localSheetId="1" hidden="1">Solver!$J$7:$J$10</definedName>
    <definedName name="solver_lhs2" localSheetId="1" hidden="1">Solver!$J$17:$J$20</definedName>
    <definedName name="solver_lhs3" localSheetId="1" hidden="1">Solver!$J$22:$J$25</definedName>
    <definedName name="solver_lhs4" localSheetId="1" hidden="1">Solver!$J$27:$J$30</definedName>
    <definedName name="solver_lhs5" localSheetId="1" hidden="1">Solver!$J$2:$J$5</definedName>
    <definedName name="solver_lhs6" localSheetId="1" hidden="1">Solver!$J$32:$J$35</definedName>
    <definedName name="solver_lhs7" localSheetId="1" hidden="1">Solver!$J$37:$J$40</definedName>
    <definedName name="solver_lhs8" localSheetId="1" hidden="1">Solver!$J$42:$J$45</definedName>
    <definedName name="solver_lhs9" localSheetId="1" hidden="1">Solver!$J$47:$J$50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12</definedName>
    <definedName name="solver_nwt" localSheetId="1" hidden="1">1</definedName>
    <definedName name="solver_opt" localSheetId="1" hidden="1">Solver!$E$46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2</definedName>
    <definedName name="solver_rel11" localSheetId="1" hidden="1">2</definedName>
    <definedName name="solver_rel12" localSheetId="1" hidden="1">3</definedName>
    <definedName name="solver_rel2" localSheetId="1" hidden="1">2</definedName>
    <definedName name="solver_rel3" localSheetId="1" hidden="1">1</definedName>
    <definedName name="solver_rel4" localSheetId="1" hidden="1">3</definedName>
    <definedName name="solver_rel5" localSheetId="1" hidden="1">3</definedName>
    <definedName name="solver_rel6" localSheetId="1" hidden="1">1</definedName>
    <definedName name="solver_rel7" localSheetId="1" hidden="1">2</definedName>
    <definedName name="solver_rel8" localSheetId="1" hidden="1">2</definedName>
    <definedName name="solver_rel9" localSheetId="1" hidden="1">1</definedName>
    <definedName name="solver_rhs1" localSheetId="1" hidden="1">Solver!$L$12:$L$15</definedName>
    <definedName name="solver_rhs10" localSheetId="1" hidden="1">Solver!$L$52:$L$55</definedName>
    <definedName name="solver_rhs11" localSheetId="1" hidden="1">Solver!$L$57:$L$60</definedName>
    <definedName name="solver_rhs12" localSheetId="1" hidden="1">Solver!$L$7:$L$10</definedName>
    <definedName name="solver_rhs2" localSheetId="1" hidden="1">Solver!$L$17:$L$20</definedName>
    <definedName name="solver_rhs3" localSheetId="1" hidden="1">Solver!$L$22:$L$25</definedName>
    <definedName name="solver_rhs4" localSheetId="1" hidden="1">Solver!$L$27:$L$30</definedName>
    <definedName name="solver_rhs5" localSheetId="1" hidden="1">Solver!$L$2:$L$5</definedName>
    <definedName name="solver_rhs6" localSheetId="1" hidden="1">Solver!$L$32:$L$35</definedName>
    <definedName name="solver_rhs7" localSheetId="1" hidden="1">Solver!$L$37:$L$40</definedName>
    <definedName name="solver_rhs8" localSheetId="1" hidden="1">Solver!$L$42:$L$45</definedName>
    <definedName name="solver_rhs9" localSheetId="1" hidden="1">Solver!$L$47:$L$50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6" i="4" l="1"/>
  <c r="B20" i="2"/>
  <c r="B22" i="2"/>
  <c r="B19" i="2"/>
  <c r="B17" i="2"/>
  <c r="L23" i="4"/>
  <c r="L22" i="4"/>
  <c r="L25" i="4"/>
  <c r="L24" i="4"/>
  <c r="E28" i="2"/>
  <c r="B16" i="1"/>
  <c r="B14" i="1"/>
  <c r="B12" i="1"/>
  <c r="B10" i="1"/>
  <c r="E2" i="2"/>
  <c r="E3" i="2"/>
  <c r="C2" i="2"/>
  <c r="C3" i="2"/>
  <c r="L57" i="4"/>
  <c r="L52" i="4"/>
  <c r="L47" i="4"/>
  <c r="L3" i="4"/>
  <c r="L2" i="4"/>
  <c r="L5" i="4"/>
  <c r="L4" i="4"/>
  <c r="C11" i="2"/>
  <c r="C4" i="2"/>
  <c r="L27" i="4"/>
  <c r="E4" i="2"/>
  <c r="E11" i="2"/>
  <c r="L33" i="4"/>
  <c r="L32" i="4"/>
  <c r="L35" i="4"/>
  <c r="E59" i="4"/>
  <c r="E55" i="4"/>
  <c r="E61" i="4"/>
  <c r="E12" i="2"/>
  <c r="E7" i="2"/>
  <c r="E8" i="2"/>
  <c r="C7" i="2"/>
  <c r="C8" i="2"/>
  <c r="C12" i="2"/>
  <c r="E48" i="4"/>
  <c r="D41" i="4"/>
  <c r="D40" i="4"/>
  <c r="D39" i="4"/>
  <c r="D38" i="4"/>
  <c r="D33" i="4"/>
  <c r="D32" i="4"/>
  <c r="D31" i="4"/>
  <c r="D30" i="4"/>
  <c r="J42" i="4"/>
  <c r="L12" i="4"/>
  <c r="L13" i="4"/>
  <c r="L7" i="4"/>
  <c r="L9" i="4"/>
  <c r="L8" i="4"/>
  <c r="B23" i="1"/>
  <c r="E47" i="4"/>
  <c r="J18" i="4"/>
  <c r="J45" i="4"/>
  <c r="J25" i="4"/>
  <c r="E27" i="2"/>
  <c r="E26" i="2"/>
  <c r="E24" i="2"/>
  <c r="E19" i="2"/>
  <c r="E20" i="2"/>
  <c r="J22" i="4"/>
  <c r="J23" i="4"/>
  <c r="J43" i="4"/>
  <c r="J24" i="4"/>
  <c r="J44" i="4"/>
  <c r="J48" i="4"/>
  <c r="J49" i="4"/>
  <c r="J50" i="4"/>
  <c r="J47" i="4"/>
  <c r="J19" i="4"/>
  <c r="J17" i="4"/>
  <c r="J8" i="4"/>
  <c r="J40" i="4"/>
  <c r="J39" i="4"/>
  <c r="J38" i="4"/>
  <c r="J37" i="4"/>
  <c r="J20" i="4"/>
  <c r="L49" i="4"/>
  <c r="B31" i="2"/>
  <c r="L50" i="4"/>
  <c r="L48" i="4"/>
  <c r="J27" i="4"/>
  <c r="J12" i="4"/>
  <c r="J7" i="4"/>
  <c r="J10" i="4"/>
  <c r="J9" i="4"/>
  <c r="J60" i="4"/>
  <c r="J59" i="4"/>
  <c r="J58" i="4"/>
  <c r="J57" i="4"/>
  <c r="J55" i="4"/>
  <c r="J54" i="4"/>
  <c r="J53" i="4"/>
  <c r="J52" i="4"/>
  <c r="J35" i="4"/>
  <c r="J34" i="4"/>
  <c r="J33" i="4"/>
  <c r="J32" i="4"/>
  <c r="J30" i="4"/>
  <c r="J29" i="4"/>
  <c r="J28" i="4"/>
  <c r="J13" i="4"/>
  <c r="J15" i="4"/>
  <c r="J14" i="4"/>
  <c r="J5" i="4"/>
  <c r="J4" i="4"/>
  <c r="J3" i="4"/>
  <c r="J2" i="4"/>
  <c r="B33" i="2"/>
  <c r="B32" i="2"/>
  <c r="L34" i="4"/>
  <c r="C39" i="2"/>
  <c r="L55" i="4"/>
  <c r="C36" i="2"/>
  <c r="C37" i="2"/>
  <c r="L53" i="4"/>
  <c r="C38" i="2"/>
  <c r="L54" i="4"/>
  <c r="D38" i="2"/>
  <c r="L59" i="4"/>
  <c r="D36" i="2"/>
  <c r="D39" i="2"/>
  <c r="L60" i="4"/>
  <c r="D37" i="2"/>
  <c r="L58" i="4"/>
  <c r="L29" i="4"/>
  <c r="L28" i="4"/>
  <c r="L30" i="4"/>
  <c r="L15" i="4"/>
  <c r="L14" i="4"/>
  <c r="L10" i="4"/>
</calcChain>
</file>

<file path=xl/sharedStrings.xml><?xml version="1.0" encoding="utf-8"?>
<sst xmlns="http://schemas.openxmlformats.org/spreadsheetml/2006/main" count="694" uniqueCount="272">
  <si>
    <t>Organic Proportion</t>
  </si>
  <si>
    <t># of Workers</t>
  </si>
  <si>
    <t>Bags per hr</t>
  </si>
  <si>
    <t>=</t>
  </si>
  <si>
    <t>OrgCocoa</t>
  </si>
  <si>
    <t>NonOrgCocoa</t>
  </si>
  <si>
    <t>M</t>
  </si>
  <si>
    <t>CaM</t>
  </si>
  <si>
    <t>MC</t>
  </si>
  <si>
    <t>CaMC</t>
  </si>
  <si>
    <t>K</t>
  </si>
  <si>
    <t>CaK</t>
  </si>
  <si>
    <t>H</t>
  </si>
  <si>
    <t>CaH</t>
  </si>
  <si>
    <t>Demand</t>
  </si>
  <si>
    <t>W1</t>
  </si>
  <si>
    <t>Kiss</t>
  </si>
  <si>
    <t>W2</t>
  </si>
  <si>
    <t>W3</t>
  </si>
  <si>
    <t>W4</t>
  </si>
  <si>
    <t>Hug</t>
  </si>
  <si>
    <t>Milk Choco</t>
  </si>
  <si>
    <t>Machine Hours</t>
  </si>
  <si>
    <t>K+H</t>
  </si>
  <si>
    <t>Cocoa</t>
  </si>
  <si>
    <t>Milk</t>
  </si>
  <si>
    <t>Organic Cocoa</t>
  </si>
  <si>
    <t>Labor Hours</t>
  </si>
  <si>
    <t>Min - Supply</t>
  </si>
  <si>
    <t>Max - Supply</t>
  </si>
  <si>
    <t>≥</t>
  </si>
  <si>
    <t>≤</t>
  </si>
  <si>
    <t>Cocoa Organic Proportion</t>
  </si>
  <si>
    <t>Minimum Daily Milk Supply</t>
  </si>
  <si>
    <t>Maximum Daily Milk Supply</t>
  </si>
  <si>
    <t>Minimum Daily Cocoa Supply</t>
  </si>
  <si>
    <t>Maximum Daily Cocoa Supply</t>
  </si>
  <si>
    <t>% of Machine Uptime</t>
  </si>
  <si>
    <t>Kisses Demand Proportion</t>
  </si>
  <si>
    <t>Hugs Demand Proportion</t>
  </si>
  <si>
    <t>Minimum Daily Milk Chocolate Production</t>
  </si>
  <si>
    <t>Maximum Daily Milk Chocolate Production</t>
  </si>
  <si>
    <t>Minimum Milk Supply</t>
  </si>
  <si>
    <t>Maximum Milk Supply</t>
  </si>
  <si>
    <t>gallons</t>
  </si>
  <si>
    <t>pounds</t>
  </si>
  <si>
    <t>Daily</t>
  </si>
  <si>
    <t>Weekly</t>
  </si>
  <si>
    <t>hrs/day</t>
  </si>
  <si>
    <t>days/week</t>
  </si>
  <si>
    <t>lb bags</t>
  </si>
  <si>
    <t># Workers</t>
  </si>
  <si>
    <t>Kisses produced daily</t>
  </si>
  <si>
    <t>Kisses per Family Pack</t>
  </si>
  <si>
    <t>Kisses per Ounce</t>
  </si>
  <si>
    <t>Kisses per Pound</t>
  </si>
  <si>
    <t>Proportion of Kisses considered for model</t>
  </si>
  <si>
    <t>Kisses produced daily for model</t>
  </si>
  <si>
    <t>Units per package</t>
  </si>
  <si>
    <t>Ouncese per Family Pack</t>
  </si>
  <si>
    <t>Machine Uptime</t>
  </si>
  <si>
    <t>Amount Ordered/Produced</t>
  </si>
  <si>
    <t>Weekly Production Capacity</t>
  </si>
  <si>
    <t>Kisses</t>
  </si>
  <si>
    <t>Hugs</t>
  </si>
  <si>
    <t>Kisses Weekly Demand</t>
  </si>
  <si>
    <t>Hugs Weekly Demand</t>
  </si>
  <si>
    <t>Proportions by Week</t>
  </si>
  <si>
    <t>Input of Gross Daily Factors</t>
  </si>
  <si>
    <t>% of Milk in MC</t>
  </si>
  <si>
    <t>% of Cocoa in MC</t>
  </si>
  <si>
    <t>Total Profit</t>
  </si>
  <si>
    <t>Proportion of Total Production</t>
  </si>
  <si>
    <t>Days Open per Week</t>
  </si>
  <si>
    <t>Operating Hours per Day</t>
  </si>
  <si>
    <t>Days</t>
  </si>
  <si>
    <t>i</t>
  </si>
  <si>
    <t>Variables</t>
  </si>
  <si>
    <t>Manually Adjustable Variable</t>
  </si>
  <si>
    <t>Auto-Calculated Variable</t>
  </si>
  <si>
    <t>Supply</t>
  </si>
  <si>
    <t>Cocoa + Demand</t>
  </si>
  <si>
    <t>LaborPounds</t>
  </si>
  <si>
    <t>pieces</t>
  </si>
  <si>
    <t>Revenue</t>
  </si>
  <si>
    <t>Costs</t>
  </si>
  <si>
    <t>Profit at 60% Organic</t>
  </si>
  <si>
    <t>Profit at 100% Organic</t>
  </si>
  <si>
    <t>Revenue/Cost</t>
  </si>
  <si>
    <t>CaCocoa</t>
  </si>
  <si>
    <t>Profit at 80% Organic</t>
  </si>
  <si>
    <t>Loss from 60 to 80%</t>
  </si>
  <si>
    <t>Loss from 80 to 100%</t>
  </si>
  <si>
    <t>Total Loss</t>
  </si>
  <si>
    <t>Microsoft Excel 16.0 Answer Report</t>
  </si>
  <si>
    <t>Worksheet: [Price Update Optimization.xlsx]Solver</t>
  </si>
  <si>
    <t>Result: Solver found a solution.  All Constraints and optimality conditions are satisfied.</t>
  </si>
  <si>
    <t>Solver Engine</t>
  </si>
  <si>
    <t>Engine: Simplex LP</t>
  </si>
  <si>
    <t>Iterations: 55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</si>
  <si>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</si>
  <si>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</si>
  <si>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</si>
  <si>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</si>
  <si>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</si>
  <si>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</si>
  <si>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</si>
  <si>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</si>
  <si>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</si>
  <si>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</si>
  <si>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</si>
  <si>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</si>
  <si>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</si>
  <si>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</si>
  <si>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</si>
  <si>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$E$46</t>
  </si>
  <si>
    <t>Total Profit Amount Ordered/Produced</t>
  </si>
  <si>
    <t>$E$2</t>
  </si>
  <si>
    <t>OrgCocoa Amount Ordered/Produced</t>
  </si>
  <si>
    <t>Contin</t>
  </si>
  <si>
    <t>$E$3</t>
  </si>
  <si>
    <t>$E$4</t>
  </si>
  <si>
    <t>$E$5</t>
  </si>
  <si>
    <t>$E$6</t>
  </si>
  <si>
    <t>NonOrgCocoa Amount Ordered/Produced</t>
  </si>
  <si>
    <t>$E$7</t>
  </si>
  <si>
    <t>$E$8</t>
  </si>
  <si>
    <t>$E$9</t>
  </si>
  <si>
    <t>$E$10</t>
  </si>
  <si>
    <t>CaCocoa Amount Ordered/Produced</t>
  </si>
  <si>
    <t>$E$11</t>
  </si>
  <si>
    <t>$E$12</t>
  </si>
  <si>
    <t>$E$13</t>
  </si>
  <si>
    <t>$E$14</t>
  </si>
  <si>
    <t>M Amount Ordered/Produced</t>
  </si>
  <si>
    <t>$E$15</t>
  </si>
  <si>
    <t>$E$16</t>
  </si>
  <si>
    <t>$E$17</t>
  </si>
  <si>
    <t>$E$18</t>
  </si>
  <si>
    <t>CaM Amount Ordered/Produced</t>
  </si>
  <si>
    <t>$E$19</t>
  </si>
  <si>
    <t>$E$20</t>
  </si>
  <si>
    <t>$E$21</t>
  </si>
  <si>
    <t>$E$22</t>
  </si>
  <si>
    <t>MC Amount Ordered/Produced</t>
  </si>
  <si>
    <t>$E$23</t>
  </si>
  <si>
    <t>$E$24</t>
  </si>
  <si>
    <t>$E$25</t>
  </si>
  <si>
    <t>$E$26</t>
  </si>
  <si>
    <t>CaMC Amount Ordered/Produced</t>
  </si>
  <si>
    <t>$E$27</t>
  </si>
  <si>
    <t>$E$28</t>
  </si>
  <si>
    <t>$E$29</t>
  </si>
  <si>
    <t>$E$30</t>
  </si>
  <si>
    <t>K Amount Ordered/Produced</t>
  </si>
  <si>
    <t>$E$31</t>
  </si>
  <si>
    <t>$E$32</t>
  </si>
  <si>
    <t>$E$33</t>
  </si>
  <si>
    <t>$E$34</t>
  </si>
  <si>
    <t>CaK Amount Ordered/Produced</t>
  </si>
  <si>
    <t>$E$35</t>
  </si>
  <si>
    <t>$E$36</t>
  </si>
  <si>
    <t>$E$37</t>
  </si>
  <si>
    <t>$E$38</t>
  </si>
  <si>
    <t>H Amount Ordered/Produced</t>
  </si>
  <si>
    <t>$E$39</t>
  </si>
  <si>
    <t>$E$40</t>
  </si>
  <si>
    <t>$E$41</t>
  </si>
  <si>
    <t>$E$42</t>
  </si>
  <si>
    <t>CaH Amount Ordered/Produced</t>
  </si>
  <si>
    <t>$E$43</t>
  </si>
  <si>
    <t>$E$44</t>
  </si>
  <si>
    <t>$E$45</t>
  </si>
  <si>
    <t>$J$12</t>
  </si>
  <si>
    <t>$J$12&lt;=$L$12</t>
  </si>
  <si>
    <t>Not Binding</t>
  </si>
  <si>
    <t>$J$13</t>
  </si>
  <si>
    <t>$J$13&lt;=$L$13</t>
  </si>
  <si>
    <t>$J$14</t>
  </si>
  <si>
    <t>$J$14&lt;=$L$14</t>
  </si>
  <si>
    <t>Binding</t>
  </si>
  <si>
    <t>$J$15</t>
  </si>
  <si>
    <t>$J$15&lt;=$L$15</t>
  </si>
  <si>
    <t>$J$17</t>
  </si>
  <si>
    <t>$J$17=$L$17</t>
  </si>
  <si>
    <t>$J$18</t>
  </si>
  <si>
    <t>$J$18=$L$18</t>
  </si>
  <si>
    <t>$J$19</t>
  </si>
  <si>
    <t>$J$19=$L$19</t>
  </si>
  <si>
    <t>$J$20</t>
  </si>
  <si>
    <t>$J$20=$L$20</t>
  </si>
  <si>
    <t>$J$22</t>
  </si>
  <si>
    <t>$J$22&lt;=$L$22</t>
  </si>
  <si>
    <t>$J$23</t>
  </si>
  <si>
    <t>$J$23&lt;=$L$23</t>
  </si>
  <si>
    <t>$J$24</t>
  </si>
  <si>
    <t>$J$24&lt;=$L$24</t>
  </si>
  <si>
    <t>$J$25</t>
  </si>
  <si>
    <t>$J$25&lt;=$L$25</t>
  </si>
  <si>
    <t>$J$27</t>
  </si>
  <si>
    <t>$J$27&gt;=$L$27</t>
  </si>
  <si>
    <t>$J$28</t>
  </si>
  <si>
    <t>$J$28&gt;=$L$28</t>
  </si>
  <si>
    <t>$J$29</t>
  </si>
  <si>
    <t>$J$29&gt;=$L$29</t>
  </si>
  <si>
    <t>$J$30</t>
  </si>
  <si>
    <t>$J$30&gt;=$L$30</t>
  </si>
  <si>
    <t>$J$2</t>
  </si>
  <si>
    <t>$J$2&gt;=$L$2</t>
  </si>
  <si>
    <t>$J$3</t>
  </si>
  <si>
    <t>$J$3&gt;=$L$3</t>
  </si>
  <si>
    <t>$J$4</t>
  </si>
  <si>
    <t>$J$4&gt;=$L$4</t>
  </si>
  <si>
    <t>$J$5</t>
  </si>
  <si>
    <t>$J$5&gt;=$L$5</t>
  </si>
  <si>
    <t>$J$32</t>
  </si>
  <si>
    <t>$J$32&lt;=$L$32</t>
  </si>
  <si>
    <t>$J$33</t>
  </si>
  <si>
    <t>$J$33&lt;=$L$33</t>
  </si>
  <si>
    <t>$J$34</t>
  </si>
  <si>
    <t>$J$34&lt;=$L$34</t>
  </si>
  <si>
    <t>$J$35</t>
  </si>
  <si>
    <t>$J$35&lt;=$L$35</t>
  </si>
  <si>
    <t>$J$37</t>
  </si>
  <si>
    <t>$J$37=$L$37</t>
  </si>
  <si>
    <t>$J$38</t>
  </si>
  <si>
    <t>$J$38=$L$38</t>
  </si>
  <si>
    <t>$J$39</t>
  </si>
  <si>
    <t>$J$39=$L$39</t>
  </si>
  <si>
    <t>$J$40</t>
  </si>
  <si>
    <t>$J$40=$L$40</t>
  </si>
  <si>
    <t>$J$42</t>
  </si>
  <si>
    <t>$J$42=$L$42</t>
  </si>
  <si>
    <t>$J$43</t>
  </si>
  <si>
    <t>$J$43=$L$43</t>
  </si>
  <si>
    <t>$J$44</t>
  </si>
  <si>
    <t>$J$44=$L$44</t>
  </si>
  <si>
    <t>$J$45</t>
  </si>
  <si>
    <t>$J$45=$L$45</t>
  </si>
  <si>
    <t>$J$47</t>
  </si>
  <si>
    <t>$J$47&lt;=$L$47</t>
  </si>
  <si>
    <t>$J$48</t>
  </si>
  <si>
    <t>$J$48&lt;=$L$48</t>
  </si>
  <si>
    <t>$J$49</t>
  </si>
  <si>
    <t>$J$49&lt;=$L$49</t>
  </si>
  <si>
    <t>$J$50</t>
  </si>
  <si>
    <t>$J$50&lt;=$L$50</t>
  </si>
  <si>
    <t>$J$52</t>
  </si>
  <si>
    <t>$J$52=$L$52</t>
  </si>
  <si>
    <t>$J$53</t>
  </si>
  <si>
    <t>$J$53=$L$53</t>
  </si>
  <si>
    <t>$J$54</t>
  </si>
  <si>
    <t>$J$54=$L$54</t>
  </si>
  <si>
    <t>$J$55</t>
  </si>
  <si>
    <t>$J$55=$L$55</t>
  </si>
  <si>
    <t>$J$57</t>
  </si>
  <si>
    <t>$J$57=$L$57</t>
  </si>
  <si>
    <t>$J$58</t>
  </si>
  <si>
    <t>$J$58=$L$58</t>
  </si>
  <si>
    <t>$J$59</t>
  </si>
  <si>
    <t>$J$59=$L$59</t>
  </si>
  <si>
    <t>$J$60</t>
  </si>
  <si>
    <t>$J$60=$L$60</t>
  </si>
  <si>
    <t>$J$7</t>
  </si>
  <si>
    <t>$J$7&gt;=$L$7</t>
  </si>
  <si>
    <t>$J$8</t>
  </si>
  <si>
    <t>$J$8&gt;=$L$8</t>
  </si>
  <si>
    <t>$J$9</t>
  </si>
  <si>
    <t>$J$9&gt;=$L$9</t>
  </si>
  <si>
    <t>$J$10</t>
  </si>
  <si>
    <t>$J$10&gt;=$L$10</t>
  </si>
  <si>
    <t>Solution Time: 0.187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</si>
</sst>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0" xfId="0" applyFon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/>
    <xf numFmtId="0" fontId="0" fillId="0" borderId="9" xfId="0" applyBorder="1"/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2" xfId="1" applyNumberFormat="1" applyFont="1" applyBorder="1"/>
    <xf numFmtId="164" fontId="0" fillId="0" borderId="6" xfId="1" applyNumberFormat="1" applyFont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0" xfId="0" applyFont="1"/>
    <xf numFmtId="166" fontId="2" fillId="0" borderId="15" xfId="2" applyNumberFormat="1" applyFont="1" applyBorder="1"/>
    <xf numFmtId="164" fontId="0" fillId="0" borderId="9" xfId="1" applyNumberFormat="1" applyFont="1" applyBorder="1"/>
    <xf numFmtId="0" fontId="2" fillId="0" borderId="16" xfId="0" applyFont="1" applyBorder="1"/>
    <xf numFmtId="166" fontId="2" fillId="0" borderId="17" xfId="2" applyNumberFormat="1" applyFont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43" fontId="0" fillId="0" borderId="2" xfId="1" applyFont="1" applyBorder="1"/>
    <xf numFmtId="2" fontId="0" fillId="0" borderId="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2" fillId="0" borderId="2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164" fontId="0" fillId="0" borderId="9" xfId="1" applyNumberFormat="1" applyFont="1" applyBorder="1" applyAlignment="1">
      <alignment horizontal="center"/>
    </xf>
    <xf numFmtId="164" fontId="0" fillId="0" borderId="3" xfId="1" applyNumberFormat="1" applyFont="1" applyBorder="1"/>
    <xf numFmtId="0" fontId="0" fillId="0" borderId="4" xfId="0" applyBorder="1"/>
    <xf numFmtId="0" fontId="0" fillId="0" borderId="7" xfId="0" applyBorder="1"/>
    <xf numFmtId="164" fontId="0" fillId="0" borderId="10" xfId="1" applyNumberFormat="1" applyFont="1" applyBorder="1"/>
    <xf numFmtId="0" fontId="0" fillId="0" borderId="11" xfId="0" applyBorder="1"/>
    <xf numFmtId="9" fontId="0" fillId="0" borderId="9" xfId="3" applyFont="1" applyBorder="1"/>
    <xf numFmtId="165" fontId="0" fillId="0" borderId="9" xfId="3" applyNumberFormat="1" applyFont="1" applyBorder="1"/>
    <xf numFmtId="0" fontId="2" fillId="2" borderId="2" xfId="0" applyFont="1" applyFill="1" applyBorder="1"/>
    <xf numFmtId="0" fontId="2" fillId="3" borderId="2" xfId="0" applyFont="1" applyFill="1" applyBorder="1"/>
    <xf numFmtId="0" fontId="2" fillId="2" borderId="2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2" fillId="3" borderId="14" xfId="0" applyFont="1" applyFill="1" applyBorder="1"/>
    <xf numFmtId="164" fontId="0" fillId="0" borderId="4" xfId="1" applyNumberFormat="1" applyFont="1" applyBorder="1"/>
    <xf numFmtId="164" fontId="0" fillId="0" borderId="7" xfId="1" applyNumberFormat="1" applyFont="1" applyBorder="1"/>
    <xf numFmtId="164" fontId="0" fillId="0" borderId="11" xfId="1" applyNumberFormat="1" applyFont="1" applyBorder="1"/>
    <xf numFmtId="164" fontId="0" fillId="0" borderId="1" xfId="1" applyNumberFormat="1" applyFont="1" applyBorder="1"/>
    <xf numFmtId="165" fontId="0" fillId="0" borderId="5" xfId="3" applyNumberFormat="1" applyFont="1" applyBorder="1"/>
    <xf numFmtId="164" fontId="0" fillId="0" borderId="5" xfId="1" applyNumberFormat="1" applyFont="1" applyBorder="1"/>
    <xf numFmtId="9" fontId="0" fillId="0" borderId="5" xfId="0" applyNumberFormat="1" applyBorder="1"/>
    <xf numFmtId="0" fontId="0" fillId="0" borderId="5" xfId="0" applyBorder="1"/>
    <xf numFmtId="164" fontId="0" fillId="0" borderId="8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0" borderId="0" xfId="1" applyNumberFormat="1" applyFont="1"/>
    <xf numFmtId="44" fontId="0" fillId="0" borderId="0" xfId="2" applyFont="1"/>
    <xf numFmtId="43" fontId="0" fillId="0" borderId="0" xfId="1" applyFont="1"/>
    <xf numFmtId="44" fontId="0" fillId="0" borderId="0" xfId="0" applyNumberFormat="1"/>
    <xf numFmtId="44" fontId="2" fillId="0" borderId="10" xfId="2" applyFont="1" applyBorder="1"/>
    <xf numFmtId="0" fontId="4" fillId="0" borderId="0" xfId="0" applyFont="1" applyAlignment="1">
      <alignment horizontal="right"/>
    </xf>
    <xf numFmtId="44" fontId="4" fillId="0" borderId="10" xfId="2" applyFont="1" applyBorder="1"/>
    <xf numFmtId="44" fontId="4" fillId="0" borderId="10" xfId="0" applyNumberFormat="1" applyFont="1" applyBorder="1"/>
    <xf numFmtId="0" fontId="0" fillId="0" borderId="19" xfId="0" applyBorder="1"/>
    <xf numFmtId="0" fontId="0" fillId="0" borderId="20" xfId="0" applyBorder="1"/>
    <xf numFmtId="166" fontId="0" fillId="0" borderId="19" xfId="0" applyNumberFormat="1" applyBorder="1"/>
    <xf numFmtId="164" fontId="0" fillId="0" borderId="20" xfId="0" applyNumberFormat="1" applyBorder="1"/>
    <xf numFmtId="164" fontId="0" fillId="0" borderId="19" xfId="0" applyNumberFormat="1" applyBorder="1"/>
    <xf numFmtId="3" fontId="0" fillId="0" borderId="20" xfId="0" applyNumberFormat="1" applyBorder="1"/>
    <xf numFmtId="3" fontId="0" fillId="0" borderId="19" xfId="0" applyNumberFormat="1" applyBorder="1"/>
    <xf numFmtId="10" fontId="0" fillId="0" borderId="0" xfId="3" applyNumberFormat="1" applyFont="1"/>
    <xf numFmtId="0" fontId="5" fillId="0" borderId="1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987F-E213-4716-AB83-EEDFA17FBE29}">
  <dimension ref="B1:E23"/>
  <sheetViews>
    <sheetView showGridLines="0" tabSelected="1" zoomScale="109" workbookViewId="0">
      <selection activeCell="E11" sqref="E11"/>
    </sheetView>
  </sheetViews>
  <sheetFormatPr defaultRowHeight="14.4" x14ac:dyDescent="0.3"/>
  <cols>
    <col min="2" max="2" width="37.5546875" bestFit="1" customWidth="1"/>
    <col min="4" max="4" width="11.5546875" customWidth="1"/>
    <col min="5" max="5" width="26.44140625" bestFit="1" customWidth="1"/>
    <col min="9" max="9" width="13.6640625" bestFit="1" customWidth="1"/>
  </cols>
  <sheetData>
    <row r="1" spans="2:5" ht="15" thickBot="1" x14ac:dyDescent="0.35"/>
    <row r="2" spans="2:5" x14ac:dyDescent="0.3">
      <c r="B2" s="30" t="s">
        <v>68</v>
      </c>
      <c r="E2" s="57" t="s">
        <v>78</v>
      </c>
    </row>
    <row r="3" spans="2:5" ht="15" thickBot="1" x14ac:dyDescent="0.35">
      <c r="B3" s="56" t="s">
        <v>32</v>
      </c>
      <c r="E3" s="58" t="s">
        <v>79</v>
      </c>
    </row>
    <row r="4" spans="2:5" x14ac:dyDescent="0.3">
      <c r="B4" s="52">
        <v>0.8</v>
      </c>
    </row>
    <row r="5" spans="2:5" x14ac:dyDescent="0.3">
      <c r="B5" s="54" t="s">
        <v>33</v>
      </c>
      <c r="E5" s="54" t="s">
        <v>69</v>
      </c>
    </row>
    <row r="6" spans="2:5" x14ac:dyDescent="0.3">
      <c r="B6" s="32">
        <v>300000</v>
      </c>
      <c r="C6" t="s">
        <v>44</v>
      </c>
      <c r="E6" s="52">
        <v>0.12</v>
      </c>
    </row>
    <row r="7" spans="2:5" x14ac:dyDescent="0.3">
      <c r="B7" s="54" t="s">
        <v>34</v>
      </c>
      <c r="E7" s="54" t="s">
        <v>70</v>
      </c>
    </row>
    <row r="8" spans="2:5" x14ac:dyDescent="0.3">
      <c r="B8" s="32">
        <v>350000</v>
      </c>
      <c r="C8" t="s">
        <v>44</v>
      </c>
      <c r="E8" s="52">
        <v>0.11</v>
      </c>
    </row>
    <row r="9" spans="2:5" x14ac:dyDescent="0.3">
      <c r="B9" s="55" t="s">
        <v>35</v>
      </c>
      <c r="E9" s="54" t="s">
        <v>1</v>
      </c>
    </row>
    <row r="10" spans="2:5" x14ac:dyDescent="0.3">
      <c r="B10" s="32">
        <f>Supply!C7</f>
        <v>59125</v>
      </c>
      <c r="C10" t="s">
        <v>45</v>
      </c>
      <c r="E10" s="21">
        <v>11</v>
      </c>
    </row>
    <row r="11" spans="2:5" x14ac:dyDescent="0.3">
      <c r="B11" s="55" t="s">
        <v>36</v>
      </c>
      <c r="E11" s="54" t="s">
        <v>37</v>
      </c>
    </row>
    <row r="12" spans="2:5" x14ac:dyDescent="0.3">
      <c r="B12" s="32">
        <f>Supply!E7</f>
        <v>68979.166666666672</v>
      </c>
      <c r="C12" t="s">
        <v>45</v>
      </c>
      <c r="E12" s="52">
        <v>1</v>
      </c>
    </row>
    <row r="13" spans="2:5" x14ac:dyDescent="0.3">
      <c r="B13" s="55" t="s">
        <v>40</v>
      </c>
      <c r="E13" s="54" t="s">
        <v>38</v>
      </c>
    </row>
    <row r="14" spans="2:5" x14ac:dyDescent="0.3">
      <c r="B14" s="32">
        <f>Supply!C11</f>
        <v>537500</v>
      </c>
      <c r="C14" t="s">
        <v>45</v>
      </c>
      <c r="E14" s="52">
        <v>0.95</v>
      </c>
    </row>
    <row r="15" spans="2:5" x14ac:dyDescent="0.3">
      <c r="B15" s="55" t="s">
        <v>41</v>
      </c>
      <c r="E15" s="54" t="s">
        <v>39</v>
      </c>
    </row>
    <row r="16" spans="2:5" x14ac:dyDescent="0.3">
      <c r="B16" s="32">
        <f>Supply!E11</f>
        <v>627083.33333333337</v>
      </c>
      <c r="C16" t="s">
        <v>45</v>
      </c>
      <c r="E16" s="52">
        <v>0.05</v>
      </c>
    </row>
    <row r="17" spans="2:5" x14ac:dyDescent="0.3">
      <c r="B17" s="54" t="s">
        <v>74</v>
      </c>
      <c r="E17" s="54" t="s">
        <v>72</v>
      </c>
    </row>
    <row r="18" spans="2:5" x14ac:dyDescent="0.3">
      <c r="B18" s="21">
        <v>24</v>
      </c>
      <c r="E18" s="53">
        <v>2.5000000000000001E-2</v>
      </c>
    </row>
    <row r="19" spans="2:5" x14ac:dyDescent="0.3">
      <c r="B19" s="54" t="s">
        <v>73</v>
      </c>
    </row>
    <row r="20" spans="2:5" x14ac:dyDescent="0.3">
      <c r="B20" s="21">
        <v>7</v>
      </c>
    </row>
    <row r="21" spans="2:5" ht="15" thickBot="1" x14ac:dyDescent="0.35"/>
    <row r="22" spans="2:5" x14ac:dyDescent="0.3">
      <c r="B22" s="59" t="s">
        <v>71</v>
      </c>
    </row>
    <row r="23" spans="2:5" ht="15" thickBot="1" x14ac:dyDescent="0.35">
      <c r="B23" s="31">
        <f>Solver!E46</f>
        <v>28729465.129774317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8136-EFED-42A6-92FB-548F43065AD5}">
  <dimension ref="B1:R65"/>
  <sheetViews>
    <sheetView zoomScaleNormal="100" workbookViewId="0"/>
  </sheetViews>
  <sheetFormatPr defaultRowHeight="14.4" x14ac:dyDescent="0.3"/>
  <cols>
    <col min="1" max="1" width="5" customWidth="1"/>
    <col min="2" max="2" width="13.33203125" bestFit="1" customWidth="1"/>
    <col min="3" max="3" width="2" bestFit="1" customWidth="1"/>
    <col min="4" max="4" width="18.21875" bestFit="1" customWidth="1"/>
    <col min="5" max="5" width="25.88671875" bestFit="1" customWidth="1"/>
    <col min="6" max="6" width="17.88671875" bestFit="1" customWidth="1"/>
    <col min="7" max="7" width="18" bestFit="1" customWidth="1"/>
    <col min="8" max="8" width="3.88671875" bestFit="1" customWidth="1"/>
    <col min="9" max="9" width="15.6640625" bestFit="1" customWidth="1"/>
    <col min="10" max="10" width="11.6640625" bestFit="1" customWidth="1"/>
    <col min="11" max="11" width="2" bestFit="1" customWidth="1"/>
    <col min="12" max="12" width="11.6640625" bestFit="1" customWidth="1"/>
  </cols>
  <sheetData>
    <row r="1" spans="2:18" x14ac:dyDescent="0.3">
      <c r="B1" s="26" t="s">
        <v>77</v>
      </c>
      <c r="C1" s="26" t="s">
        <v>76</v>
      </c>
      <c r="D1" s="26" t="s">
        <v>88</v>
      </c>
      <c r="E1" s="26" t="s">
        <v>61</v>
      </c>
    </row>
    <row r="2" spans="2:18" x14ac:dyDescent="0.3">
      <c r="B2" s="27" t="s">
        <v>4</v>
      </c>
      <c r="C2" s="22">
        <v>1</v>
      </c>
      <c r="D2" s="2">
        <v>-5.5</v>
      </c>
      <c r="E2" s="60">
        <v>331100</v>
      </c>
      <c r="F2" t="s">
        <v>45</v>
      </c>
      <c r="G2" s="1" t="s">
        <v>0</v>
      </c>
      <c r="H2" s="23" t="s">
        <v>15</v>
      </c>
      <c r="I2" s="3" t="s">
        <v>26</v>
      </c>
      <c r="J2" s="4">
        <f>$E2</f>
        <v>331100</v>
      </c>
      <c r="K2" s="5" t="s">
        <v>30</v>
      </c>
      <c r="L2" s="6">
        <f>Input!$B$4*(Solver!$E2+Solver!$E6)</f>
        <v>331100</v>
      </c>
    </row>
    <row r="3" spans="2:18" x14ac:dyDescent="0.3">
      <c r="B3" s="28" t="s">
        <v>4</v>
      </c>
      <c r="C3" s="22">
        <v>2</v>
      </c>
      <c r="D3" s="8">
        <v>-5.5</v>
      </c>
      <c r="E3" s="61">
        <v>372467.44791666692</v>
      </c>
      <c r="G3" s="7" t="s">
        <v>0</v>
      </c>
      <c r="H3" s="23" t="s">
        <v>17</v>
      </c>
      <c r="I3" s="9" t="s">
        <v>26</v>
      </c>
      <c r="J3" s="10">
        <f t="shared" ref="J3:J5" si="0">$E3</f>
        <v>372467.44791666692</v>
      </c>
      <c r="K3" s="11" t="s">
        <v>30</v>
      </c>
      <c r="L3" s="12">
        <f>Input!$B$4*(Solver!$E3+Solver!$E7)</f>
        <v>372467.44791666692</v>
      </c>
    </row>
    <row r="4" spans="2:18" x14ac:dyDescent="0.3">
      <c r="B4" s="28" t="s">
        <v>4</v>
      </c>
      <c r="C4" s="22">
        <v>3</v>
      </c>
      <c r="D4" s="8">
        <v>-5.5</v>
      </c>
      <c r="E4" s="61">
        <v>386283.33333333331</v>
      </c>
      <c r="G4" s="7" t="s">
        <v>0</v>
      </c>
      <c r="H4" s="23" t="s">
        <v>18</v>
      </c>
      <c r="I4" s="9" t="s">
        <v>26</v>
      </c>
      <c r="J4" s="10">
        <f t="shared" si="0"/>
        <v>386283.33333333331</v>
      </c>
      <c r="K4" s="11" t="s">
        <v>30</v>
      </c>
      <c r="L4" s="12">
        <f>Input!$B$4*(Solver!$E4+Solver!$E8)</f>
        <v>386283.33333333331</v>
      </c>
    </row>
    <row r="5" spans="2:18" x14ac:dyDescent="0.3">
      <c r="B5" s="29" t="s">
        <v>4</v>
      </c>
      <c r="C5" s="22">
        <v>4</v>
      </c>
      <c r="D5" s="14">
        <v>-5.5</v>
      </c>
      <c r="E5" s="62">
        <v>331100</v>
      </c>
      <c r="G5" s="13" t="s">
        <v>0</v>
      </c>
      <c r="H5" s="23" t="s">
        <v>19</v>
      </c>
      <c r="I5" s="15" t="s">
        <v>26</v>
      </c>
      <c r="J5" s="16">
        <f t="shared" si="0"/>
        <v>331100</v>
      </c>
      <c r="K5" s="17" t="s">
        <v>30</v>
      </c>
      <c r="L5" s="18">
        <f>Input!$B$4*(Solver!$E5+Solver!$E9)</f>
        <v>331100</v>
      </c>
    </row>
    <row r="6" spans="2:18" x14ac:dyDescent="0.3">
      <c r="B6" s="27" t="s">
        <v>5</v>
      </c>
      <c r="C6" s="22">
        <v>1</v>
      </c>
      <c r="D6" s="2">
        <v>-3</v>
      </c>
      <c r="E6" s="60">
        <v>82774.999999999985</v>
      </c>
      <c r="F6" t="s">
        <v>45</v>
      </c>
      <c r="M6" s="19"/>
      <c r="R6" s="20"/>
    </row>
    <row r="7" spans="2:18" x14ac:dyDescent="0.3">
      <c r="B7" s="28" t="s">
        <v>5</v>
      </c>
      <c r="C7" s="22">
        <v>2</v>
      </c>
      <c r="D7" s="8">
        <v>-3</v>
      </c>
      <c r="E7" s="61">
        <v>93116.861979166701</v>
      </c>
      <c r="G7" s="1" t="s">
        <v>28</v>
      </c>
      <c r="H7" s="23" t="s">
        <v>15</v>
      </c>
      <c r="I7" s="3" t="s">
        <v>24</v>
      </c>
      <c r="J7" s="4">
        <f>E2+E6</f>
        <v>413875</v>
      </c>
      <c r="K7" s="5" t="s">
        <v>30</v>
      </c>
      <c r="L7" s="6">
        <f>Supply!$C$8</f>
        <v>413875</v>
      </c>
    </row>
    <row r="8" spans="2:18" x14ac:dyDescent="0.3">
      <c r="B8" s="28" t="s">
        <v>5</v>
      </c>
      <c r="C8" s="22">
        <v>3</v>
      </c>
      <c r="D8" s="8">
        <v>-3</v>
      </c>
      <c r="E8" s="61">
        <v>96570.833333333314</v>
      </c>
      <c r="G8" s="7" t="s">
        <v>28</v>
      </c>
      <c r="H8" s="23" t="s">
        <v>17</v>
      </c>
      <c r="I8" s="9" t="s">
        <v>24</v>
      </c>
      <c r="J8" s="10">
        <f>E3+E7</f>
        <v>465584.3098958336</v>
      </c>
      <c r="K8" s="11" t="s">
        <v>30</v>
      </c>
      <c r="L8" s="12">
        <f>Supply!$C$8</f>
        <v>413875</v>
      </c>
    </row>
    <row r="9" spans="2:18" x14ac:dyDescent="0.3">
      <c r="B9" s="29" t="s">
        <v>5</v>
      </c>
      <c r="C9" s="22">
        <v>4</v>
      </c>
      <c r="D9" s="14">
        <v>-3</v>
      </c>
      <c r="E9" s="62">
        <v>82774.999999999971</v>
      </c>
      <c r="G9" s="7" t="s">
        <v>28</v>
      </c>
      <c r="H9" s="23" t="s">
        <v>18</v>
      </c>
      <c r="I9" s="9" t="s">
        <v>24</v>
      </c>
      <c r="J9" s="10">
        <f t="shared" ref="J9:J10" si="1">E4+E8</f>
        <v>482854.16666666663</v>
      </c>
      <c r="K9" s="11" t="s">
        <v>30</v>
      </c>
      <c r="L9" s="12">
        <f>Supply!$C$8</f>
        <v>413875</v>
      </c>
    </row>
    <row r="10" spans="2:18" x14ac:dyDescent="0.3">
      <c r="B10" s="27" t="s">
        <v>89</v>
      </c>
      <c r="C10" s="22">
        <v>1</v>
      </c>
      <c r="D10" s="2">
        <v>-5.1999999999999998E-2</v>
      </c>
      <c r="E10" s="60">
        <v>29752.278645833125</v>
      </c>
      <c r="F10" t="s">
        <v>45</v>
      </c>
      <c r="G10" s="13" t="s">
        <v>28</v>
      </c>
      <c r="H10" s="23" t="s">
        <v>19</v>
      </c>
      <c r="I10" s="15" t="s">
        <v>24</v>
      </c>
      <c r="J10" s="16">
        <f t="shared" si="1"/>
        <v>413875</v>
      </c>
      <c r="K10" s="17" t="s">
        <v>30</v>
      </c>
      <c r="L10" s="18">
        <f>Supply!$C$8</f>
        <v>413875</v>
      </c>
    </row>
    <row r="11" spans="2:18" x14ac:dyDescent="0.3">
      <c r="B11" s="28" t="s">
        <v>89</v>
      </c>
      <c r="C11" s="22">
        <v>2</v>
      </c>
      <c r="D11" s="8">
        <v>-5.1999999999999998E-2</v>
      </c>
      <c r="E11" s="61">
        <v>45184.027777777817</v>
      </c>
      <c r="M11" s="19"/>
      <c r="R11" s="20"/>
    </row>
    <row r="12" spans="2:18" x14ac:dyDescent="0.3">
      <c r="B12" s="28" t="s">
        <v>89</v>
      </c>
      <c r="C12" s="22">
        <v>3</v>
      </c>
      <c r="D12" s="8">
        <v>-5.1999999999999998E-2</v>
      </c>
      <c r="E12" s="61">
        <v>0</v>
      </c>
      <c r="G12" s="1" t="s">
        <v>29</v>
      </c>
      <c r="H12" s="23" t="s">
        <v>15</v>
      </c>
      <c r="I12" s="3" t="s">
        <v>24</v>
      </c>
      <c r="J12" s="4">
        <f>E2+E6</f>
        <v>413875</v>
      </c>
      <c r="K12" s="5" t="s">
        <v>31</v>
      </c>
      <c r="L12" s="6">
        <f>Supply!$E$8</f>
        <v>482854.16666666669</v>
      </c>
    </row>
    <row r="13" spans="2:18" x14ac:dyDescent="0.3">
      <c r="B13" s="29" t="s">
        <v>89</v>
      </c>
      <c r="C13" s="22">
        <v>4</v>
      </c>
      <c r="D13" s="14">
        <v>-5.1999999999999998E-2</v>
      </c>
      <c r="E13" s="62">
        <v>53488.932291666533</v>
      </c>
      <c r="G13" s="7" t="s">
        <v>29</v>
      </c>
      <c r="H13" s="23" t="s">
        <v>17</v>
      </c>
      <c r="I13" s="9" t="s">
        <v>24</v>
      </c>
      <c r="J13" s="10">
        <f>E3+E7</f>
        <v>465584.3098958336</v>
      </c>
      <c r="K13" s="11" t="s">
        <v>31</v>
      </c>
      <c r="L13" s="12">
        <f>Supply!$E$8</f>
        <v>482854.16666666669</v>
      </c>
    </row>
    <row r="14" spans="2:18" x14ac:dyDescent="0.3">
      <c r="B14" s="27" t="s">
        <v>6</v>
      </c>
      <c r="C14" s="22">
        <v>1</v>
      </c>
      <c r="D14" s="2">
        <v>-0.04</v>
      </c>
      <c r="E14" s="60">
        <v>451500</v>
      </c>
      <c r="F14" t="s">
        <v>45</v>
      </c>
      <c r="G14" s="7" t="s">
        <v>29</v>
      </c>
      <c r="H14" s="23" t="s">
        <v>18</v>
      </c>
      <c r="I14" s="9" t="s">
        <v>24</v>
      </c>
      <c r="J14" s="10">
        <f t="shared" ref="J14:J15" si="2">E4+E8</f>
        <v>482854.16666666663</v>
      </c>
      <c r="K14" s="11" t="s">
        <v>31</v>
      </c>
      <c r="L14" s="12">
        <f>Supply!$E$8</f>
        <v>482854.16666666669</v>
      </c>
    </row>
    <row r="15" spans="2:18" x14ac:dyDescent="0.3">
      <c r="B15" s="28" t="s">
        <v>6</v>
      </c>
      <c r="C15" s="22">
        <v>2</v>
      </c>
      <c r="D15" s="8">
        <v>-0.04</v>
      </c>
      <c r="E15" s="61">
        <v>507910.15624999872</v>
      </c>
      <c r="G15" s="13" t="s">
        <v>29</v>
      </c>
      <c r="H15" s="23" t="s">
        <v>19</v>
      </c>
      <c r="I15" s="15" t="s">
        <v>24</v>
      </c>
      <c r="J15" s="16">
        <f t="shared" si="2"/>
        <v>413875</v>
      </c>
      <c r="K15" s="17" t="s">
        <v>31</v>
      </c>
      <c r="L15" s="18">
        <f>Supply!$E$8</f>
        <v>482854.16666666669</v>
      </c>
    </row>
    <row r="16" spans="2:18" x14ac:dyDescent="0.3">
      <c r="B16" s="28" t="s">
        <v>6</v>
      </c>
      <c r="C16" s="22">
        <v>3</v>
      </c>
      <c r="D16" s="8">
        <v>-0.04</v>
      </c>
      <c r="E16" s="61">
        <v>526750</v>
      </c>
      <c r="M16" s="19"/>
      <c r="R16" s="20"/>
    </row>
    <row r="17" spans="2:18" x14ac:dyDescent="0.3">
      <c r="B17" s="29" t="s">
        <v>6</v>
      </c>
      <c r="C17" s="22">
        <v>4</v>
      </c>
      <c r="D17" s="14">
        <v>-0.04</v>
      </c>
      <c r="E17" s="62">
        <v>451500</v>
      </c>
      <c r="G17" s="1" t="s">
        <v>14</v>
      </c>
      <c r="H17" s="23" t="s">
        <v>15</v>
      </c>
      <c r="I17" s="3" t="s">
        <v>24</v>
      </c>
      <c r="J17" s="4">
        <f>((E2+E6+E13-E10)-(Input!$E$8*(E22+E26)))</f>
        <v>3.4924596548080444E-10</v>
      </c>
      <c r="K17" s="5" t="s">
        <v>3</v>
      </c>
      <c r="L17" s="6">
        <v>0</v>
      </c>
    </row>
    <row r="18" spans="2:18" x14ac:dyDescent="0.3">
      <c r="B18" s="27" t="s">
        <v>7</v>
      </c>
      <c r="C18" s="22">
        <v>1</v>
      </c>
      <c r="D18" s="2">
        <v>-0.06</v>
      </c>
      <c r="E18" s="60">
        <v>32457.031250000538</v>
      </c>
      <c r="F18" t="s">
        <v>45</v>
      </c>
      <c r="G18" s="7" t="s">
        <v>14</v>
      </c>
      <c r="H18" s="23" t="s">
        <v>17</v>
      </c>
      <c r="I18" s="9" t="s">
        <v>24</v>
      </c>
      <c r="J18" s="10">
        <f>((E3+E7+E10-E11)-(Input!$E$8*(E23+E27)))</f>
        <v>4.0745362639427185E-10</v>
      </c>
      <c r="K18" s="11" t="s">
        <v>3</v>
      </c>
      <c r="L18" s="12">
        <v>0</v>
      </c>
    </row>
    <row r="19" spans="2:18" x14ac:dyDescent="0.3">
      <c r="B19" s="28" t="s">
        <v>7</v>
      </c>
      <c r="C19" s="22">
        <v>2</v>
      </c>
      <c r="D19" s="8">
        <v>-0.06</v>
      </c>
      <c r="E19" s="61">
        <v>49291.666666666271</v>
      </c>
      <c r="G19" s="7" t="s">
        <v>14</v>
      </c>
      <c r="H19" s="23" t="s">
        <v>18</v>
      </c>
      <c r="I19" s="9" t="s">
        <v>24</v>
      </c>
      <c r="J19" s="10">
        <f>((E4+E8+E11-E12)-(Input!$E$8*(E24+E28)))</f>
        <v>3.4924596548080444E-10</v>
      </c>
      <c r="K19" s="11" t="s">
        <v>3</v>
      </c>
      <c r="L19" s="12">
        <v>0</v>
      </c>
    </row>
    <row r="20" spans="2:18" x14ac:dyDescent="0.3">
      <c r="B20" s="28" t="s">
        <v>7</v>
      </c>
      <c r="C20" s="22">
        <v>3</v>
      </c>
      <c r="D20" s="8">
        <v>-0.06</v>
      </c>
      <c r="E20" s="61">
        <v>0</v>
      </c>
      <c r="G20" s="13" t="s">
        <v>14</v>
      </c>
      <c r="H20" s="23" t="s">
        <v>19</v>
      </c>
      <c r="I20" s="15" t="s">
        <v>24</v>
      </c>
      <c r="J20" s="16">
        <f>((E5+E9+E12-E13)-(Input!$E$8*(E25+E29)))</f>
        <v>4.0745362639427185E-10</v>
      </c>
      <c r="K20" s="17" t="s">
        <v>3</v>
      </c>
      <c r="L20" s="18">
        <v>0</v>
      </c>
    </row>
    <row r="21" spans="2:18" x14ac:dyDescent="0.3">
      <c r="B21" s="29" t="s">
        <v>7</v>
      </c>
      <c r="C21" s="22">
        <v>4</v>
      </c>
      <c r="D21" s="14">
        <v>-0.06</v>
      </c>
      <c r="E21" s="62">
        <v>58351.562500000247</v>
      </c>
      <c r="M21" s="19"/>
      <c r="R21" s="20"/>
    </row>
    <row r="22" spans="2:18" x14ac:dyDescent="0.3">
      <c r="B22" s="27" t="s">
        <v>8</v>
      </c>
      <c r="C22" s="22">
        <v>1</v>
      </c>
      <c r="D22" s="2">
        <v>-1.5</v>
      </c>
      <c r="E22" s="60">
        <v>3978287.7604166637</v>
      </c>
      <c r="F22" t="s">
        <v>45</v>
      </c>
      <c r="G22" s="1" t="s">
        <v>27</v>
      </c>
      <c r="H22" s="23" t="s">
        <v>15</v>
      </c>
      <c r="I22" s="3" t="s">
        <v>81</v>
      </c>
      <c r="J22" s="4">
        <f>((E2+E6+E13)/50)+((E30+E34+E38+E42)/(50*Supply!$E$20))</f>
        <v>90953.181423611095</v>
      </c>
      <c r="K22" s="5" t="s">
        <v>31</v>
      </c>
      <c r="L22" s="6">
        <f>Supply!$B$22</f>
        <v>110880</v>
      </c>
    </row>
    <row r="23" spans="2:18" x14ac:dyDescent="0.3">
      <c r="B23" s="28" t="s">
        <v>8</v>
      </c>
      <c r="C23" s="22">
        <v>2</v>
      </c>
      <c r="D23" s="8">
        <v>-1.5</v>
      </c>
      <c r="E23" s="61">
        <v>4092296.0069444412</v>
      </c>
      <c r="G23" s="7" t="s">
        <v>27</v>
      </c>
      <c r="H23" s="23" t="s">
        <v>17</v>
      </c>
      <c r="I23" s="9" t="s">
        <v>81</v>
      </c>
      <c r="J23" s="10">
        <f>((E3+E7+E10)/50) + ((E31+E35+E39+E43)/(50*Supply!$E$20))</f>
        <v>96312.981770833343</v>
      </c>
      <c r="K23" s="11" t="s">
        <v>31</v>
      </c>
      <c r="L23" s="12">
        <f>Supply!$B$22</f>
        <v>110880</v>
      </c>
    </row>
    <row r="24" spans="2:18" x14ac:dyDescent="0.3">
      <c r="B24" s="28" t="s">
        <v>8</v>
      </c>
      <c r="C24" s="22">
        <v>3</v>
      </c>
      <c r="D24" s="8">
        <v>-1.5</v>
      </c>
      <c r="E24" s="61">
        <v>4800347.2222222192</v>
      </c>
      <c r="G24" s="7" t="s">
        <v>27</v>
      </c>
      <c r="H24" s="23" t="s">
        <v>18</v>
      </c>
      <c r="I24" s="9" t="s">
        <v>81</v>
      </c>
      <c r="J24" s="10">
        <f>((E4+E8+E11)/50) + ((E32+E36+E40+E44)/(50*Supply!$E$20))</f>
        <v>106567.70833333333</v>
      </c>
      <c r="K24" s="11" t="s">
        <v>31</v>
      </c>
      <c r="L24" s="12">
        <f>Supply!$B$22</f>
        <v>110880</v>
      </c>
    </row>
    <row r="25" spans="2:18" x14ac:dyDescent="0.3">
      <c r="B25" s="29" t="s">
        <v>8</v>
      </c>
      <c r="C25" s="22">
        <v>4</v>
      </c>
      <c r="D25" s="14">
        <v>-1.5</v>
      </c>
      <c r="E25" s="62">
        <v>3276236.9791666642</v>
      </c>
      <c r="G25" s="13" t="s">
        <v>27</v>
      </c>
      <c r="H25" s="23" t="s">
        <v>19</v>
      </c>
      <c r="I25" s="15" t="s">
        <v>81</v>
      </c>
      <c r="J25" s="16">
        <f>((E5+E9+E12)/50) + ((E33+E37+E41+E45)/(50*Supply!$E$20))</f>
        <v>75482.361111111109</v>
      </c>
      <c r="K25" s="17" t="s">
        <v>31</v>
      </c>
      <c r="L25" s="18">
        <f>Supply!$B$22</f>
        <v>110880</v>
      </c>
    </row>
    <row r="26" spans="2:18" x14ac:dyDescent="0.3">
      <c r="B26" s="27" t="s">
        <v>9</v>
      </c>
      <c r="C26" s="22">
        <v>1</v>
      </c>
      <c r="D26" s="2">
        <v>-7.4999999999999997E-2</v>
      </c>
      <c r="E26" s="60">
        <v>0</v>
      </c>
      <c r="F26" t="s">
        <v>45</v>
      </c>
      <c r="M26" s="19"/>
      <c r="R26" s="20"/>
    </row>
    <row r="27" spans="2:18" x14ac:dyDescent="0.3">
      <c r="B27" s="28" t="s">
        <v>9</v>
      </c>
      <c r="C27" s="22">
        <v>2</v>
      </c>
      <c r="D27" s="8">
        <v>-7.4999999999999997E-2</v>
      </c>
      <c r="E27" s="61">
        <v>0</v>
      </c>
      <c r="G27" s="1" t="s">
        <v>28</v>
      </c>
      <c r="H27" s="23" t="s">
        <v>15</v>
      </c>
      <c r="I27" s="3" t="s">
        <v>25</v>
      </c>
      <c r="J27" s="4">
        <f>E14</f>
        <v>451500</v>
      </c>
      <c r="K27" s="5" t="s">
        <v>30</v>
      </c>
      <c r="L27" s="6">
        <f>Supply!$C$4</f>
        <v>451500</v>
      </c>
    </row>
    <row r="28" spans="2:18" x14ac:dyDescent="0.3">
      <c r="B28" s="28" t="s">
        <v>9</v>
      </c>
      <c r="C28" s="22">
        <v>3</v>
      </c>
      <c r="D28" s="8">
        <v>-7.4999999999999997E-2</v>
      </c>
      <c r="E28" s="61">
        <v>0</v>
      </c>
      <c r="G28" s="7" t="s">
        <v>28</v>
      </c>
      <c r="H28" s="23" t="s">
        <v>17</v>
      </c>
      <c r="I28" s="9" t="s">
        <v>25</v>
      </c>
      <c r="J28" s="10">
        <f>E15</f>
        <v>507910.15624999872</v>
      </c>
      <c r="K28" s="11" t="s">
        <v>30</v>
      </c>
      <c r="L28" s="12">
        <f>Supply!$C$4</f>
        <v>451500</v>
      </c>
    </row>
    <row r="29" spans="2:18" x14ac:dyDescent="0.3">
      <c r="B29" s="29" t="s">
        <v>9</v>
      </c>
      <c r="C29" s="22">
        <v>4</v>
      </c>
      <c r="D29" s="14">
        <v>-7.4999999999999997E-2</v>
      </c>
      <c r="E29" s="62">
        <v>0</v>
      </c>
      <c r="G29" s="7" t="s">
        <v>28</v>
      </c>
      <c r="H29" s="23" t="s">
        <v>18</v>
      </c>
      <c r="I29" s="9" t="s">
        <v>25</v>
      </c>
      <c r="J29" s="10">
        <f>E16</f>
        <v>526750</v>
      </c>
      <c r="K29" s="11" t="s">
        <v>30</v>
      </c>
      <c r="L29" s="12">
        <f>Supply!$C$4</f>
        <v>451500</v>
      </c>
    </row>
    <row r="30" spans="2:18" x14ac:dyDescent="0.3">
      <c r="B30" s="27" t="s">
        <v>10</v>
      </c>
      <c r="C30" s="22">
        <v>1</v>
      </c>
      <c r="D30" s="2">
        <f>ROUND((5.48/126),4)</f>
        <v>4.3499999999999997E-2</v>
      </c>
      <c r="E30" s="60">
        <v>395675000</v>
      </c>
      <c r="F30" t="s">
        <v>83</v>
      </c>
      <c r="G30" s="13" t="s">
        <v>28</v>
      </c>
      <c r="H30" s="23" t="s">
        <v>19</v>
      </c>
      <c r="I30" s="15" t="s">
        <v>25</v>
      </c>
      <c r="J30" s="16">
        <f>E17</f>
        <v>451500</v>
      </c>
      <c r="K30" s="17" t="s">
        <v>30</v>
      </c>
      <c r="L30" s="18">
        <f>Supply!$C$4</f>
        <v>451500</v>
      </c>
    </row>
    <row r="31" spans="2:18" x14ac:dyDescent="0.3">
      <c r="B31" s="28" t="s">
        <v>10</v>
      </c>
      <c r="C31" s="22">
        <v>2</v>
      </c>
      <c r="D31" s="8">
        <f t="shared" ref="D31:D33" si="3">ROUND((5.48/126),4)</f>
        <v>4.3499999999999997E-2</v>
      </c>
      <c r="E31" s="61">
        <v>325850000</v>
      </c>
      <c r="M31" s="19"/>
      <c r="R31" s="20"/>
    </row>
    <row r="32" spans="2:18" x14ac:dyDescent="0.3">
      <c r="B32" s="28" t="s">
        <v>10</v>
      </c>
      <c r="C32" s="22">
        <v>3</v>
      </c>
      <c r="D32" s="8">
        <f t="shared" si="3"/>
        <v>4.3499999999999997E-2</v>
      </c>
      <c r="E32" s="61">
        <v>490000000</v>
      </c>
      <c r="G32" s="1" t="s">
        <v>29</v>
      </c>
      <c r="H32" s="23" t="s">
        <v>15</v>
      </c>
      <c r="I32" s="3" t="s">
        <v>25</v>
      </c>
      <c r="J32" s="4">
        <f>E14</f>
        <v>451500</v>
      </c>
      <c r="K32" s="5" t="s">
        <v>31</v>
      </c>
      <c r="L32" s="6">
        <f>Supply!$E$4</f>
        <v>526750</v>
      </c>
    </row>
    <row r="33" spans="2:18" x14ac:dyDescent="0.3">
      <c r="B33" s="29" t="s">
        <v>10</v>
      </c>
      <c r="C33" s="22">
        <v>4</v>
      </c>
      <c r="D33" s="14">
        <f t="shared" si="3"/>
        <v>4.3499999999999997E-2</v>
      </c>
      <c r="E33" s="62">
        <v>325850000</v>
      </c>
      <c r="G33" s="7" t="s">
        <v>29</v>
      </c>
      <c r="H33" s="23" t="s">
        <v>17</v>
      </c>
      <c r="I33" s="9" t="s">
        <v>25</v>
      </c>
      <c r="J33" s="10">
        <f>E15</f>
        <v>507910.15624999872</v>
      </c>
      <c r="K33" s="11" t="s">
        <v>31</v>
      </c>
      <c r="L33" s="12">
        <f>Supply!$E$4</f>
        <v>526750</v>
      </c>
    </row>
    <row r="34" spans="2:18" x14ac:dyDescent="0.3">
      <c r="B34" s="27" t="s">
        <v>11</v>
      </c>
      <c r="C34" s="22">
        <v>1</v>
      </c>
      <c r="D34" s="2">
        <v>-7.4999999999999997E-2</v>
      </c>
      <c r="E34" s="60">
        <v>0</v>
      </c>
      <c r="F34" t="s">
        <v>83</v>
      </c>
      <c r="G34" s="7" t="s">
        <v>29</v>
      </c>
      <c r="H34" s="23" t="s">
        <v>18</v>
      </c>
      <c r="I34" s="9" t="s">
        <v>25</v>
      </c>
      <c r="J34" s="10">
        <f>E16</f>
        <v>526750</v>
      </c>
      <c r="K34" s="11" t="s">
        <v>31</v>
      </c>
      <c r="L34" s="12">
        <f>Supply!$E$4</f>
        <v>526750</v>
      </c>
    </row>
    <row r="35" spans="2:18" x14ac:dyDescent="0.3">
      <c r="B35" s="28" t="s">
        <v>11</v>
      </c>
      <c r="C35" s="22">
        <v>2</v>
      </c>
      <c r="D35" s="8">
        <v>-7.4999999999999997E-2</v>
      </c>
      <c r="E35" s="61">
        <v>68600000</v>
      </c>
      <c r="G35" s="13" t="s">
        <v>29</v>
      </c>
      <c r="H35" s="23" t="s">
        <v>19</v>
      </c>
      <c r="I35" s="15" t="s">
        <v>25</v>
      </c>
      <c r="J35" s="16">
        <f>E17</f>
        <v>451500</v>
      </c>
      <c r="K35" s="17" t="s">
        <v>31</v>
      </c>
      <c r="L35" s="18">
        <f>Supply!$E$4</f>
        <v>526750</v>
      </c>
    </row>
    <row r="36" spans="2:18" x14ac:dyDescent="0.3">
      <c r="B36" s="28" t="s">
        <v>11</v>
      </c>
      <c r="C36" s="22">
        <v>3</v>
      </c>
      <c r="D36" s="8">
        <v>-7.4999999999999997E-2</v>
      </c>
      <c r="E36" s="61">
        <v>0</v>
      </c>
      <c r="M36" s="19"/>
      <c r="R36" s="20"/>
    </row>
    <row r="37" spans="2:18" x14ac:dyDescent="0.3">
      <c r="B37" s="29" t="s">
        <v>11</v>
      </c>
      <c r="C37" s="22">
        <v>4</v>
      </c>
      <c r="D37" s="14">
        <v>-7.4999999999999997E-2</v>
      </c>
      <c r="E37" s="62">
        <v>0</v>
      </c>
      <c r="G37" s="1" t="s">
        <v>14</v>
      </c>
      <c r="H37" s="23" t="s">
        <v>15</v>
      </c>
      <c r="I37" s="3" t="s">
        <v>25</v>
      </c>
      <c r="J37" s="4">
        <f>((E14+E21-E18)-(Input!$E$6*(E22+E26)))</f>
        <v>5.8207660913467407E-11</v>
      </c>
      <c r="K37" s="5" t="s">
        <v>3</v>
      </c>
      <c r="L37" s="6">
        <v>0</v>
      </c>
    </row>
    <row r="38" spans="2:18" x14ac:dyDescent="0.3">
      <c r="B38" s="27" t="s">
        <v>12</v>
      </c>
      <c r="C38" s="22">
        <v>1</v>
      </c>
      <c r="D38" s="2">
        <f t="shared" ref="D38:D41" si="4">ROUND((5.48/126),4)</f>
        <v>4.3499999999999997E-2</v>
      </c>
      <c r="E38" s="60">
        <v>20825000</v>
      </c>
      <c r="F38" t="s">
        <v>83</v>
      </c>
      <c r="G38" s="7" t="s">
        <v>14</v>
      </c>
      <c r="H38" s="23" t="s">
        <v>17</v>
      </c>
      <c r="I38" s="9" t="s">
        <v>25</v>
      </c>
      <c r="J38" s="10">
        <f>((E15+E18-E19)-(Input!$E$6*(E23+E27)))</f>
        <v>1.1641532182693481E-10</v>
      </c>
      <c r="K38" s="11" t="s">
        <v>3</v>
      </c>
      <c r="L38" s="12">
        <v>0</v>
      </c>
    </row>
    <row r="39" spans="2:18" x14ac:dyDescent="0.3">
      <c r="B39" s="28" t="s">
        <v>12</v>
      </c>
      <c r="C39" s="22">
        <v>2</v>
      </c>
      <c r="D39" s="8">
        <f t="shared" si="4"/>
        <v>4.3499999999999997E-2</v>
      </c>
      <c r="E39" s="61">
        <v>17150000</v>
      </c>
      <c r="G39" s="7" t="s">
        <v>14</v>
      </c>
      <c r="H39" s="23" t="s">
        <v>18</v>
      </c>
      <c r="I39" s="9" t="s">
        <v>25</v>
      </c>
      <c r="J39" s="10">
        <f>((E16+E19-E20)-(Input!$E$6*(E24+E28)))</f>
        <v>0</v>
      </c>
      <c r="K39" s="11" t="s">
        <v>3</v>
      </c>
      <c r="L39" s="12">
        <v>0</v>
      </c>
    </row>
    <row r="40" spans="2:18" x14ac:dyDescent="0.3">
      <c r="B40" s="28" t="s">
        <v>12</v>
      </c>
      <c r="C40" s="22">
        <v>3</v>
      </c>
      <c r="D40" s="8">
        <f t="shared" si="4"/>
        <v>4.3499999999999997E-2</v>
      </c>
      <c r="E40" s="61">
        <v>0</v>
      </c>
      <c r="G40" s="13" t="s">
        <v>14</v>
      </c>
      <c r="H40" s="23" t="s">
        <v>19</v>
      </c>
      <c r="I40" s="15" t="s">
        <v>25</v>
      </c>
      <c r="J40" s="16">
        <f>((E17+E20-E21)-(Input!$E$6*(E25+E29)))</f>
        <v>5.8207660913467407E-11</v>
      </c>
      <c r="K40" s="17" t="s">
        <v>3</v>
      </c>
      <c r="L40" s="18">
        <v>0</v>
      </c>
    </row>
    <row r="41" spans="2:18" x14ac:dyDescent="0.3">
      <c r="B41" s="29" t="s">
        <v>12</v>
      </c>
      <c r="C41" s="22">
        <v>4</v>
      </c>
      <c r="D41" s="14">
        <f t="shared" si="4"/>
        <v>4.3499999999999997E-2</v>
      </c>
      <c r="E41" s="62">
        <v>17150000</v>
      </c>
    </row>
    <row r="42" spans="2:18" x14ac:dyDescent="0.3">
      <c r="B42" s="27" t="s">
        <v>13</v>
      </c>
      <c r="C42" s="22">
        <v>1</v>
      </c>
      <c r="D42" s="2">
        <v>-7.4999999999999997E-2</v>
      </c>
      <c r="E42" s="60">
        <v>0</v>
      </c>
      <c r="F42" t="s">
        <v>83</v>
      </c>
      <c r="G42" s="1" t="s">
        <v>80</v>
      </c>
      <c r="H42" s="23" t="s">
        <v>15</v>
      </c>
      <c r="I42" s="3" t="s">
        <v>21</v>
      </c>
      <c r="J42" s="4">
        <f>((E22+E29-E26)-(((E30+E34)/Supply!$E$20)+((E38+E42)/(2*Supply!$E$20))))</f>
        <v>-2.7939677238464355E-9</v>
      </c>
      <c r="K42" s="5" t="s">
        <v>3</v>
      </c>
      <c r="L42" s="6">
        <v>0</v>
      </c>
    </row>
    <row r="43" spans="2:18" x14ac:dyDescent="0.3">
      <c r="B43" s="28" t="s">
        <v>13</v>
      </c>
      <c r="C43" s="22">
        <v>2</v>
      </c>
      <c r="D43" s="8">
        <v>-7.4999999999999997E-2</v>
      </c>
      <c r="E43" s="61">
        <v>29400000</v>
      </c>
      <c r="G43" s="7" t="s">
        <v>80</v>
      </c>
      <c r="H43" s="23" t="s">
        <v>17</v>
      </c>
      <c r="I43" s="9" t="s">
        <v>21</v>
      </c>
      <c r="J43" s="10">
        <f>((E23+E26-E27)-(((E31+E35)/Supply!$E$20)+((E39+E43)/(2*Supply!$E$20))))</f>
        <v>-2.7939677238464355E-9</v>
      </c>
      <c r="K43" s="11" t="s">
        <v>3</v>
      </c>
      <c r="L43" s="12">
        <v>0</v>
      </c>
    </row>
    <row r="44" spans="2:18" x14ac:dyDescent="0.3">
      <c r="B44" s="28" t="s">
        <v>13</v>
      </c>
      <c r="C44" s="22">
        <v>3</v>
      </c>
      <c r="D44" s="8">
        <v>-7.4999999999999997E-2</v>
      </c>
      <c r="E44" s="61">
        <v>0</v>
      </c>
      <c r="G44" s="7" t="s">
        <v>80</v>
      </c>
      <c r="H44" s="23" t="s">
        <v>18</v>
      </c>
      <c r="I44" s="9" t="s">
        <v>21</v>
      </c>
      <c r="J44" s="10">
        <f>((E24+E27-E28)-(((E32+E36)/Supply!$E$20)+((E40+E44)/(2*Supply!$E$20))))</f>
        <v>-2.7939677238464355E-9</v>
      </c>
      <c r="K44" s="11" t="s">
        <v>3</v>
      </c>
      <c r="L44" s="12">
        <v>0</v>
      </c>
    </row>
    <row r="45" spans="2:18" x14ac:dyDescent="0.3">
      <c r="B45" s="29" t="s">
        <v>13</v>
      </c>
      <c r="C45" s="22">
        <v>4</v>
      </c>
      <c r="D45" s="14">
        <v>-7.4999999999999997E-2</v>
      </c>
      <c r="E45" s="62">
        <v>0</v>
      </c>
      <c r="G45" s="13" t="s">
        <v>80</v>
      </c>
      <c r="H45" s="23" t="s">
        <v>19</v>
      </c>
      <c r="I45" s="15" t="s">
        <v>21</v>
      </c>
      <c r="J45" s="16">
        <f>((E25+E28-E29)-(((E33+E37)/Supply!$E$20)+((E41+E45)/(2*Supply!$E$20))))</f>
        <v>-2.3283064365386963E-9</v>
      </c>
      <c r="K45" s="17" t="s">
        <v>3</v>
      </c>
      <c r="L45" s="18">
        <v>0</v>
      </c>
    </row>
    <row r="46" spans="2:18" ht="15" thickBot="1" x14ac:dyDescent="0.35">
      <c r="D46" s="33" t="s">
        <v>71</v>
      </c>
      <c r="E46" s="34">
        <f>SUMPRODUCT(D2:D45,E2:E45)</f>
        <v>28729465.129774317</v>
      </c>
    </row>
    <row r="47" spans="2:18" x14ac:dyDescent="0.3">
      <c r="D47" s="11" t="s">
        <v>84</v>
      </c>
      <c r="E47" s="73">
        <f>(SUMPRODUCT(E30:E33,D30:D33))+(SUMPRODUCT(E38:E41,D38:D41))</f>
        <v>69273750</v>
      </c>
      <c r="G47" s="1" t="s">
        <v>22</v>
      </c>
      <c r="H47" s="23" t="s">
        <v>15</v>
      </c>
      <c r="I47" s="3" t="s">
        <v>23</v>
      </c>
      <c r="J47" s="4">
        <f>(E30+E34)+(1.1*(E38+E42))</f>
        <v>418582500</v>
      </c>
      <c r="K47" s="5" t="s">
        <v>31</v>
      </c>
      <c r="L47" s="6">
        <f>Supply!$E$28</f>
        <v>490000000</v>
      </c>
    </row>
    <row r="48" spans="2:18" x14ac:dyDescent="0.3">
      <c r="D48" s="11" t="s">
        <v>85</v>
      </c>
      <c r="E48" s="73">
        <f>(SUMPRODUCT(E2:E29,D2:D29))+(SUMPRODUCT(E34:E37,D34:D37))+(SUMPRODUCT(E42:E45,D42:D45))</f>
        <v>-40544284.870225683</v>
      </c>
      <c r="G48" s="7" t="s">
        <v>22</v>
      </c>
      <c r="H48" s="23" t="s">
        <v>17</v>
      </c>
      <c r="I48" s="9" t="s">
        <v>23</v>
      </c>
      <c r="J48" s="10">
        <f t="shared" ref="J48:J50" si="5">(E31+E35)+(1.1*(E39+E43))</f>
        <v>445655000</v>
      </c>
      <c r="K48" s="11" t="s">
        <v>31</v>
      </c>
      <c r="L48" s="12">
        <f>Supply!$E$28</f>
        <v>490000000</v>
      </c>
    </row>
    <row r="49" spans="4:12" x14ac:dyDescent="0.3">
      <c r="D49" s="11"/>
      <c r="E49" s="75"/>
      <c r="G49" s="7" t="s">
        <v>22</v>
      </c>
      <c r="H49" s="23" t="s">
        <v>18</v>
      </c>
      <c r="I49" s="9" t="s">
        <v>23</v>
      </c>
      <c r="J49" s="10">
        <f t="shared" si="5"/>
        <v>490000000</v>
      </c>
      <c r="K49" s="11" t="s">
        <v>31</v>
      </c>
      <c r="L49" s="12">
        <f>Supply!$E$28</f>
        <v>490000000</v>
      </c>
    </row>
    <row r="50" spans="4:12" x14ac:dyDescent="0.3">
      <c r="E50" s="74"/>
      <c r="G50" s="13" t="s">
        <v>22</v>
      </c>
      <c r="H50" s="23" t="s">
        <v>19</v>
      </c>
      <c r="I50" s="15" t="s">
        <v>23</v>
      </c>
      <c r="J50" s="16">
        <f t="shared" si="5"/>
        <v>344715000</v>
      </c>
      <c r="K50" s="17" t="s">
        <v>31</v>
      </c>
      <c r="L50" s="18">
        <f>Supply!$E$28</f>
        <v>490000000</v>
      </c>
    </row>
    <row r="51" spans="4:12" x14ac:dyDescent="0.3">
      <c r="D51" s="36" t="s">
        <v>86</v>
      </c>
      <c r="E51" s="76">
        <v>29617559</v>
      </c>
    </row>
    <row r="52" spans="4:12" x14ac:dyDescent="0.3">
      <c r="D52" s="26"/>
      <c r="E52" s="30"/>
      <c r="G52" s="1" t="s">
        <v>14</v>
      </c>
      <c r="H52" s="23" t="s">
        <v>15</v>
      </c>
      <c r="I52" s="3" t="s">
        <v>16</v>
      </c>
      <c r="J52" s="4">
        <f>E30+E37</f>
        <v>395675000</v>
      </c>
      <c r="K52" s="5" t="s">
        <v>3</v>
      </c>
      <c r="L52" s="6">
        <f>Supply!C36</f>
        <v>395675000</v>
      </c>
    </row>
    <row r="53" spans="4:12" x14ac:dyDescent="0.3">
      <c r="D53" s="36" t="s">
        <v>90</v>
      </c>
      <c r="E53" s="76">
        <v>28729465</v>
      </c>
      <c r="G53" s="7" t="s">
        <v>14</v>
      </c>
      <c r="H53" s="23" t="s">
        <v>17</v>
      </c>
      <c r="I53" s="9" t="s">
        <v>16</v>
      </c>
      <c r="J53" s="10">
        <f>E31+E34</f>
        <v>325850000</v>
      </c>
      <c r="K53" s="11" t="s">
        <v>3</v>
      </c>
      <c r="L53" s="12">
        <f>Supply!C37</f>
        <v>325850000</v>
      </c>
    </row>
    <row r="54" spans="4:12" x14ac:dyDescent="0.3">
      <c r="G54" s="7" t="s">
        <v>14</v>
      </c>
      <c r="H54" s="23" t="s">
        <v>18</v>
      </c>
      <c r="I54" s="9" t="s">
        <v>16</v>
      </c>
      <c r="J54" s="10">
        <f>E32+E35</f>
        <v>558600000</v>
      </c>
      <c r="K54" s="11" t="s">
        <v>3</v>
      </c>
      <c r="L54" s="12">
        <f>Supply!C38</f>
        <v>558600000</v>
      </c>
    </row>
    <row r="55" spans="4:12" x14ac:dyDescent="0.3">
      <c r="D55" s="77" t="s">
        <v>91</v>
      </c>
      <c r="E55" s="78">
        <f>E53-E51</f>
        <v>-888094</v>
      </c>
      <c r="G55" s="13" t="s">
        <v>14</v>
      </c>
      <c r="H55" s="23" t="s">
        <v>19</v>
      </c>
      <c r="I55" s="15" t="s">
        <v>16</v>
      </c>
      <c r="J55" s="16">
        <f>E33+E36</f>
        <v>325850000</v>
      </c>
      <c r="K55" s="17" t="s">
        <v>3</v>
      </c>
      <c r="L55" s="18">
        <f>Supply!C39</f>
        <v>325850000</v>
      </c>
    </row>
    <row r="57" spans="4:12" x14ac:dyDescent="0.3">
      <c r="D57" s="36" t="s">
        <v>87</v>
      </c>
      <c r="E57" s="76">
        <v>27841371</v>
      </c>
      <c r="G57" s="1" t="s">
        <v>14</v>
      </c>
      <c r="H57" s="23" t="s">
        <v>15</v>
      </c>
      <c r="I57" s="3" t="s">
        <v>20</v>
      </c>
      <c r="J57" s="4">
        <f>E38+E45</f>
        <v>20825000</v>
      </c>
      <c r="K57" s="5" t="s">
        <v>3</v>
      </c>
      <c r="L57" s="6">
        <f>Supply!D36</f>
        <v>20825000</v>
      </c>
    </row>
    <row r="58" spans="4:12" x14ac:dyDescent="0.3">
      <c r="G58" s="7" t="s">
        <v>14</v>
      </c>
      <c r="H58" s="23" t="s">
        <v>17</v>
      </c>
      <c r="I58" s="9" t="s">
        <v>20</v>
      </c>
      <c r="J58" s="10">
        <f>E39+E42</f>
        <v>17150000</v>
      </c>
      <c r="K58" s="11" t="s">
        <v>3</v>
      </c>
      <c r="L58" s="12">
        <f>Supply!D37</f>
        <v>17150000</v>
      </c>
    </row>
    <row r="59" spans="4:12" x14ac:dyDescent="0.3">
      <c r="D59" s="77" t="s">
        <v>92</v>
      </c>
      <c r="E59" s="79">
        <f>E57-E53</f>
        <v>-888094</v>
      </c>
      <c r="G59" s="7" t="s">
        <v>14</v>
      </c>
      <c r="H59" s="23" t="s">
        <v>18</v>
      </c>
      <c r="I59" s="9" t="s">
        <v>20</v>
      </c>
      <c r="J59" s="10">
        <f>E40+E43</f>
        <v>29400000</v>
      </c>
      <c r="K59" s="11" t="s">
        <v>3</v>
      </c>
      <c r="L59" s="12">
        <f>Supply!D38</f>
        <v>29400000</v>
      </c>
    </row>
    <row r="60" spans="4:12" x14ac:dyDescent="0.3">
      <c r="G60" s="13" t="s">
        <v>14</v>
      </c>
      <c r="H60" s="23" t="s">
        <v>19</v>
      </c>
      <c r="I60" s="15" t="s">
        <v>20</v>
      </c>
      <c r="J60" s="16">
        <f>E41+E44</f>
        <v>17150000</v>
      </c>
      <c r="K60" s="17" t="s">
        <v>3</v>
      </c>
      <c r="L60" s="18">
        <f>Supply!D39</f>
        <v>17150000</v>
      </c>
    </row>
    <row r="61" spans="4:12" x14ac:dyDescent="0.3">
      <c r="D61" s="77" t="s">
        <v>93</v>
      </c>
      <c r="E61" s="79">
        <f>E57-E51</f>
        <v>-1776188</v>
      </c>
      <c r="F61" s="73"/>
    </row>
    <row r="62" spans="4:12" x14ac:dyDescent="0.3">
      <c r="E62" s="75"/>
    </row>
    <row r="64" spans="4:12" x14ac:dyDescent="0.3">
      <c r="D64" s="73"/>
      <c r="E64" s="73"/>
      <c r="F64" s="73"/>
      <c r="G64" s="87"/>
    </row>
    <row r="65" spans="5:5" x14ac:dyDescent="0.3">
      <c r="E65" s="75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3AE0-E277-4407-B7B7-53EB7CF7AAE7}">
  <dimension ref="A1:G116"/>
  <sheetViews>
    <sheetView showGridLines="0" workbookViewId="0"/>
  </sheetViews>
  <sheetFormatPr defaultRowHeight="14.4" x14ac:dyDescent="0.3"/>
  <cols>
    <col min="1" max="1" width="2.33203125" customWidth="1"/>
    <col min="2" max="2" width="5.6640625" bestFit="1" customWidth="1"/>
    <col min="3" max="3" width="35.6640625" bestFit="1" customWidth="1"/>
    <col min="4" max="4" width="12.6640625" bestFit="1" customWidth="1"/>
    <col min="5" max="5" width="12.5546875" bestFit="1" customWidth="1"/>
    <col min="6" max="6" width="10.44140625" bestFit="1" customWidth="1"/>
    <col min="7" max="7" width="12" bestFit="1" customWidth="1"/>
  </cols>
  <sheetData>
    <row r="1" spans="1:5" x14ac:dyDescent="0.3">
      <c r="A1" s="30" t="s">
        <v>94</v>
      </c>
    </row>
    <row r="2" spans="1:5" x14ac:dyDescent="0.3">
      <c r="A2" s="30" t="s">
        <v>95</v>
      </c>
    </row>
    <row r="3" spans="1:5" x14ac:dyDescent="0.3">
      <c r="A3" s="30"/>
    </row>
    <row r="4" spans="1:5" x14ac:dyDescent="0.3">
      <c r="A4" s="30" t="s">
        <v>96</v>
      </c>
    </row>
    <row r="5" spans="1:5" x14ac:dyDescent="0.3">
      <c r="A5" s="30" t="s">
        <v>97</v>
      </c>
    </row>
    <row r="6" spans="1:5" x14ac:dyDescent="0.3">
      <c r="A6" s="30"/>
      <c r="B6" t="s">
        <v>98</v>
      </c>
    </row>
    <row r="7" spans="1:5" x14ac:dyDescent="0.3">
      <c r="A7" s="30"/>
      <c r="B7" t="s">
        <v>271</v>
      </c>
    </row>
    <row r="8" spans="1:5" x14ac:dyDescent="0.3">
      <c r="A8" s="30"/>
      <c r="B8" t="s">
        <v>99</v>
      </c>
    </row>
    <row r="9" spans="1:5" x14ac:dyDescent="0.3">
      <c r="A9" s="30" t="s">
        <v>100</v>
      </c>
    </row>
    <row r="10" spans="1:5" x14ac:dyDescent="0.3">
      <c r="B10" t="s">
        <v>101</v>
      </c>
    </row>
    <row r="11" spans="1:5" x14ac:dyDescent="0.3">
      <c r="B11" t="s">
        <v>102</v>
      </c>
    </row>
    <row r="14" spans="1:5" ht="15" thickBot="1" x14ac:dyDescent="0.35">
      <c r="A14" t="s">
        <v>103</v>
      </c>
    </row>
    <row r="15" spans="1:5" ht="15" thickBot="1" x14ac:dyDescent="0.35">
      <c r="B15" s="88" t="s">
        <v>104</v>
      </c>
      <c r="C15" s="88" t="s">
        <v>105</v>
      </c>
      <c r="D15" s="88" t="s">
        <v>106</v>
      </c>
      <c r="E15" s="88" t="s">
        <v>107</v>
      </c>
    </row>
    <row r="16" spans="1:5" ht="15" thickBot="1" x14ac:dyDescent="0.35">
      <c r="B16" s="80" t="s">
        <v>115</v>
      </c>
      <c r="C16" s="80" t="s">
        <v>116</v>
      </c>
      <c r="D16" s="82">
        <v>28729465.129799999</v>
      </c>
      <c r="E16" s="82">
        <v>28729465.129799999</v>
      </c>
    </row>
    <row r="19" spans="1:6" ht="15" thickBot="1" x14ac:dyDescent="0.35">
      <c r="A19" t="s">
        <v>108</v>
      </c>
    </row>
    <row r="20" spans="1:6" ht="15" thickBot="1" x14ac:dyDescent="0.35">
      <c r="B20" s="88" t="s">
        <v>104</v>
      </c>
      <c r="C20" s="88" t="s">
        <v>105</v>
      </c>
      <c r="D20" s="88" t="s">
        <v>106</v>
      </c>
      <c r="E20" s="88" t="s">
        <v>107</v>
      </c>
      <c r="F20" s="88" t="s">
        <v>109</v>
      </c>
    </row>
    <row r="21" spans="1:6" x14ac:dyDescent="0.3">
      <c r="B21" s="81" t="s">
        <v>117</v>
      </c>
      <c r="C21" s="81" t="s">
        <v>118</v>
      </c>
      <c r="D21" s="83">
        <v>331100</v>
      </c>
      <c r="E21" s="83">
        <v>331100</v>
      </c>
      <c r="F21" s="81" t="s">
        <v>119</v>
      </c>
    </row>
    <row r="22" spans="1:6" x14ac:dyDescent="0.3">
      <c r="B22" s="81" t="s">
        <v>120</v>
      </c>
      <c r="C22" s="81" t="s">
        <v>118</v>
      </c>
      <c r="D22" s="83">
        <v>372467.44791666692</v>
      </c>
      <c r="E22" s="83">
        <v>372467.44791666692</v>
      </c>
      <c r="F22" s="81" t="s">
        <v>119</v>
      </c>
    </row>
    <row r="23" spans="1:6" x14ac:dyDescent="0.3">
      <c r="B23" s="81" t="s">
        <v>121</v>
      </c>
      <c r="C23" s="81" t="s">
        <v>118</v>
      </c>
      <c r="D23" s="83">
        <v>386283.33333333331</v>
      </c>
      <c r="E23" s="83">
        <v>386283.33333333331</v>
      </c>
      <c r="F23" s="81" t="s">
        <v>119</v>
      </c>
    </row>
    <row r="24" spans="1:6" x14ac:dyDescent="0.3">
      <c r="B24" s="81" t="s">
        <v>122</v>
      </c>
      <c r="C24" s="81" t="s">
        <v>118</v>
      </c>
      <c r="D24" s="83">
        <v>331100</v>
      </c>
      <c r="E24" s="83">
        <v>331100</v>
      </c>
      <c r="F24" s="81" t="s">
        <v>119</v>
      </c>
    </row>
    <row r="25" spans="1:6" x14ac:dyDescent="0.3">
      <c r="B25" s="81" t="s">
        <v>123</v>
      </c>
      <c r="C25" s="81" t="s">
        <v>124</v>
      </c>
      <c r="D25" s="83">
        <v>82774.999999999985</v>
      </c>
      <c r="E25" s="83">
        <v>82774.999999999985</v>
      </c>
      <c r="F25" s="81" t="s">
        <v>119</v>
      </c>
    </row>
    <row r="26" spans="1:6" x14ac:dyDescent="0.3">
      <c r="B26" s="81" t="s">
        <v>125</v>
      </c>
      <c r="C26" s="81" t="s">
        <v>124</v>
      </c>
      <c r="D26" s="83">
        <v>93116.861979166701</v>
      </c>
      <c r="E26" s="83">
        <v>93116.861979166701</v>
      </c>
      <c r="F26" s="81" t="s">
        <v>119</v>
      </c>
    </row>
    <row r="27" spans="1:6" x14ac:dyDescent="0.3">
      <c r="B27" s="81" t="s">
        <v>126</v>
      </c>
      <c r="C27" s="81" t="s">
        <v>124</v>
      </c>
      <c r="D27" s="83">
        <v>96570.833333333314</v>
      </c>
      <c r="E27" s="83">
        <v>96570.833333333314</v>
      </c>
      <c r="F27" s="81" t="s">
        <v>119</v>
      </c>
    </row>
    <row r="28" spans="1:6" x14ac:dyDescent="0.3">
      <c r="B28" s="81" t="s">
        <v>127</v>
      </c>
      <c r="C28" s="81" t="s">
        <v>124</v>
      </c>
      <c r="D28" s="83">
        <v>82774.999999999971</v>
      </c>
      <c r="E28" s="83">
        <v>82774.999999999971</v>
      </c>
      <c r="F28" s="81" t="s">
        <v>119</v>
      </c>
    </row>
    <row r="29" spans="1:6" x14ac:dyDescent="0.3">
      <c r="B29" s="81" t="s">
        <v>128</v>
      </c>
      <c r="C29" s="81" t="s">
        <v>129</v>
      </c>
      <c r="D29" s="83">
        <v>29752.278645833125</v>
      </c>
      <c r="E29" s="83">
        <v>29752.278645833125</v>
      </c>
      <c r="F29" s="81" t="s">
        <v>119</v>
      </c>
    </row>
    <row r="30" spans="1:6" x14ac:dyDescent="0.3">
      <c r="B30" s="81" t="s">
        <v>130</v>
      </c>
      <c r="C30" s="81" t="s">
        <v>129</v>
      </c>
      <c r="D30" s="83">
        <v>45184.027777777817</v>
      </c>
      <c r="E30" s="83">
        <v>45184.027777777817</v>
      </c>
      <c r="F30" s="81" t="s">
        <v>119</v>
      </c>
    </row>
    <row r="31" spans="1:6" x14ac:dyDescent="0.3">
      <c r="B31" s="81" t="s">
        <v>131</v>
      </c>
      <c r="C31" s="81" t="s">
        <v>129</v>
      </c>
      <c r="D31" s="83">
        <v>0</v>
      </c>
      <c r="E31" s="83">
        <v>0</v>
      </c>
      <c r="F31" s="81" t="s">
        <v>119</v>
      </c>
    </row>
    <row r="32" spans="1:6" x14ac:dyDescent="0.3">
      <c r="B32" s="81" t="s">
        <v>132</v>
      </c>
      <c r="C32" s="81" t="s">
        <v>129</v>
      </c>
      <c r="D32" s="83">
        <v>53488.932291666533</v>
      </c>
      <c r="E32" s="83">
        <v>53488.932291666533</v>
      </c>
      <c r="F32" s="81" t="s">
        <v>119</v>
      </c>
    </row>
    <row r="33" spans="2:6" x14ac:dyDescent="0.3">
      <c r="B33" s="81" t="s">
        <v>133</v>
      </c>
      <c r="C33" s="81" t="s">
        <v>134</v>
      </c>
      <c r="D33" s="83">
        <v>451500</v>
      </c>
      <c r="E33" s="83">
        <v>451500</v>
      </c>
      <c r="F33" s="81" t="s">
        <v>119</v>
      </c>
    </row>
    <row r="34" spans="2:6" x14ac:dyDescent="0.3">
      <c r="B34" s="81" t="s">
        <v>135</v>
      </c>
      <c r="C34" s="81" t="s">
        <v>134</v>
      </c>
      <c r="D34" s="83">
        <v>507910.15624999872</v>
      </c>
      <c r="E34" s="83">
        <v>507910.15624999872</v>
      </c>
      <c r="F34" s="81" t="s">
        <v>119</v>
      </c>
    </row>
    <row r="35" spans="2:6" x14ac:dyDescent="0.3">
      <c r="B35" s="81" t="s">
        <v>136</v>
      </c>
      <c r="C35" s="81" t="s">
        <v>134</v>
      </c>
      <c r="D35" s="83">
        <v>526750</v>
      </c>
      <c r="E35" s="83">
        <v>526750</v>
      </c>
      <c r="F35" s="81" t="s">
        <v>119</v>
      </c>
    </row>
    <row r="36" spans="2:6" x14ac:dyDescent="0.3">
      <c r="B36" s="81" t="s">
        <v>137</v>
      </c>
      <c r="C36" s="81" t="s">
        <v>134</v>
      </c>
      <c r="D36" s="83">
        <v>451500</v>
      </c>
      <c r="E36" s="83">
        <v>451500</v>
      </c>
      <c r="F36" s="81" t="s">
        <v>119</v>
      </c>
    </row>
    <row r="37" spans="2:6" x14ac:dyDescent="0.3">
      <c r="B37" s="81" t="s">
        <v>138</v>
      </c>
      <c r="C37" s="81" t="s">
        <v>139</v>
      </c>
      <c r="D37" s="83">
        <v>32457.031250000538</v>
      </c>
      <c r="E37" s="83">
        <v>32457.031250000538</v>
      </c>
      <c r="F37" s="81" t="s">
        <v>119</v>
      </c>
    </row>
    <row r="38" spans="2:6" x14ac:dyDescent="0.3">
      <c r="B38" s="81" t="s">
        <v>140</v>
      </c>
      <c r="C38" s="81" t="s">
        <v>139</v>
      </c>
      <c r="D38" s="83">
        <v>49291.666666666271</v>
      </c>
      <c r="E38" s="83">
        <v>49291.666666666271</v>
      </c>
      <c r="F38" s="81" t="s">
        <v>119</v>
      </c>
    </row>
    <row r="39" spans="2:6" x14ac:dyDescent="0.3">
      <c r="B39" s="81" t="s">
        <v>141</v>
      </c>
      <c r="C39" s="81" t="s">
        <v>139</v>
      </c>
      <c r="D39" s="83">
        <v>0</v>
      </c>
      <c r="E39" s="83">
        <v>0</v>
      </c>
      <c r="F39" s="81" t="s">
        <v>119</v>
      </c>
    </row>
    <row r="40" spans="2:6" x14ac:dyDescent="0.3">
      <c r="B40" s="81" t="s">
        <v>142</v>
      </c>
      <c r="C40" s="81" t="s">
        <v>139</v>
      </c>
      <c r="D40" s="83">
        <v>58351.562500000247</v>
      </c>
      <c r="E40" s="83">
        <v>58351.562500000247</v>
      </c>
      <c r="F40" s="81" t="s">
        <v>119</v>
      </c>
    </row>
    <row r="41" spans="2:6" x14ac:dyDescent="0.3">
      <c r="B41" s="81" t="s">
        <v>143</v>
      </c>
      <c r="C41" s="81" t="s">
        <v>144</v>
      </c>
      <c r="D41" s="83">
        <v>3978287.7604166637</v>
      </c>
      <c r="E41" s="83">
        <v>3978287.7604166637</v>
      </c>
      <c r="F41" s="81" t="s">
        <v>119</v>
      </c>
    </row>
    <row r="42" spans="2:6" x14ac:dyDescent="0.3">
      <c r="B42" s="81" t="s">
        <v>145</v>
      </c>
      <c r="C42" s="81" t="s">
        <v>144</v>
      </c>
      <c r="D42" s="83">
        <v>4092296.0069444412</v>
      </c>
      <c r="E42" s="83">
        <v>4092296.0069444412</v>
      </c>
      <c r="F42" s="81" t="s">
        <v>119</v>
      </c>
    </row>
    <row r="43" spans="2:6" x14ac:dyDescent="0.3">
      <c r="B43" s="81" t="s">
        <v>146</v>
      </c>
      <c r="C43" s="81" t="s">
        <v>144</v>
      </c>
      <c r="D43" s="83">
        <v>4800347.2222222192</v>
      </c>
      <c r="E43" s="83">
        <v>4800347.2222222192</v>
      </c>
      <c r="F43" s="81" t="s">
        <v>119</v>
      </c>
    </row>
    <row r="44" spans="2:6" x14ac:dyDescent="0.3">
      <c r="B44" s="81" t="s">
        <v>147</v>
      </c>
      <c r="C44" s="81" t="s">
        <v>144</v>
      </c>
      <c r="D44" s="83">
        <v>3276236.9791666642</v>
      </c>
      <c r="E44" s="83">
        <v>3276236.9791666642</v>
      </c>
      <c r="F44" s="81" t="s">
        <v>119</v>
      </c>
    </row>
    <row r="45" spans="2:6" x14ac:dyDescent="0.3">
      <c r="B45" s="81" t="s">
        <v>148</v>
      </c>
      <c r="C45" s="81" t="s">
        <v>149</v>
      </c>
      <c r="D45" s="83">
        <v>0</v>
      </c>
      <c r="E45" s="83">
        <v>0</v>
      </c>
      <c r="F45" s="81" t="s">
        <v>119</v>
      </c>
    </row>
    <row r="46" spans="2:6" x14ac:dyDescent="0.3">
      <c r="B46" s="81" t="s">
        <v>150</v>
      </c>
      <c r="C46" s="81" t="s">
        <v>149</v>
      </c>
      <c r="D46" s="83">
        <v>0</v>
      </c>
      <c r="E46" s="83">
        <v>0</v>
      </c>
      <c r="F46" s="81" t="s">
        <v>119</v>
      </c>
    </row>
    <row r="47" spans="2:6" x14ac:dyDescent="0.3">
      <c r="B47" s="81" t="s">
        <v>151</v>
      </c>
      <c r="C47" s="81" t="s">
        <v>149</v>
      </c>
      <c r="D47" s="83">
        <v>0</v>
      </c>
      <c r="E47" s="83">
        <v>0</v>
      </c>
      <c r="F47" s="81" t="s">
        <v>119</v>
      </c>
    </row>
    <row r="48" spans="2:6" x14ac:dyDescent="0.3">
      <c r="B48" s="81" t="s">
        <v>152</v>
      </c>
      <c r="C48" s="81" t="s">
        <v>149</v>
      </c>
      <c r="D48" s="83">
        <v>0</v>
      </c>
      <c r="E48" s="83">
        <v>0</v>
      </c>
      <c r="F48" s="81" t="s">
        <v>119</v>
      </c>
    </row>
    <row r="49" spans="2:6" x14ac:dyDescent="0.3">
      <c r="B49" s="81" t="s">
        <v>153</v>
      </c>
      <c r="C49" s="81" t="s">
        <v>154</v>
      </c>
      <c r="D49" s="83">
        <v>395675000</v>
      </c>
      <c r="E49" s="83">
        <v>395675000</v>
      </c>
      <c r="F49" s="81" t="s">
        <v>119</v>
      </c>
    </row>
    <row r="50" spans="2:6" x14ac:dyDescent="0.3">
      <c r="B50" s="81" t="s">
        <v>155</v>
      </c>
      <c r="C50" s="81" t="s">
        <v>154</v>
      </c>
      <c r="D50" s="83">
        <v>325850000</v>
      </c>
      <c r="E50" s="83">
        <v>325850000</v>
      </c>
      <c r="F50" s="81" t="s">
        <v>119</v>
      </c>
    </row>
    <row r="51" spans="2:6" x14ac:dyDescent="0.3">
      <c r="B51" s="81" t="s">
        <v>156</v>
      </c>
      <c r="C51" s="81" t="s">
        <v>154</v>
      </c>
      <c r="D51" s="83">
        <v>490000000</v>
      </c>
      <c r="E51" s="83">
        <v>490000000</v>
      </c>
      <c r="F51" s="81" t="s">
        <v>119</v>
      </c>
    </row>
    <row r="52" spans="2:6" x14ac:dyDescent="0.3">
      <c r="B52" s="81" t="s">
        <v>157</v>
      </c>
      <c r="C52" s="81" t="s">
        <v>154</v>
      </c>
      <c r="D52" s="83">
        <v>325850000</v>
      </c>
      <c r="E52" s="83">
        <v>325850000</v>
      </c>
      <c r="F52" s="81" t="s">
        <v>119</v>
      </c>
    </row>
    <row r="53" spans="2:6" x14ac:dyDescent="0.3">
      <c r="B53" s="81" t="s">
        <v>158</v>
      </c>
      <c r="C53" s="81" t="s">
        <v>159</v>
      </c>
      <c r="D53" s="83">
        <v>0</v>
      </c>
      <c r="E53" s="83">
        <v>0</v>
      </c>
      <c r="F53" s="81" t="s">
        <v>119</v>
      </c>
    </row>
    <row r="54" spans="2:6" x14ac:dyDescent="0.3">
      <c r="B54" s="81" t="s">
        <v>160</v>
      </c>
      <c r="C54" s="81" t="s">
        <v>159</v>
      </c>
      <c r="D54" s="83">
        <v>68600000</v>
      </c>
      <c r="E54" s="83">
        <v>68600000</v>
      </c>
      <c r="F54" s="81" t="s">
        <v>119</v>
      </c>
    </row>
    <row r="55" spans="2:6" x14ac:dyDescent="0.3">
      <c r="B55" s="81" t="s">
        <v>161</v>
      </c>
      <c r="C55" s="81" t="s">
        <v>159</v>
      </c>
      <c r="D55" s="83">
        <v>0</v>
      </c>
      <c r="E55" s="83">
        <v>0</v>
      </c>
      <c r="F55" s="81" t="s">
        <v>119</v>
      </c>
    </row>
    <row r="56" spans="2:6" x14ac:dyDescent="0.3">
      <c r="B56" s="81" t="s">
        <v>162</v>
      </c>
      <c r="C56" s="81" t="s">
        <v>159</v>
      </c>
      <c r="D56" s="83">
        <v>0</v>
      </c>
      <c r="E56" s="83">
        <v>0</v>
      </c>
      <c r="F56" s="81" t="s">
        <v>119</v>
      </c>
    </row>
    <row r="57" spans="2:6" x14ac:dyDescent="0.3">
      <c r="B57" s="81" t="s">
        <v>163</v>
      </c>
      <c r="C57" s="81" t="s">
        <v>164</v>
      </c>
      <c r="D57" s="83">
        <v>20825000</v>
      </c>
      <c r="E57" s="83">
        <v>20825000</v>
      </c>
      <c r="F57" s="81" t="s">
        <v>119</v>
      </c>
    </row>
    <row r="58" spans="2:6" x14ac:dyDescent="0.3">
      <c r="B58" s="81" t="s">
        <v>165</v>
      </c>
      <c r="C58" s="81" t="s">
        <v>164</v>
      </c>
      <c r="D58" s="83">
        <v>17150000</v>
      </c>
      <c r="E58" s="83">
        <v>17150000</v>
      </c>
      <c r="F58" s="81" t="s">
        <v>119</v>
      </c>
    </row>
    <row r="59" spans="2:6" x14ac:dyDescent="0.3">
      <c r="B59" s="81" t="s">
        <v>166</v>
      </c>
      <c r="C59" s="81" t="s">
        <v>164</v>
      </c>
      <c r="D59" s="83">
        <v>0</v>
      </c>
      <c r="E59" s="83">
        <v>0</v>
      </c>
      <c r="F59" s="81" t="s">
        <v>119</v>
      </c>
    </row>
    <row r="60" spans="2:6" x14ac:dyDescent="0.3">
      <c r="B60" s="81" t="s">
        <v>167</v>
      </c>
      <c r="C60" s="81" t="s">
        <v>164</v>
      </c>
      <c r="D60" s="83">
        <v>17150000</v>
      </c>
      <c r="E60" s="83">
        <v>17150000</v>
      </c>
      <c r="F60" s="81" t="s">
        <v>119</v>
      </c>
    </row>
    <row r="61" spans="2:6" x14ac:dyDescent="0.3">
      <c r="B61" s="81" t="s">
        <v>168</v>
      </c>
      <c r="C61" s="81" t="s">
        <v>169</v>
      </c>
      <c r="D61" s="83">
        <v>0</v>
      </c>
      <c r="E61" s="83">
        <v>0</v>
      </c>
      <c r="F61" s="81" t="s">
        <v>119</v>
      </c>
    </row>
    <row r="62" spans="2:6" x14ac:dyDescent="0.3">
      <c r="B62" s="81" t="s">
        <v>170</v>
      </c>
      <c r="C62" s="81" t="s">
        <v>169</v>
      </c>
      <c r="D62" s="83">
        <v>29400000</v>
      </c>
      <c r="E62" s="83">
        <v>29400000</v>
      </c>
      <c r="F62" s="81" t="s">
        <v>119</v>
      </c>
    </row>
    <row r="63" spans="2:6" x14ac:dyDescent="0.3">
      <c r="B63" s="81" t="s">
        <v>171</v>
      </c>
      <c r="C63" s="81" t="s">
        <v>169</v>
      </c>
      <c r="D63" s="83">
        <v>0</v>
      </c>
      <c r="E63" s="83">
        <v>0</v>
      </c>
      <c r="F63" s="81" t="s">
        <v>119</v>
      </c>
    </row>
    <row r="64" spans="2:6" ht="15" thickBot="1" x14ac:dyDescent="0.35">
      <c r="B64" s="80" t="s">
        <v>172</v>
      </c>
      <c r="C64" s="80" t="s">
        <v>169</v>
      </c>
      <c r="D64" s="84">
        <v>0</v>
      </c>
      <c r="E64" s="84">
        <v>0</v>
      </c>
      <c r="F64" s="80" t="s">
        <v>119</v>
      </c>
    </row>
    <row r="67" spans="1:7" ht="15" thickBot="1" x14ac:dyDescent="0.35">
      <c r="A67" t="s">
        <v>110</v>
      </c>
    </row>
    <row r="68" spans="1:7" ht="15" thickBot="1" x14ac:dyDescent="0.35">
      <c r="B68" s="88" t="s">
        <v>104</v>
      </c>
      <c r="C68" s="88" t="s">
        <v>105</v>
      </c>
      <c r="D68" s="88" t="s">
        <v>111</v>
      </c>
      <c r="E68" s="88" t="s">
        <v>112</v>
      </c>
      <c r="F68" s="88" t="s">
        <v>113</v>
      </c>
      <c r="G68" s="88" t="s">
        <v>114</v>
      </c>
    </row>
    <row r="69" spans="1:7" x14ac:dyDescent="0.3">
      <c r="B69" s="81" t="s">
        <v>173</v>
      </c>
      <c r="C69" s="81" t="s">
        <v>24</v>
      </c>
      <c r="D69" s="85">
        <v>413875</v>
      </c>
      <c r="E69" s="81" t="s">
        <v>174</v>
      </c>
      <c r="F69" s="81" t="s">
        <v>175</v>
      </c>
      <c r="G69" s="81">
        <v>68979.166666666686</v>
      </c>
    </row>
    <row r="70" spans="1:7" x14ac:dyDescent="0.3">
      <c r="B70" s="81" t="s">
        <v>176</v>
      </c>
      <c r="C70" s="81" t="s">
        <v>24</v>
      </c>
      <c r="D70" s="85">
        <v>465584.3098958336</v>
      </c>
      <c r="E70" s="81" t="s">
        <v>177</v>
      </c>
      <c r="F70" s="81" t="s">
        <v>175</v>
      </c>
      <c r="G70" s="81">
        <v>17269.856770833081</v>
      </c>
    </row>
    <row r="71" spans="1:7" x14ac:dyDescent="0.3">
      <c r="B71" s="81" t="s">
        <v>178</v>
      </c>
      <c r="C71" s="81" t="s">
        <v>24</v>
      </c>
      <c r="D71" s="85">
        <v>482854.16666666663</v>
      </c>
      <c r="E71" s="81" t="s">
        <v>179</v>
      </c>
      <c r="F71" s="81" t="s">
        <v>180</v>
      </c>
      <c r="G71" s="81">
        <v>0</v>
      </c>
    </row>
    <row r="72" spans="1:7" x14ac:dyDescent="0.3">
      <c r="B72" s="81" t="s">
        <v>181</v>
      </c>
      <c r="C72" s="81" t="s">
        <v>24</v>
      </c>
      <c r="D72" s="85">
        <v>413875</v>
      </c>
      <c r="E72" s="81" t="s">
        <v>182</v>
      </c>
      <c r="F72" s="81" t="s">
        <v>175</v>
      </c>
      <c r="G72" s="81">
        <v>68979.166666666686</v>
      </c>
    </row>
    <row r="73" spans="1:7" x14ac:dyDescent="0.3">
      <c r="B73" s="81" t="s">
        <v>183</v>
      </c>
      <c r="C73" s="81" t="s">
        <v>24</v>
      </c>
      <c r="D73" s="85">
        <v>3.4924596548080444E-10</v>
      </c>
      <c r="E73" s="81" t="s">
        <v>184</v>
      </c>
      <c r="F73" s="81" t="s">
        <v>180</v>
      </c>
      <c r="G73" s="81">
        <v>0</v>
      </c>
    </row>
    <row r="74" spans="1:7" x14ac:dyDescent="0.3">
      <c r="B74" s="81" t="s">
        <v>185</v>
      </c>
      <c r="C74" s="81" t="s">
        <v>24</v>
      </c>
      <c r="D74" s="85">
        <v>4.0745362639427185E-10</v>
      </c>
      <c r="E74" s="81" t="s">
        <v>186</v>
      </c>
      <c r="F74" s="81" t="s">
        <v>180</v>
      </c>
      <c r="G74" s="81">
        <v>0</v>
      </c>
    </row>
    <row r="75" spans="1:7" x14ac:dyDescent="0.3">
      <c r="B75" s="81" t="s">
        <v>187</v>
      </c>
      <c r="C75" s="81" t="s">
        <v>24</v>
      </c>
      <c r="D75" s="85">
        <v>3.4924596548080444E-10</v>
      </c>
      <c r="E75" s="81" t="s">
        <v>188</v>
      </c>
      <c r="F75" s="81" t="s">
        <v>180</v>
      </c>
      <c r="G75" s="81">
        <v>0</v>
      </c>
    </row>
    <row r="76" spans="1:7" x14ac:dyDescent="0.3">
      <c r="B76" s="81" t="s">
        <v>189</v>
      </c>
      <c r="C76" s="81" t="s">
        <v>24</v>
      </c>
      <c r="D76" s="85">
        <v>4.0745362639427185E-10</v>
      </c>
      <c r="E76" s="81" t="s">
        <v>190</v>
      </c>
      <c r="F76" s="81" t="s">
        <v>180</v>
      </c>
      <c r="G76" s="81">
        <v>0</v>
      </c>
    </row>
    <row r="77" spans="1:7" x14ac:dyDescent="0.3">
      <c r="B77" s="81" t="s">
        <v>191</v>
      </c>
      <c r="C77" s="81" t="s">
        <v>81</v>
      </c>
      <c r="D77" s="85">
        <v>90953.181423611095</v>
      </c>
      <c r="E77" s="81" t="s">
        <v>192</v>
      </c>
      <c r="F77" s="81" t="s">
        <v>175</v>
      </c>
      <c r="G77" s="81">
        <v>19926.818576388905</v>
      </c>
    </row>
    <row r="78" spans="1:7" x14ac:dyDescent="0.3">
      <c r="B78" s="81" t="s">
        <v>193</v>
      </c>
      <c r="C78" s="81" t="s">
        <v>81</v>
      </c>
      <c r="D78" s="85">
        <v>96312.981770833343</v>
      </c>
      <c r="E78" s="81" t="s">
        <v>194</v>
      </c>
      <c r="F78" s="81" t="s">
        <v>175</v>
      </c>
      <c r="G78" s="81">
        <v>14567.018229166657</v>
      </c>
    </row>
    <row r="79" spans="1:7" x14ac:dyDescent="0.3">
      <c r="B79" s="81" t="s">
        <v>195</v>
      </c>
      <c r="C79" s="81" t="s">
        <v>81</v>
      </c>
      <c r="D79" s="85">
        <v>106567.70833333333</v>
      </c>
      <c r="E79" s="81" t="s">
        <v>196</v>
      </c>
      <c r="F79" s="81" t="s">
        <v>175</v>
      </c>
      <c r="G79" s="81">
        <v>4312.2916666666715</v>
      </c>
    </row>
    <row r="80" spans="1:7" x14ac:dyDescent="0.3">
      <c r="B80" s="81" t="s">
        <v>197</v>
      </c>
      <c r="C80" s="81" t="s">
        <v>81</v>
      </c>
      <c r="D80" s="85">
        <v>75482.361111111109</v>
      </c>
      <c r="E80" s="81" t="s">
        <v>198</v>
      </c>
      <c r="F80" s="81" t="s">
        <v>175</v>
      </c>
      <c r="G80" s="81">
        <v>35397.638888888891</v>
      </c>
    </row>
    <row r="81" spans="2:7" x14ac:dyDescent="0.3">
      <c r="B81" s="81" t="s">
        <v>199</v>
      </c>
      <c r="C81" s="81" t="s">
        <v>25</v>
      </c>
      <c r="D81" s="85">
        <v>451500</v>
      </c>
      <c r="E81" s="81" t="s">
        <v>200</v>
      </c>
      <c r="F81" s="81" t="s">
        <v>180</v>
      </c>
      <c r="G81" s="85">
        <v>0</v>
      </c>
    </row>
    <row r="82" spans="2:7" x14ac:dyDescent="0.3">
      <c r="B82" s="81" t="s">
        <v>201</v>
      </c>
      <c r="C82" s="81" t="s">
        <v>25</v>
      </c>
      <c r="D82" s="85">
        <v>507910.15624999872</v>
      </c>
      <c r="E82" s="81" t="s">
        <v>202</v>
      </c>
      <c r="F82" s="81" t="s">
        <v>175</v>
      </c>
      <c r="G82" s="85">
        <v>56410.156249998719</v>
      </c>
    </row>
    <row r="83" spans="2:7" x14ac:dyDescent="0.3">
      <c r="B83" s="81" t="s">
        <v>203</v>
      </c>
      <c r="C83" s="81" t="s">
        <v>25</v>
      </c>
      <c r="D83" s="85">
        <v>526750</v>
      </c>
      <c r="E83" s="81" t="s">
        <v>204</v>
      </c>
      <c r="F83" s="81" t="s">
        <v>175</v>
      </c>
      <c r="G83" s="85">
        <v>75250</v>
      </c>
    </row>
    <row r="84" spans="2:7" x14ac:dyDescent="0.3">
      <c r="B84" s="81" t="s">
        <v>205</v>
      </c>
      <c r="C84" s="81" t="s">
        <v>25</v>
      </c>
      <c r="D84" s="85">
        <v>451500</v>
      </c>
      <c r="E84" s="81" t="s">
        <v>206</v>
      </c>
      <c r="F84" s="81" t="s">
        <v>180</v>
      </c>
      <c r="G84" s="85">
        <v>0</v>
      </c>
    </row>
    <row r="85" spans="2:7" x14ac:dyDescent="0.3">
      <c r="B85" s="81" t="s">
        <v>207</v>
      </c>
      <c r="C85" s="81" t="s">
        <v>26</v>
      </c>
      <c r="D85" s="85">
        <v>331100</v>
      </c>
      <c r="E85" s="81" t="s">
        <v>208</v>
      </c>
      <c r="F85" s="81" t="s">
        <v>180</v>
      </c>
      <c r="G85" s="85">
        <v>0</v>
      </c>
    </row>
    <row r="86" spans="2:7" x14ac:dyDescent="0.3">
      <c r="B86" s="81" t="s">
        <v>209</v>
      </c>
      <c r="C86" s="81" t="s">
        <v>26</v>
      </c>
      <c r="D86" s="85">
        <v>372467.44791666692</v>
      </c>
      <c r="E86" s="81" t="s">
        <v>210</v>
      </c>
      <c r="F86" s="81" t="s">
        <v>180</v>
      </c>
      <c r="G86" s="85">
        <v>0</v>
      </c>
    </row>
    <row r="87" spans="2:7" x14ac:dyDescent="0.3">
      <c r="B87" s="81" t="s">
        <v>211</v>
      </c>
      <c r="C87" s="81" t="s">
        <v>26</v>
      </c>
      <c r="D87" s="85">
        <v>386283.33333333331</v>
      </c>
      <c r="E87" s="81" t="s">
        <v>212</v>
      </c>
      <c r="F87" s="81" t="s">
        <v>180</v>
      </c>
      <c r="G87" s="85">
        <v>0</v>
      </c>
    </row>
    <row r="88" spans="2:7" x14ac:dyDescent="0.3">
      <c r="B88" s="81" t="s">
        <v>213</v>
      </c>
      <c r="C88" s="81" t="s">
        <v>26</v>
      </c>
      <c r="D88" s="85">
        <v>331100</v>
      </c>
      <c r="E88" s="81" t="s">
        <v>214</v>
      </c>
      <c r="F88" s="81" t="s">
        <v>180</v>
      </c>
      <c r="G88" s="85">
        <v>0</v>
      </c>
    </row>
    <row r="89" spans="2:7" x14ac:dyDescent="0.3">
      <c r="B89" s="81" t="s">
        <v>215</v>
      </c>
      <c r="C89" s="81" t="s">
        <v>25</v>
      </c>
      <c r="D89" s="85">
        <v>451500</v>
      </c>
      <c r="E89" s="81" t="s">
        <v>216</v>
      </c>
      <c r="F89" s="81" t="s">
        <v>175</v>
      </c>
      <c r="G89" s="81">
        <v>75250</v>
      </c>
    </row>
    <row r="90" spans="2:7" x14ac:dyDescent="0.3">
      <c r="B90" s="81" t="s">
        <v>217</v>
      </c>
      <c r="C90" s="81" t="s">
        <v>25</v>
      </c>
      <c r="D90" s="85">
        <v>507910.15624999872</v>
      </c>
      <c r="E90" s="81" t="s">
        <v>218</v>
      </c>
      <c r="F90" s="81" t="s">
        <v>175</v>
      </c>
      <c r="G90" s="81">
        <v>18839.843750001281</v>
      </c>
    </row>
    <row r="91" spans="2:7" x14ac:dyDescent="0.3">
      <c r="B91" s="81" t="s">
        <v>219</v>
      </c>
      <c r="C91" s="81" t="s">
        <v>25</v>
      </c>
      <c r="D91" s="85">
        <v>526750</v>
      </c>
      <c r="E91" s="81" t="s">
        <v>220</v>
      </c>
      <c r="F91" s="81" t="s">
        <v>180</v>
      </c>
      <c r="G91" s="81">
        <v>0</v>
      </c>
    </row>
    <row r="92" spans="2:7" x14ac:dyDescent="0.3">
      <c r="B92" s="81" t="s">
        <v>221</v>
      </c>
      <c r="C92" s="81" t="s">
        <v>25</v>
      </c>
      <c r="D92" s="85">
        <v>451500</v>
      </c>
      <c r="E92" s="81" t="s">
        <v>222</v>
      </c>
      <c r="F92" s="81" t="s">
        <v>175</v>
      </c>
      <c r="G92" s="81">
        <v>75250</v>
      </c>
    </row>
    <row r="93" spans="2:7" x14ac:dyDescent="0.3">
      <c r="B93" s="81" t="s">
        <v>223</v>
      </c>
      <c r="C93" s="81" t="s">
        <v>25</v>
      </c>
      <c r="D93" s="85">
        <v>5.8207660913467407E-11</v>
      </c>
      <c r="E93" s="81" t="s">
        <v>224</v>
      </c>
      <c r="F93" s="81" t="s">
        <v>180</v>
      </c>
      <c r="G93" s="81">
        <v>0</v>
      </c>
    </row>
    <row r="94" spans="2:7" x14ac:dyDescent="0.3">
      <c r="B94" s="81" t="s">
        <v>225</v>
      </c>
      <c r="C94" s="81" t="s">
        <v>25</v>
      </c>
      <c r="D94" s="85">
        <v>1.1641532182693481E-10</v>
      </c>
      <c r="E94" s="81" t="s">
        <v>226</v>
      </c>
      <c r="F94" s="81" t="s">
        <v>180</v>
      </c>
      <c r="G94" s="81">
        <v>0</v>
      </c>
    </row>
    <row r="95" spans="2:7" x14ac:dyDescent="0.3">
      <c r="B95" s="81" t="s">
        <v>227</v>
      </c>
      <c r="C95" s="81" t="s">
        <v>25</v>
      </c>
      <c r="D95" s="85">
        <v>0</v>
      </c>
      <c r="E95" s="81" t="s">
        <v>228</v>
      </c>
      <c r="F95" s="81" t="s">
        <v>180</v>
      </c>
      <c r="G95" s="81">
        <v>0</v>
      </c>
    </row>
    <row r="96" spans="2:7" x14ac:dyDescent="0.3">
      <c r="B96" s="81" t="s">
        <v>229</v>
      </c>
      <c r="C96" s="81" t="s">
        <v>25</v>
      </c>
      <c r="D96" s="85">
        <v>5.8207660913467407E-11</v>
      </c>
      <c r="E96" s="81" t="s">
        <v>230</v>
      </c>
      <c r="F96" s="81" t="s">
        <v>180</v>
      </c>
      <c r="G96" s="81">
        <v>0</v>
      </c>
    </row>
    <row r="97" spans="2:7" x14ac:dyDescent="0.3">
      <c r="B97" s="81" t="s">
        <v>231</v>
      </c>
      <c r="C97" s="81" t="s">
        <v>21</v>
      </c>
      <c r="D97" s="85">
        <v>-2.7939677238464355E-9</v>
      </c>
      <c r="E97" s="81" t="s">
        <v>232</v>
      </c>
      <c r="F97" s="81" t="s">
        <v>180</v>
      </c>
      <c r="G97" s="81">
        <v>0</v>
      </c>
    </row>
    <row r="98" spans="2:7" x14ac:dyDescent="0.3">
      <c r="B98" s="81" t="s">
        <v>233</v>
      </c>
      <c r="C98" s="81" t="s">
        <v>21</v>
      </c>
      <c r="D98" s="85">
        <v>-2.7939677238464355E-9</v>
      </c>
      <c r="E98" s="81" t="s">
        <v>234</v>
      </c>
      <c r="F98" s="81" t="s">
        <v>180</v>
      </c>
      <c r="G98" s="81">
        <v>0</v>
      </c>
    </row>
    <row r="99" spans="2:7" x14ac:dyDescent="0.3">
      <c r="B99" s="81" t="s">
        <v>235</v>
      </c>
      <c r="C99" s="81" t="s">
        <v>21</v>
      </c>
      <c r="D99" s="85">
        <v>-2.7939677238464355E-9</v>
      </c>
      <c r="E99" s="81" t="s">
        <v>236</v>
      </c>
      <c r="F99" s="81" t="s">
        <v>180</v>
      </c>
      <c r="G99" s="81">
        <v>0</v>
      </c>
    </row>
    <row r="100" spans="2:7" x14ac:dyDescent="0.3">
      <c r="B100" s="81" t="s">
        <v>237</v>
      </c>
      <c r="C100" s="81" t="s">
        <v>21</v>
      </c>
      <c r="D100" s="85">
        <v>-2.3283064365386963E-9</v>
      </c>
      <c r="E100" s="81" t="s">
        <v>238</v>
      </c>
      <c r="F100" s="81" t="s">
        <v>180</v>
      </c>
      <c r="G100" s="81">
        <v>0</v>
      </c>
    </row>
    <row r="101" spans="2:7" x14ac:dyDescent="0.3">
      <c r="B101" s="81" t="s">
        <v>239</v>
      </c>
      <c r="C101" s="81" t="s">
        <v>23</v>
      </c>
      <c r="D101" s="85">
        <v>418582500</v>
      </c>
      <c r="E101" s="81" t="s">
        <v>240</v>
      </c>
      <c r="F101" s="81" t="s">
        <v>175</v>
      </c>
      <c r="G101" s="81">
        <v>71417500</v>
      </c>
    </row>
    <row r="102" spans="2:7" x14ac:dyDescent="0.3">
      <c r="B102" s="81" t="s">
        <v>241</v>
      </c>
      <c r="C102" s="81" t="s">
        <v>23</v>
      </c>
      <c r="D102" s="85">
        <v>445655000</v>
      </c>
      <c r="E102" s="81" t="s">
        <v>242</v>
      </c>
      <c r="F102" s="81" t="s">
        <v>175</v>
      </c>
      <c r="G102" s="81">
        <v>44345000</v>
      </c>
    </row>
    <row r="103" spans="2:7" x14ac:dyDescent="0.3">
      <c r="B103" s="81" t="s">
        <v>243</v>
      </c>
      <c r="C103" s="81" t="s">
        <v>23</v>
      </c>
      <c r="D103" s="85">
        <v>490000000</v>
      </c>
      <c r="E103" s="81" t="s">
        <v>244</v>
      </c>
      <c r="F103" s="81" t="s">
        <v>180</v>
      </c>
      <c r="G103" s="81">
        <v>0</v>
      </c>
    </row>
    <row r="104" spans="2:7" x14ac:dyDescent="0.3">
      <c r="B104" s="81" t="s">
        <v>245</v>
      </c>
      <c r="C104" s="81" t="s">
        <v>23</v>
      </c>
      <c r="D104" s="85">
        <v>344715000</v>
      </c>
      <c r="E104" s="81" t="s">
        <v>246</v>
      </c>
      <c r="F104" s="81" t="s">
        <v>175</v>
      </c>
      <c r="G104" s="81">
        <v>145285000</v>
      </c>
    </row>
    <row r="105" spans="2:7" x14ac:dyDescent="0.3">
      <c r="B105" s="81" t="s">
        <v>247</v>
      </c>
      <c r="C105" s="81" t="s">
        <v>16</v>
      </c>
      <c r="D105" s="85">
        <v>395675000</v>
      </c>
      <c r="E105" s="81" t="s">
        <v>248</v>
      </c>
      <c r="F105" s="81" t="s">
        <v>180</v>
      </c>
      <c r="G105" s="81">
        <v>0</v>
      </c>
    </row>
    <row r="106" spans="2:7" x14ac:dyDescent="0.3">
      <c r="B106" s="81" t="s">
        <v>249</v>
      </c>
      <c r="C106" s="81" t="s">
        <v>16</v>
      </c>
      <c r="D106" s="85">
        <v>325850000</v>
      </c>
      <c r="E106" s="81" t="s">
        <v>250</v>
      </c>
      <c r="F106" s="81" t="s">
        <v>180</v>
      </c>
      <c r="G106" s="81">
        <v>0</v>
      </c>
    </row>
    <row r="107" spans="2:7" x14ac:dyDescent="0.3">
      <c r="B107" s="81" t="s">
        <v>251</v>
      </c>
      <c r="C107" s="81" t="s">
        <v>16</v>
      </c>
      <c r="D107" s="85">
        <v>558600000</v>
      </c>
      <c r="E107" s="81" t="s">
        <v>252</v>
      </c>
      <c r="F107" s="81" t="s">
        <v>180</v>
      </c>
      <c r="G107" s="81">
        <v>0</v>
      </c>
    </row>
    <row r="108" spans="2:7" x14ac:dyDescent="0.3">
      <c r="B108" s="81" t="s">
        <v>253</v>
      </c>
      <c r="C108" s="81" t="s">
        <v>16</v>
      </c>
      <c r="D108" s="85">
        <v>325850000</v>
      </c>
      <c r="E108" s="81" t="s">
        <v>254</v>
      </c>
      <c r="F108" s="81" t="s">
        <v>180</v>
      </c>
      <c r="G108" s="81">
        <v>0</v>
      </c>
    </row>
    <row r="109" spans="2:7" x14ac:dyDescent="0.3">
      <c r="B109" s="81" t="s">
        <v>255</v>
      </c>
      <c r="C109" s="81" t="s">
        <v>20</v>
      </c>
      <c r="D109" s="85">
        <v>20825000</v>
      </c>
      <c r="E109" s="81" t="s">
        <v>256</v>
      </c>
      <c r="F109" s="81" t="s">
        <v>180</v>
      </c>
      <c r="G109" s="81">
        <v>0</v>
      </c>
    </row>
    <row r="110" spans="2:7" x14ac:dyDescent="0.3">
      <c r="B110" s="81" t="s">
        <v>257</v>
      </c>
      <c r="C110" s="81" t="s">
        <v>20</v>
      </c>
      <c r="D110" s="85">
        <v>17150000</v>
      </c>
      <c r="E110" s="81" t="s">
        <v>258</v>
      </c>
      <c r="F110" s="81" t="s">
        <v>180</v>
      </c>
      <c r="G110" s="81">
        <v>0</v>
      </c>
    </row>
    <row r="111" spans="2:7" x14ac:dyDescent="0.3">
      <c r="B111" s="81" t="s">
        <v>259</v>
      </c>
      <c r="C111" s="81" t="s">
        <v>20</v>
      </c>
      <c r="D111" s="85">
        <v>29400000</v>
      </c>
      <c r="E111" s="81" t="s">
        <v>260</v>
      </c>
      <c r="F111" s="81" t="s">
        <v>180</v>
      </c>
      <c r="G111" s="81">
        <v>0</v>
      </c>
    </row>
    <row r="112" spans="2:7" x14ac:dyDescent="0.3">
      <c r="B112" s="81" t="s">
        <v>261</v>
      </c>
      <c r="C112" s="81" t="s">
        <v>20</v>
      </c>
      <c r="D112" s="85">
        <v>17150000</v>
      </c>
      <c r="E112" s="81" t="s">
        <v>262</v>
      </c>
      <c r="F112" s="81" t="s">
        <v>180</v>
      </c>
      <c r="G112" s="81">
        <v>0</v>
      </c>
    </row>
    <row r="113" spans="2:7" x14ac:dyDescent="0.3">
      <c r="B113" s="81" t="s">
        <v>263</v>
      </c>
      <c r="C113" s="81" t="s">
        <v>24</v>
      </c>
      <c r="D113" s="85">
        <v>413875</v>
      </c>
      <c r="E113" s="81" t="s">
        <v>264</v>
      </c>
      <c r="F113" s="81" t="s">
        <v>180</v>
      </c>
      <c r="G113" s="85">
        <v>0</v>
      </c>
    </row>
    <row r="114" spans="2:7" x14ac:dyDescent="0.3">
      <c r="B114" s="81" t="s">
        <v>265</v>
      </c>
      <c r="C114" s="81" t="s">
        <v>24</v>
      </c>
      <c r="D114" s="85">
        <v>465584.3098958336</v>
      </c>
      <c r="E114" s="81" t="s">
        <v>266</v>
      </c>
      <c r="F114" s="81" t="s">
        <v>175</v>
      </c>
      <c r="G114" s="85">
        <v>51709.309895833605</v>
      </c>
    </row>
    <row r="115" spans="2:7" x14ac:dyDescent="0.3">
      <c r="B115" s="81" t="s">
        <v>267</v>
      </c>
      <c r="C115" s="81" t="s">
        <v>24</v>
      </c>
      <c r="D115" s="85">
        <v>482854.16666666663</v>
      </c>
      <c r="E115" s="81" t="s">
        <v>268</v>
      </c>
      <c r="F115" s="81" t="s">
        <v>175</v>
      </c>
      <c r="G115" s="85">
        <v>68979.166666666628</v>
      </c>
    </row>
    <row r="116" spans="2:7" ht="15" thickBot="1" x14ac:dyDescent="0.35">
      <c r="B116" s="80" t="s">
        <v>269</v>
      </c>
      <c r="C116" s="80" t="s">
        <v>24</v>
      </c>
      <c r="D116" s="86">
        <v>413875</v>
      </c>
      <c r="E116" s="80" t="s">
        <v>270</v>
      </c>
      <c r="F116" s="80" t="s">
        <v>180</v>
      </c>
      <c r="G116" s="8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C6D6-79A5-43C7-AAA1-39A41FC208F9}">
  <dimension ref="B1:F39"/>
  <sheetViews>
    <sheetView workbookViewId="0"/>
  </sheetViews>
  <sheetFormatPr defaultColWidth="8" defaultRowHeight="14.4" x14ac:dyDescent="0.3"/>
  <cols>
    <col min="2" max="2" width="12.5546875" bestFit="1" customWidth="1"/>
    <col min="3" max="3" width="39.44140625" bestFit="1" customWidth="1"/>
    <col min="4" max="4" width="11.5546875" bestFit="1" customWidth="1"/>
    <col min="5" max="5" width="39.6640625" bestFit="1" customWidth="1"/>
    <col min="6" max="6" width="39.109375" bestFit="1" customWidth="1"/>
  </cols>
  <sheetData>
    <row r="1" spans="2:6" x14ac:dyDescent="0.3">
      <c r="C1" s="26" t="s">
        <v>42</v>
      </c>
      <c r="E1" s="26" t="s">
        <v>43</v>
      </c>
    </row>
    <row r="2" spans="2:6" x14ac:dyDescent="0.3">
      <c r="B2" s="36" t="s">
        <v>46</v>
      </c>
      <c r="C2" s="24">
        <f>Input!B6*Input!$E$18</f>
        <v>7500</v>
      </c>
      <c r="D2" s="35" t="s">
        <v>44</v>
      </c>
      <c r="E2" s="24">
        <f>Input!B8*Input!$E$18</f>
        <v>8750</v>
      </c>
      <c r="F2" s="35" t="s">
        <v>44</v>
      </c>
    </row>
    <row r="3" spans="2:6" x14ac:dyDescent="0.3">
      <c r="B3" s="36" t="s">
        <v>46</v>
      </c>
      <c r="C3" s="25">
        <f>C2*8.6</f>
        <v>64500</v>
      </c>
      <c r="D3" s="35" t="s">
        <v>45</v>
      </c>
      <c r="E3" s="25">
        <f>E2*8.6</f>
        <v>75250</v>
      </c>
      <c r="F3" s="35" t="s">
        <v>45</v>
      </c>
    </row>
    <row r="4" spans="2:6" x14ac:dyDescent="0.3">
      <c r="B4" s="36" t="s">
        <v>47</v>
      </c>
      <c r="C4" s="32">
        <f>C3*Input!$B$20</f>
        <v>451500</v>
      </c>
      <c r="D4" s="35" t="s">
        <v>45</v>
      </c>
      <c r="E4" s="32">
        <f>E3*Input!$B$20</f>
        <v>526750</v>
      </c>
      <c r="F4" s="35" t="s">
        <v>45</v>
      </c>
    </row>
    <row r="5" spans="2:6" x14ac:dyDescent="0.3">
      <c r="B5" s="19"/>
      <c r="D5" s="35"/>
      <c r="F5" s="35"/>
    </row>
    <row r="6" spans="2:6" x14ac:dyDescent="0.3">
      <c r="B6" s="19"/>
      <c r="C6" s="26" t="s">
        <v>35</v>
      </c>
      <c r="D6" s="35"/>
      <c r="E6" s="26" t="s">
        <v>36</v>
      </c>
      <c r="F6" s="35"/>
    </row>
    <row r="7" spans="2:6" x14ac:dyDescent="0.3">
      <c r="B7" s="36" t="s">
        <v>46</v>
      </c>
      <c r="C7" s="24">
        <f>C11*Input!$E$8</f>
        <v>59125</v>
      </c>
      <c r="D7" s="35" t="s">
        <v>45</v>
      </c>
      <c r="E7" s="37">
        <f>E11*Input!$E$8</f>
        <v>68979.166666666672</v>
      </c>
      <c r="F7" s="35" t="s">
        <v>45</v>
      </c>
    </row>
    <row r="8" spans="2:6" x14ac:dyDescent="0.3">
      <c r="B8" s="36" t="s">
        <v>47</v>
      </c>
      <c r="C8" s="32">
        <f>C7*Input!$B$20</f>
        <v>413875</v>
      </c>
      <c r="D8" s="35" t="s">
        <v>45</v>
      </c>
      <c r="E8" s="32">
        <f>E7*Input!$B$20</f>
        <v>482854.16666666669</v>
      </c>
      <c r="F8" s="35" t="s">
        <v>45</v>
      </c>
    </row>
    <row r="9" spans="2:6" x14ac:dyDescent="0.3">
      <c r="B9" s="19"/>
      <c r="D9" s="35"/>
      <c r="F9" s="35"/>
    </row>
    <row r="10" spans="2:6" x14ac:dyDescent="0.3">
      <c r="B10" s="19"/>
      <c r="C10" s="26" t="s">
        <v>40</v>
      </c>
      <c r="D10" s="35"/>
      <c r="E10" s="26" t="s">
        <v>41</v>
      </c>
      <c r="F10" s="35"/>
    </row>
    <row r="11" spans="2:6" x14ac:dyDescent="0.3">
      <c r="B11" s="36" t="s">
        <v>46</v>
      </c>
      <c r="C11" s="24">
        <f>C3/Input!$E$6</f>
        <v>537500</v>
      </c>
      <c r="D11" s="35" t="s">
        <v>45</v>
      </c>
      <c r="E11" s="37">
        <f>E3/Input!$E$6</f>
        <v>627083.33333333337</v>
      </c>
      <c r="F11" s="35" t="s">
        <v>45</v>
      </c>
    </row>
    <row r="12" spans="2:6" x14ac:dyDescent="0.3">
      <c r="B12" s="36" t="s">
        <v>47</v>
      </c>
      <c r="C12" s="32">
        <f>C11*Input!$B$20</f>
        <v>3762500</v>
      </c>
      <c r="D12" s="35" t="s">
        <v>45</v>
      </c>
      <c r="E12" s="32">
        <f>E11*Input!$B$20</f>
        <v>4389583.333333334</v>
      </c>
      <c r="F12" s="35" t="s">
        <v>45</v>
      </c>
    </row>
    <row r="17" spans="2:6" x14ac:dyDescent="0.3">
      <c r="B17" s="2">
        <f>Input!E10</f>
        <v>11</v>
      </c>
      <c r="C17" s="43" t="s">
        <v>51</v>
      </c>
      <c r="E17" s="2">
        <v>126</v>
      </c>
      <c r="F17" s="40" t="s">
        <v>53</v>
      </c>
    </row>
    <row r="18" spans="2:6" x14ac:dyDescent="0.3">
      <c r="B18" s="8">
        <v>60</v>
      </c>
      <c r="C18" s="44" t="s">
        <v>2</v>
      </c>
      <c r="E18" s="8">
        <v>19.75</v>
      </c>
      <c r="F18" s="41" t="s">
        <v>59</v>
      </c>
    </row>
    <row r="19" spans="2:6" x14ac:dyDescent="0.3">
      <c r="B19" s="8">
        <f>Input!B18</f>
        <v>24</v>
      </c>
      <c r="C19" s="44" t="s">
        <v>48</v>
      </c>
      <c r="E19" s="38">
        <f>E17/E18</f>
        <v>6.3797468354430382</v>
      </c>
      <c r="F19" s="41" t="s">
        <v>54</v>
      </c>
    </row>
    <row r="20" spans="2:6" x14ac:dyDescent="0.3">
      <c r="B20" s="8">
        <f>Input!B20</f>
        <v>7</v>
      </c>
      <c r="C20" s="44" t="s">
        <v>49</v>
      </c>
      <c r="E20" s="39">
        <f>E19*16</f>
        <v>102.07594936708861</v>
      </c>
      <c r="F20" s="42" t="s">
        <v>55</v>
      </c>
    </row>
    <row r="21" spans="2:6" x14ac:dyDescent="0.3">
      <c r="B21" s="8">
        <v>1</v>
      </c>
      <c r="C21" s="44" t="s">
        <v>50</v>
      </c>
    </row>
    <row r="22" spans="2:6" x14ac:dyDescent="0.3">
      <c r="B22" s="46">
        <f>B17*B18*B19*B20*B21</f>
        <v>110880</v>
      </c>
      <c r="C22" s="45" t="s">
        <v>82</v>
      </c>
      <c r="E22" s="63">
        <v>70000000</v>
      </c>
      <c r="F22" s="43" t="s">
        <v>52</v>
      </c>
    </row>
    <row r="23" spans="2:6" x14ac:dyDescent="0.3">
      <c r="E23" s="64">
        <v>1</v>
      </c>
      <c r="F23" s="41" t="s">
        <v>56</v>
      </c>
    </row>
    <row r="24" spans="2:6" x14ac:dyDescent="0.3">
      <c r="E24" s="65">
        <f>E22*E23</f>
        <v>70000000</v>
      </c>
      <c r="F24" s="41" t="s">
        <v>57</v>
      </c>
    </row>
    <row r="25" spans="2:6" x14ac:dyDescent="0.3">
      <c r="E25" s="65">
        <v>126</v>
      </c>
      <c r="F25" s="41" t="s">
        <v>58</v>
      </c>
    </row>
    <row r="26" spans="2:6" x14ac:dyDescent="0.3">
      <c r="E26" s="66">
        <f>Input!E12</f>
        <v>1</v>
      </c>
      <c r="F26" s="41" t="s">
        <v>60</v>
      </c>
    </row>
    <row r="27" spans="2:6" x14ac:dyDescent="0.3">
      <c r="E27" s="67">
        <f>Input!B20</f>
        <v>7</v>
      </c>
      <c r="F27" s="41" t="s">
        <v>75</v>
      </c>
    </row>
    <row r="28" spans="2:6" x14ac:dyDescent="0.3">
      <c r="E28" s="68">
        <f>(E24)*E26*E27</f>
        <v>490000000</v>
      </c>
      <c r="F28" s="42" t="s">
        <v>62</v>
      </c>
    </row>
    <row r="31" spans="2:6" x14ac:dyDescent="0.3">
      <c r="B31" s="24">
        <f>E28</f>
        <v>490000000</v>
      </c>
      <c r="C31" s="40" t="s">
        <v>62</v>
      </c>
    </row>
    <row r="32" spans="2:6" x14ac:dyDescent="0.3">
      <c r="B32" s="25">
        <f>Input!E14*Supply!$B$31</f>
        <v>465500000</v>
      </c>
      <c r="C32" s="41" t="s">
        <v>65</v>
      </c>
    </row>
    <row r="33" spans="2:5" x14ac:dyDescent="0.3">
      <c r="B33" s="32">
        <f>Input!E16*Supply!$B$31</f>
        <v>24500000</v>
      </c>
      <c r="C33" s="42" t="s">
        <v>66</v>
      </c>
    </row>
    <row r="35" spans="2:5" x14ac:dyDescent="0.3">
      <c r="C35" s="26" t="s">
        <v>63</v>
      </c>
      <c r="D35" s="26" t="s">
        <v>64</v>
      </c>
      <c r="E35" s="26" t="s">
        <v>67</v>
      </c>
    </row>
    <row r="36" spans="2:5" x14ac:dyDescent="0.3">
      <c r="B36" s="69" t="s">
        <v>15</v>
      </c>
      <c r="C36" s="63">
        <f>$B$32*E36</f>
        <v>395675000</v>
      </c>
      <c r="D36" s="47">
        <f>$B$33*E36</f>
        <v>20825000</v>
      </c>
      <c r="E36" s="48">
        <v>0.85</v>
      </c>
    </row>
    <row r="37" spans="2:5" x14ac:dyDescent="0.3">
      <c r="B37" s="70" t="s">
        <v>17</v>
      </c>
      <c r="C37" s="65">
        <f t="shared" ref="C37:C39" si="0">$B$32*E37</f>
        <v>325850000</v>
      </c>
      <c r="D37" s="72">
        <f t="shared" ref="D37:D38" si="1">$B$33*E37</f>
        <v>17150000</v>
      </c>
      <c r="E37" s="49">
        <v>0.7</v>
      </c>
    </row>
    <row r="38" spans="2:5" x14ac:dyDescent="0.3">
      <c r="B38" s="70" t="s">
        <v>18</v>
      </c>
      <c r="C38" s="65">
        <f t="shared" si="0"/>
        <v>558600000</v>
      </c>
      <c r="D38" s="72">
        <f t="shared" si="1"/>
        <v>29400000</v>
      </c>
      <c r="E38" s="49">
        <v>1.2</v>
      </c>
    </row>
    <row r="39" spans="2:5" x14ac:dyDescent="0.3">
      <c r="B39" s="71" t="s">
        <v>19</v>
      </c>
      <c r="C39" s="68">
        <f t="shared" si="0"/>
        <v>325850000</v>
      </c>
      <c r="D39" s="50">
        <f>$B$33*E39</f>
        <v>17150000</v>
      </c>
      <c r="E39" s="51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Solver</vt:lpstr>
      <vt:lpstr>Answer Report 80%</vt:lpstr>
      <vt:lpstr>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Whitaker</dc:creator>
  <cp:lastModifiedBy>John Whitaker</cp:lastModifiedBy>
  <dcterms:created xsi:type="dcterms:W3CDTF">2019-03-13T08:31:26Z</dcterms:created>
  <dcterms:modified xsi:type="dcterms:W3CDTF">2019-03-19T21:37:44Z</dcterms:modified>
</cp:coreProperties>
</file>