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kee/Box Sync/5- qPCR/2019.02.27_ppk_for_pancho/"/>
    </mc:Choice>
  </mc:AlternateContent>
  <xr:revisionPtr revIDLastSave="0" documentId="13_ncr:1_{37B1BE92-25D8-8342-BB48-AAF9FBADBF05}" xr6:coauthVersionLast="41" xr6:coauthVersionMax="41" xr10:uidLastSave="{00000000-0000-0000-0000-000000000000}"/>
  <bookViews>
    <workbookView xWindow="0" yWindow="460" windowWidth="28800" windowHeight="16540" activeTab="2" xr2:uid="{5C0F7067-F5F4-3F4F-B626-A65F05F695DD}"/>
  </bookViews>
  <sheets>
    <sheet name="Standards" sheetId="3" r:id="rId1"/>
    <sheet name="Calibrations" sheetId="2" r:id="rId2"/>
    <sheet name="Cq data" sheetId="1" r:id="rId3"/>
    <sheet name="Moya-20190227" sheetId="6" r:id="rId4"/>
    <sheet name="Plate Layout" sheetId="9" r:id="rId5"/>
    <sheet name="Cq" sheetId="8" r:id="rId6"/>
    <sheet name="Tm" sheetId="7" r:id="rId7"/>
  </sheets>
  <externalReferences>
    <externalReference r:id="rId8"/>
  </externalReferences>
  <definedNames>
    <definedName name="_xlnm.Print_Area" localSheetId="3">'Moya-20190227'!$A$1:$M$45</definedName>
    <definedName name="_xlnm.Print_Area" localSheetId="0">Standards!$A$1:$O$41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O11" i="1"/>
  <c r="N12" i="1"/>
  <c r="N13" i="1"/>
  <c r="N11" i="1"/>
  <c r="N19" i="1"/>
  <c r="N20" i="1"/>
  <c r="N18" i="1"/>
  <c r="I19" i="1"/>
  <c r="J19" i="1"/>
  <c r="K19" i="1"/>
  <c r="I20" i="1"/>
  <c r="J20" i="1"/>
  <c r="K20" i="1"/>
  <c r="J18" i="1"/>
  <c r="K18" i="1"/>
  <c r="I18" i="1"/>
  <c r="I12" i="1"/>
  <c r="J12" i="1"/>
  <c r="K12" i="1"/>
  <c r="I13" i="1"/>
  <c r="J13" i="1"/>
  <c r="K13" i="1"/>
  <c r="J11" i="1"/>
  <c r="K11" i="1"/>
  <c r="I11" i="1"/>
  <c r="G18" i="1"/>
  <c r="H18" i="1"/>
  <c r="G19" i="1"/>
  <c r="H19" i="1"/>
  <c r="G20" i="1"/>
  <c r="H20" i="1"/>
  <c r="F19" i="1"/>
  <c r="F20" i="1"/>
  <c r="F18" i="1"/>
  <c r="G11" i="1"/>
  <c r="H11" i="1"/>
  <c r="G12" i="1"/>
  <c r="H12" i="1"/>
  <c r="G13" i="1"/>
  <c r="H13" i="1"/>
  <c r="F12" i="1"/>
  <c r="F13" i="1"/>
  <c r="F11" i="1"/>
  <c r="G4" i="1"/>
  <c r="H4" i="1"/>
  <c r="G5" i="1"/>
  <c r="H5" i="1"/>
  <c r="G6" i="1"/>
  <c r="H6" i="1"/>
  <c r="F5" i="1"/>
  <c r="F6" i="1"/>
  <c r="F4" i="1"/>
  <c r="J81" i="2"/>
  <c r="J17" i="2"/>
  <c r="B29" i="2"/>
  <c r="J49" i="2"/>
  <c r="J52" i="2" s="1"/>
  <c r="J48" i="2"/>
  <c r="J47" i="2"/>
  <c r="J63" i="2"/>
  <c r="J62" i="2"/>
  <c r="J61" i="2"/>
  <c r="J60" i="2"/>
  <c r="J59" i="2"/>
  <c r="J56" i="2"/>
  <c r="J55" i="2"/>
  <c r="J54" i="2"/>
  <c r="J51" i="2"/>
  <c r="J50" i="2"/>
  <c r="J22" i="2"/>
  <c r="J26" i="2" s="1"/>
  <c r="J30" i="2"/>
  <c r="J27" i="2"/>
  <c r="J29" i="2"/>
  <c r="J28" i="2"/>
  <c r="J24" i="2"/>
  <c r="J23" i="2"/>
  <c r="J19" i="2"/>
  <c r="J18" i="2"/>
  <c r="E93" i="2"/>
  <c r="D93" i="2"/>
  <c r="C93" i="2"/>
  <c r="B93" i="2"/>
  <c r="C74" i="2"/>
  <c r="B74" i="2"/>
  <c r="C67" i="2"/>
  <c r="D67" i="2"/>
  <c r="C68" i="2"/>
  <c r="D68" i="2"/>
  <c r="C69" i="2"/>
  <c r="D69" i="2"/>
  <c r="C71" i="2"/>
  <c r="D71" i="2"/>
  <c r="C72" i="2"/>
  <c r="D72" i="2"/>
  <c r="C73" i="2"/>
  <c r="D73" i="2"/>
  <c r="B73" i="2"/>
  <c r="B72" i="2"/>
  <c r="B71" i="2"/>
  <c r="B69" i="2"/>
  <c r="B68" i="2"/>
  <c r="B67" i="2"/>
  <c r="E29" i="2"/>
  <c r="D29" i="2"/>
  <c r="C29" i="2"/>
  <c r="F61" i="2"/>
  <c r="E61" i="2"/>
  <c r="D61" i="2"/>
  <c r="C61" i="2"/>
  <c r="B61" i="2"/>
  <c r="C41" i="2"/>
  <c r="D41" i="2"/>
  <c r="B41" i="2"/>
  <c r="C40" i="2"/>
  <c r="D40" i="2"/>
  <c r="B40" i="2"/>
  <c r="C39" i="2"/>
  <c r="D39" i="2"/>
  <c r="B39" i="2"/>
  <c r="C38" i="2"/>
  <c r="D38" i="2"/>
  <c r="B38" i="2"/>
  <c r="C37" i="2"/>
  <c r="D37" i="2"/>
  <c r="B37" i="2"/>
  <c r="C36" i="2"/>
  <c r="D36" i="2"/>
  <c r="B36" i="2"/>
  <c r="C35" i="2"/>
  <c r="D35" i="2"/>
  <c r="B35" i="2"/>
  <c r="C6" i="2"/>
  <c r="D6" i="2"/>
  <c r="C7" i="2"/>
  <c r="D7" i="2"/>
  <c r="C8" i="2"/>
  <c r="D8" i="2"/>
  <c r="D9" i="2"/>
  <c r="B9" i="2"/>
  <c r="B8" i="2"/>
  <c r="B7" i="2"/>
  <c r="B6" i="2"/>
  <c r="C5" i="2"/>
  <c r="D5" i="2"/>
  <c r="B5" i="2"/>
  <c r="C4" i="2"/>
  <c r="D4" i="2"/>
  <c r="B4" i="2"/>
  <c r="C3" i="2"/>
  <c r="D3" i="2"/>
  <c r="B3" i="2"/>
  <c r="F93" i="2" l="1"/>
  <c r="J53" i="2"/>
  <c r="J25" i="2"/>
  <c r="E43" i="6"/>
  <c r="K74" i="2"/>
  <c r="J74" i="2"/>
  <c r="I74" i="2"/>
  <c r="E74" i="2"/>
  <c r="K73" i="2"/>
  <c r="J73" i="2"/>
  <c r="I73" i="2"/>
  <c r="G73" i="2"/>
  <c r="E73" i="2"/>
  <c r="K72" i="2"/>
  <c r="J72" i="2"/>
  <c r="I72" i="2"/>
  <c r="G72" i="2"/>
  <c r="E72" i="2"/>
  <c r="K71" i="2"/>
  <c r="J71" i="2"/>
  <c r="I71" i="2"/>
  <c r="G71" i="2"/>
  <c r="E71" i="2"/>
  <c r="K69" i="2"/>
  <c r="J69" i="2"/>
  <c r="I69" i="2"/>
  <c r="G69" i="2"/>
  <c r="E69" i="2"/>
  <c r="K68" i="2"/>
  <c r="J68" i="2"/>
  <c r="I68" i="2"/>
  <c r="G68" i="2"/>
  <c r="E68" i="2"/>
  <c r="K67" i="2"/>
  <c r="J67" i="2"/>
  <c r="I67" i="2"/>
  <c r="G67" i="2"/>
  <c r="J86" i="2" s="1"/>
  <c r="E67" i="2"/>
  <c r="K42" i="2"/>
  <c r="J42" i="2"/>
  <c r="I42" i="2"/>
  <c r="E42" i="2"/>
  <c r="K41" i="2"/>
  <c r="J41" i="2"/>
  <c r="I41" i="2"/>
  <c r="G41" i="2"/>
  <c r="E41" i="2"/>
  <c r="K40" i="2"/>
  <c r="J40" i="2"/>
  <c r="I40" i="2"/>
  <c r="G40" i="2"/>
  <c r="E40" i="2"/>
  <c r="K39" i="2"/>
  <c r="J39" i="2"/>
  <c r="I39" i="2"/>
  <c r="G39" i="2"/>
  <c r="E39" i="2"/>
  <c r="K38" i="2"/>
  <c r="J38" i="2"/>
  <c r="I38" i="2"/>
  <c r="G38" i="2"/>
  <c r="E38" i="2"/>
  <c r="K37" i="2"/>
  <c r="J37" i="2"/>
  <c r="I37" i="2"/>
  <c r="G37" i="2"/>
  <c r="E37" i="2"/>
  <c r="K36" i="2"/>
  <c r="J36" i="2"/>
  <c r="I36" i="2"/>
  <c r="G36" i="2"/>
  <c r="E36" i="2"/>
  <c r="K35" i="2"/>
  <c r="J35" i="2"/>
  <c r="I35" i="2"/>
  <c r="G35" i="2"/>
  <c r="E35" i="2"/>
  <c r="H70" i="2" l="1"/>
  <c r="H71" i="2"/>
  <c r="H40" i="2"/>
  <c r="J87" i="2"/>
  <c r="J88" i="2"/>
  <c r="H72" i="2"/>
  <c r="H68" i="2"/>
  <c r="J91" i="2"/>
  <c r="J82" i="2"/>
  <c r="J92" i="2"/>
  <c r="H73" i="2"/>
  <c r="J83" i="2"/>
  <c r="J93" i="2"/>
  <c r="H41" i="2"/>
  <c r="H38" i="2"/>
  <c r="H37" i="2"/>
  <c r="H36" i="2"/>
  <c r="H69" i="2"/>
  <c r="H39" i="2"/>
  <c r="H83" i="3"/>
  <c r="H85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E83" i="3"/>
  <c r="B87" i="3"/>
  <c r="B83" i="3" s="1"/>
  <c r="B85" i="3" s="1"/>
  <c r="B73" i="3" s="1"/>
  <c r="B74" i="3" s="1"/>
  <c r="B75" i="3" s="1"/>
  <c r="E85" i="3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H61" i="3"/>
  <c r="H63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E61" i="3"/>
  <c r="E63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B61" i="3"/>
  <c r="B63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J89" i="2" l="1"/>
  <c r="J95" i="2"/>
  <c r="J90" i="2"/>
  <c r="J85" i="2"/>
  <c r="J94" i="2"/>
  <c r="J84" i="2"/>
  <c r="J58" i="2"/>
  <c r="J57" i="2"/>
  <c r="B76" i="3"/>
  <c r="B77" i="3" s="1"/>
  <c r="B78" i="3" s="1"/>
  <c r="B79" i="3" s="1"/>
  <c r="B80" i="3" s="1"/>
  <c r="B81" i="3" s="1"/>
  <c r="B82" i="3" s="1"/>
  <c r="H40" i="6"/>
  <c r="D24" i="6"/>
  <c r="D23" i="6"/>
  <c r="F5" i="6"/>
  <c r="F4" i="6"/>
  <c r="F3" i="6"/>
  <c r="J78" i="2" l="1"/>
  <c r="K78" i="2" s="1"/>
  <c r="J80" i="2"/>
  <c r="K80" i="2" s="1"/>
  <c r="J79" i="2"/>
  <c r="K79" i="2" s="1"/>
  <c r="K48" i="2"/>
  <c r="K47" i="2"/>
  <c r="J46" i="2"/>
  <c r="K46" i="2" s="1"/>
  <c r="H43" i="6"/>
  <c r="F43" i="6" s="1"/>
  <c r="H45" i="6"/>
  <c r="E45" i="6" s="1"/>
  <c r="F45" i="6" s="1"/>
  <c r="G1" i="6"/>
  <c r="G2" i="6" s="1"/>
  <c r="H44" i="6"/>
  <c r="H15" i="3"/>
  <c r="G21" i="6" l="1"/>
  <c r="E24" i="6" s="1"/>
  <c r="E29" i="6" s="1"/>
  <c r="E44" i="6"/>
  <c r="F44" i="6" s="1"/>
  <c r="K10" i="2"/>
  <c r="J10" i="2"/>
  <c r="I10" i="2"/>
  <c r="E10" i="2"/>
  <c r="E23" i="6" l="1"/>
  <c r="E22" i="6"/>
  <c r="E25" i="6"/>
  <c r="E26" i="6" s="1"/>
  <c r="M44" i="3" l="1"/>
  <c r="B40" i="3"/>
  <c r="B35" i="3" s="1"/>
  <c r="B37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N35" i="3"/>
  <c r="N37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K35" i="3"/>
  <c r="K37" i="3" s="1"/>
  <c r="H35" i="3"/>
  <c r="H37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E35" i="3"/>
  <c r="E37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16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N15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K15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H3" i="3"/>
  <c r="H4" i="3" s="1"/>
  <c r="H5" i="3" s="1"/>
  <c r="H6" i="3" s="1"/>
  <c r="B15" i="3"/>
  <c r="B3" i="3"/>
  <c r="B4" i="3" s="1"/>
  <c r="B5" i="3" s="1"/>
  <c r="B6" i="3" s="1"/>
  <c r="B7" i="3" s="1"/>
  <c r="B8" i="3" s="1"/>
  <c r="B9" i="3" s="1"/>
  <c r="B10" i="3" s="1"/>
  <c r="B11" i="3" s="1"/>
  <c r="B12" i="3" s="1"/>
  <c r="K9" i="2"/>
  <c r="J9" i="2"/>
  <c r="I9" i="2"/>
  <c r="E9" i="2"/>
  <c r="K8" i="2"/>
  <c r="J8" i="2"/>
  <c r="I8" i="2"/>
  <c r="E8" i="2"/>
  <c r="K7" i="2"/>
  <c r="J7" i="2"/>
  <c r="I7" i="2"/>
  <c r="E7" i="2"/>
  <c r="K6" i="2"/>
  <c r="J6" i="2"/>
  <c r="I6" i="2"/>
  <c r="E6" i="2"/>
  <c r="K5" i="2"/>
  <c r="J5" i="2"/>
  <c r="I5" i="2"/>
  <c r="E5" i="2"/>
  <c r="K4" i="2"/>
  <c r="J4" i="2"/>
  <c r="I4" i="2"/>
  <c r="E4" i="2"/>
  <c r="K3" i="2"/>
  <c r="J3" i="2"/>
  <c r="I3" i="2"/>
  <c r="E3" i="2"/>
  <c r="H7" i="2" l="1"/>
  <c r="H6" i="2"/>
  <c r="H4" i="2"/>
  <c r="K25" i="3"/>
  <c r="K26" i="3" s="1"/>
  <c r="K27" i="3" s="1"/>
  <c r="K28" i="3" s="1"/>
  <c r="K29" i="3" s="1"/>
  <c r="K30" i="3" s="1"/>
  <c r="K31" i="3" s="1"/>
  <c r="K32" i="3" s="1"/>
  <c r="K33" i="3" s="1"/>
  <c r="K34" i="3" s="1"/>
  <c r="H7" i="3"/>
  <c r="G3" i="2"/>
  <c r="H9" i="2"/>
  <c r="H5" i="2"/>
  <c r="H8" i="2"/>
  <c r="H8" i="3" l="1"/>
  <c r="G4" i="2"/>
  <c r="H9" i="3" l="1"/>
  <c r="G5" i="2"/>
  <c r="H10" i="3" l="1"/>
  <c r="G6" i="2"/>
  <c r="H11" i="3" l="1"/>
  <c r="G7" i="2"/>
  <c r="H12" i="3" l="1"/>
  <c r="G9" i="2" s="1"/>
  <c r="G8" i="2"/>
  <c r="J21" i="2" l="1"/>
  <c r="J20" i="2" l="1"/>
  <c r="F29" i="2"/>
  <c r="J31" i="2"/>
  <c r="J16" i="2" l="1"/>
  <c r="K16" i="2" s="1"/>
  <c r="J15" i="2"/>
  <c r="K15" i="2" s="1"/>
  <c r="J4" i="1"/>
  <c r="I6" i="1"/>
  <c r="I5" i="1"/>
  <c r="J6" i="1"/>
  <c r="K5" i="1"/>
  <c r="K4" i="1"/>
  <c r="J14" i="2"/>
  <c r="K14" i="2" s="1"/>
  <c r="I4" i="1"/>
  <c r="J5" i="1"/>
  <c r="K6" i="1"/>
  <c r="L19" i="1" l="1"/>
  <c r="M19" i="1" s="1"/>
  <c r="O19" i="1"/>
  <c r="L18" i="1"/>
  <c r="M18" i="1" s="1"/>
  <c r="O18" i="1"/>
  <c r="O5" i="1"/>
  <c r="L5" i="1"/>
  <c r="M5" i="1" s="1"/>
  <c r="L20" i="1"/>
  <c r="M20" i="1" s="1"/>
  <c r="O20" i="1"/>
  <c r="O12" i="1"/>
  <c r="L12" i="1"/>
  <c r="M12" i="1" s="1"/>
  <c r="L6" i="1"/>
  <c r="M6" i="1" s="1"/>
  <c r="O6" i="1"/>
  <c r="L4" i="1"/>
  <c r="M4" i="1" s="1"/>
  <c r="O4" i="1"/>
  <c r="L11" i="1"/>
  <c r="M11" i="1" s="1"/>
  <c r="L13" i="1"/>
  <c r="M13" i="1" s="1"/>
  <c r="O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Natalie Keene</author>
  </authors>
  <commentList>
    <comment ref="N3" authorId="0" shapeId="0" xr:uid="{D2583900-C891-0948-A7F1-B9DE51E202E9}">
      <text>
        <r>
          <rPr>
            <b/>
            <sz val="10"/>
            <color rgb="FF000000"/>
            <rFont val="Calibri"/>
            <family val="2"/>
          </rPr>
          <t>Natalie Keene: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(mean SQ/(vol of template, uL))/ng DNA</t>
        </r>
      </text>
    </comment>
    <comment ref="N10" authorId="0" shapeId="0" xr:uid="{1E82C29E-FB3B-B24E-B73A-509BEE29DCDC}">
      <text>
        <r>
          <rPr>
            <b/>
            <sz val="10"/>
            <color rgb="FF000000"/>
            <rFont val="Calibri"/>
            <family val="2"/>
          </rPr>
          <t>Natalie Keene: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(mean SQ/(vol of template, uL))/ng DNA</t>
        </r>
      </text>
    </comment>
    <comment ref="N17" authorId="0" shapeId="0" xr:uid="{6E6DE419-D864-D646-A994-E9BA8091F82B}">
      <text>
        <r>
          <rPr>
            <b/>
            <sz val="10"/>
            <color rgb="FF000000"/>
            <rFont val="Calibri"/>
            <family val="2"/>
          </rPr>
          <t>Natalie Keene: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(mean SQ/(vol of template, uL))/ng DNA</t>
        </r>
      </text>
    </comment>
  </commentList>
</comments>
</file>

<file path=xl/sharedStrings.xml><?xml version="1.0" encoding="utf-8"?>
<sst xmlns="http://schemas.openxmlformats.org/spreadsheetml/2006/main" count="1117" uniqueCount="390">
  <si>
    <t>Content</t>
  </si>
  <si>
    <t>Cq</t>
  </si>
  <si>
    <t>Cq ave</t>
  </si>
  <si>
    <t>SQ (copies)</t>
  </si>
  <si>
    <t>Log(SQ)</t>
  </si>
  <si>
    <t>dCq</t>
  </si>
  <si>
    <t>CI</t>
  </si>
  <si>
    <t>SD</t>
  </si>
  <si>
    <t>95% CI</t>
  </si>
  <si>
    <t>Std-1</t>
  </si>
  <si>
    <t>Std-2</t>
  </si>
  <si>
    <t>Std-3</t>
  </si>
  <si>
    <t>Std-4</t>
  </si>
  <si>
    <t>Std-5</t>
  </si>
  <si>
    <t>Std-6</t>
  </si>
  <si>
    <t>Std-7</t>
  </si>
  <si>
    <t>copies/rxn</t>
  </si>
  <si>
    <t>copies/ngDNA</t>
  </si>
  <si>
    <t>Limit of Blank</t>
  </si>
  <si>
    <t>Limit of Detection</t>
  </si>
  <si>
    <t xml:space="preserve">Limit of Quantification </t>
  </si>
  <si>
    <t>R2 (1)</t>
  </si>
  <si>
    <t>R2 (2)</t>
  </si>
  <si>
    <t>R2 (3)</t>
  </si>
  <si>
    <t>Average</t>
  </si>
  <si>
    <t>Stdev</t>
  </si>
  <si>
    <t>y-int 1</t>
  </si>
  <si>
    <t>y-int 2</t>
  </si>
  <si>
    <t>y-int 3</t>
  </si>
  <si>
    <t>Slope 1</t>
  </si>
  <si>
    <t>Slope 2</t>
  </si>
  <si>
    <t>Slope 3</t>
  </si>
  <si>
    <t>E</t>
  </si>
  <si>
    <t>E1</t>
  </si>
  <si>
    <t>E2</t>
  </si>
  <si>
    <t>E3</t>
  </si>
  <si>
    <t>stdev</t>
  </si>
  <si>
    <t>uL</t>
  </si>
  <si>
    <t>&lt;-- Template Volume</t>
  </si>
  <si>
    <t xml:space="preserve">&lt;- Assay Type </t>
  </si>
  <si>
    <t>&lt;- Date</t>
  </si>
  <si>
    <t>Date</t>
  </si>
  <si>
    <t>[DNA] ng/uL</t>
  </si>
  <si>
    <t>Dilution Factor</t>
  </si>
  <si>
    <t>Starting Quantity (SQ)</t>
  </si>
  <si>
    <t>Sq ave</t>
  </si>
  <si>
    <t xml:space="preserve"> SQ mean (dilution)</t>
  </si>
  <si>
    <t>Copies/ng DNA</t>
  </si>
  <si>
    <t>Sq std dev</t>
  </si>
  <si>
    <t>sa1</t>
  </si>
  <si>
    <t>sa2</t>
  </si>
  <si>
    <t>sa3</t>
  </si>
  <si>
    <t>Reactor Sample ID</t>
  </si>
  <si>
    <t>Simple ID</t>
  </si>
  <si>
    <t>AOB Nitrosospira multiformis ATCC 25196</t>
  </si>
  <si>
    <t>prepared 2/23/18</t>
  </si>
  <si>
    <t>AOA Nitrosopumilus sp. AR</t>
  </si>
  <si>
    <t>N. Nitrosa</t>
  </si>
  <si>
    <t>prepared 3/6/18</t>
  </si>
  <si>
    <t>N. Nitrificans</t>
  </si>
  <si>
    <t>N. Inopinata</t>
  </si>
  <si>
    <t>Dilution</t>
  </si>
  <si>
    <t xml:space="preserve">Copies </t>
  </si>
  <si>
    <t>x</t>
  </si>
  <si>
    <t>copies/uL</t>
  </si>
  <si>
    <t>template (uL)</t>
  </si>
  <si>
    <t>copies</t>
  </si>
  <si>
    <t>ng/ul</t>
  </si>
  <si>
    <t>size amoA</t>
  </si>
  <si>
    <t>size M13</t>
  </si>
  <si>
    <t>prepared 6/2016</t>
  </si>
  <si>
    <t>Coma CladeB</t>
  </si>
  <si>
    <t>prepared 9/20/17</t>
  </si>
  <si>
    <t>16S rRNA</t>
  </si>
  <si>
    <t>Obtained from Ben Peterson</t>
  </si>
  <si>
    <t>X</t>
  </si>
  <si>
    <t>size 16S segment</t>
  </si>
  <si>
    <t>base pairs</t>
  </si>
  <si>
    <t>amoA1</t>
  </si>
  <si>
    <t>amoA2</t>
  </si>
  <si>
    <t>* For multiple primer sets (IA, IC, ID), subtract water for extra primers added</t>
  </si>
  <si>
    <t>4) Fill the plate with master mix</t>
  </si>
  <si>
    <t>3) Prepare master mix</t>
  </si>
  <si>
    <t>2) Prepara std dilution (27 uL water + 3 uL std) in serial dilutions</t>
  </si>
  <si>
    <t>Final Volume</t>
  </si>
  <si>
    <t>Norm Conc. (ng/uL)</t>
  </si>
  <si>
    <r>
      <t>V</t>
    </r>
    <r>
      <rPr>
        <vertAlign val="subscript"/>
        <sz val="12"/>
        <color rgb="FF000000"/>
        <rFont val="Calibri (Body)"/>
      </rPr>
      <t>DI</t>
    </r>
  </si>
  <si>
    <r>
      <t>V</t>
    </r>
    <r>
      <rPr>
        <vertAlign val="subscript"/>
        <sz val="12"/>
        <color rgb="FF000000"/>
        <rFont val="Calibri (Body)"/>
      </rPr>
      <t>DNA</t>
    </r>
  </si>
  <si>
    <t>Initial DNA conc</t>
  </si>
  <si>
    <t>1) Dilute DNA samples (e.g. 2.7 uL of DNA: 24.3 uL water)</t>
  </si>
  <si>
    <t>Qubit</t>
  </si>
  <si>
    <t>uL</t>
    <phoneticPr fontId="0" type="noConversion"/>
  </si>
  <si>
    <t>Small tubes per row</t>
    <phoneticPr fontId="0" type="noConversion"/>
  </si>
  <si>
    <t>V of template</t>
    <phoneticPr fontId="0" type="noConversion"/>
  </si>
  <si>
    <t>Nuclease Free H20</t>
  </si>
  <si>
    <t>Master w/o template</t>
    <phoneticPr fontId="0" type="noConversion"/>
  </si>
  <si>
    <t>SYBR Green</t>
    <phoneticPr fontId="0" type="noConversion"/>
  </si>
  <si>
    <t>*Make each individual master mix in a 2 mL tube</t>
  </si>
  <si>
    <t>x? no. cells</t>
    <phoneticPr fontId="0" type="noConversion"/>
  </si>
  <si>
    <t>Input</t>
    <phoneticPr fontId="0" type="noConversion"/>
  </si>
  <si>
    <t>Master Mix Ingredients and Volumes</t>
    <phoneticPr fontId="0" type="noConversion"/>
  </si>
  <si>
    <t>Primers</t>
  </si>
  <si>
    <t>PER MASTERMIX</t>
  </si>
  <si>
    <t>H</t>
  </si>
  <si>
    <t>G</t>
  </si>
  <si>
    <t>F</t>
  </si>
  <si>
    <t>D</t>
  </si>
  <si>
    <t>C</t>
  </si>
  <si>
    <t>B</t>
  </si>
  <si>
    <t>A</t>
  </si>
  <si>
    <t>Mastermix 1</t>
  </si>
  <si>
    <t>Samples</t>
  </si>
  <si>
    <t>Standards</t>
  </si>
  <si>
    <t>Blanks</t>
  </si>
  <si>
    <t xml:space="preserve">Date: </t>
  </si>
  <si>
    <t>Plate Size</t>
  </si>
  <si>
    <t>Primers:</t>
  </si>
  <si>
    <t>primer1F (uM)</t>
  </si>
  <si>
    <t>primer2R (uM)</t>
  </si>
  <si>
    <t>Volume</t>
  </si>
  <si>
    <t xml:space="preserve">Initial Conc. </t>
  </si>
  <si>
    <t xml:space="preserve">Final Conc. </t>
  </si>
  <si>
    <t>*Add 10% additional wells to master mix to have enough</t>
  </si>
  <si>
    <t>Experiment_ID:</t>
  </si>
  <si>
    <t>Simple Samp ID</t>
  </si>
  <si>
    <t>Number of wells per sample + 10% for error-&gt;</t>
  </si>
  <si>
    <t>Number of primer sets -&gt;</t>
  </si>
  <si>
    <t xml:space="preserve">% error -&gt; </t>
  </si>
  <si>
    <t>Ta (degC):</t>
  </si>
  <si>
    <t>blank</t>
  </si>
  <si>
    <t>NTC</t>
  </si>
  <si>
    <t>Total wells</t>
  </si>
  <si>
    <t>Available wells</t>
  </si>
  <si>
    <t>Moya-2019</t>
  </si>
  <si>
    <t>ppk clade IA, IIA, IIC</t>
  </si>
  <si>
    <t>IA-sa1</t>
  </si>
  <si>
    <t>IA-sa2</t>
  </si>
  <si>
    <t>IA-sa3</t>
  </si>
  <si>
    <t>IIA-sa1</t>
  </si>
  <si>
    <t>IIA-sa2</t>
  </si>
  <si>
    <t>IIA-sa3</t>
  </si>
  <si>
    <t>IIC-sa1</t>
  </si>
  <si>
    <t>IIC-sa2</t>
  </si>
  <si>
    <t>IIC-sa3</t>
  </si>
  <si>
    <t>IA-std 1</t>
  </si>
  <si>
    <t>IA-std 2</t>
  </si>
  <si>
    <t>IA-std 3</t>
  </si>
  <si>
    <t>IA-std 4</t>
  </si>
  <si>
    <t>IA-std 5</t>
  </si>
  <si>
    <t>IA-std 6</t>
  </si>
  <si>
    <t>IA-std 7</t>
  </si>
  <si>
    <t>IIA-std 1</t>
  </si>
  <si>
    <t>IIA-std 2</t>
  </si>
  <si>
    <t>IIA-std 3</t>
  </si>
  <si>
    <t>IIA-std 4</t>
  </si>
  <si>
    <t>IIA-std 5</t>
  </si>
  <si>
    <t>IIA-std 6</t>
  </si>
  <si>
    <t>IIA-std 7</t>
  </si>
  <si>
    <t>IIC-std 1</t>
  </si>
  <si>
    <t>IIC-std 2</t>
  </si>
  <si>
    <t>IIC-std 3</t>
  </si>
  <si>
    <t>IIC-std 4</t>
  </si>
  <si>
    <t>IIC-std 5</t>
  </si>
  <si>
    <t>IIC-std 6</t>
  </si>
  <si>
    <t>IIC-std 7</t>
  </si>
  <si>
    <t>5) Fill the plate with std/samples</t>
  </si>
  <si>
    <t>DNA 61826 B3 t13</t>
  </si>
  <si>
    <t>DNA 61842 B4 t13</t>
  </si>
  <si>
    <t>DNA 61794 B1 t13</t>
  </si>
  <si>
    <t>Clade</t>
  </si>
  <si>
    <t>Copies ppk</t>
  </si>
  <si>
    <t>size ppk</t>
  </si>
  <si>
    <t>IA prepared 2/6/19</t>
  </si>
  <si>
    <t>IIA prepared 2/6/19</t>
  </si>
  <si>
    <t>IIC prepared 2/6/19</t>
  </si>
  <si>
    <t>prepared 2/6/19</t>
  </si>
  <si>
    <t>for IA, subtract water and substitute the extra primer set</t>
  </si>
  <si>
    <t>2/27/2019 ppk Clade IA</t>
  </si>
  <si>
    <t>2/27/2019 ppk Clade IIA</t>
  </si>
  <si>
    <t>2/27/2019 ppk Clade IIC</t>
  </si>
  <si>
    <t>ppk IA</t>
  </si>
  <si>
    <t>ppk IIA</t>
  </si>
  <si>
    <t>ppk IIC</t>
  </si>
  <si>
    <t>Sample 96</t>
  </si>
  <si>
    <t>H12</t>
  </si>
  <si>
    <t>Sample 95</t>
  </si>
  <si>
    <t>H11</t>
  </si>
  <si>
    <t>Sample 94</t>
  </si>
  <si>
    <t>H10</t>
  </si>
  <si>
    <t>Sample 93</t>
  </si>
  <si>
    <t>H9</t>
  </si>
  <si>
    <t>Sample 92</t>
  </si>
  <si>
    <t>H8</t>
  </si>
  <si>
    <t>Sample 91</t>
  </si>
  <si>
    <t>H7</t>
  </si>
  <si>
    <t>Sample 90</t>
  </si>
  <si>
    <t>H6</t>
  </si>
  <si>
    <t>Sample 89</t>
  </si>
  <si>
    <t>H5</t>
  </si>
  <si>
    <t>Sample 88</t>
  </si>
  <si>
    <t>H4</t>
  </si>
  <si>
    <t>Sample 87</t>
  </si>
  <si>
    <t>H3</t>
  </si>
  <si>
    <t>Sample 86</t>
  </si>
  <si>
    <t>H2</t>
  </si>
  <si>
    <t>Sample 85</t>
  </si>
  <si>
    <t>H1</t>
  </si>
  <si>
    <t>Sample 84</t>
  </si>
  <si>
    <t>G12</t>
  </si>
  <si>
    <t>Sample 83</t>
  </si>
  <si>
    <t>G11</t>
  </si>
  <si>
    <t>Sample 82</t>
  </si>
  <si>
    <t>G10</t>
  </si>
  <si>
    <t>Sample 81</t>
  </si>
  <si>
    <t>G9</t>
  </si>
  <si>
    <t>Sample 80</t>
  </si>
  <si>
    <t>G8</t>
  </si>
  <si>
    <t>Sample 79</t>
  </si>
  <si>
    <t>G7</t>
  </si>
  <si>
    <t>Sample 78</t>
  </si>
  <si>
    <t>G6</t>
  </si>
  <si>
    <t>Sample 77</t>
  </si>
  <si>
    <t>G5</t>
  </si>
  <si>
    <t>Sample 76</t>
  </si>
  <si>
    <t>G4</t>
  </si>
  <si>
    <t>Sample 75</t>
  </si>
  <si>
    <t>G3</t>
  </si>
  <si>
    <t>Sample 74</t>
  </si>
  <si>
    <t>G2</t>
  </si>
  <si>
    <t>Sample 73</t>
  </si>
  <si>
    <t>G1</t>
  </si>
  <si>
    <t>Sample 72</t>
  </si>
  <si>
    <t>F12</t>
  </si>
  <si>
    <t>Sample 71</t>
  </si>
  <si>
    <t>F11</t>
  </si>
  <si>
    <t>Sample 70</t>
  </si>
  <si>
    <t>F10</t>
  </si>
  <si>
    <t>Sample 69</t>
  </si>
  <si>
    <t>F9</t>
  </si>
  <si>
    <t>Sample 68</t>
  </si>
  <si>
    <t>F8</t>
  </si>
  <si>
    <t>Sample 67</t>
  </si>
  <si>
    <t>F7</t>
  </si>
  <si>
    <t>Sample 66</t>
  </si>
  <si>
    <t>F6</t>
  </si>
  <si>
    <t>Sample 65</t>
  </si>
  <si>
    <t>F5</t>
  </si>
  <si>
    <t>Sample 64</t>
  </si>
  <si>
    <t>F4</t>
  </si>
  <si>
    <t>Sample 63</t>
  </si>
  <si>
    <t>F3</t>
  </si>
  <si>
    <t>Sample 62</t>
  </si>
  <si>
    <t>F2</t>
  </si>
  <si>
    <t>Sample 61</t>
  </si>
  <si>
    <t>F1</t>
  </si>
  <si>
    <t>Sample 60</t>
  </si>
  <si>
    <t>E12</t>
  </si>
  <si>
    <t>Sample 59</t>
  </si>
  <si>
    <t>E11</t>
  </si>
  <si>
    <t>Sample 58</t>
  </si>
  <si>
    <t>E10</t>
  </si>
  <si>
    <t>Sample 57</t>
  </si>
  <si>
    <t>E9</t>
  </si>
  <si>
    <t>Sample 56</t>
  </si>
  <si>
    <t>E8</t>
  </si>
  <si>
    <t>Sample 55</t>
  </si>
  <si>
    <t>E7</t>
  </si>
  <si>
    <t>Sample 54</t>
  </si>
  <si>
    <t>E6</t>
  </si>
  <si>
    <t>Sample 53</t>
  </si>
  <si>
    <t>E5</t>
  </si>
  <si>
    <t>Sample 52</t>
  </si>
  <si>
    <t>E4</t>
  </si>
  <si>
    <t>Sample 51</t>
  </si>
  <si>
    <t>Sample 50</t>
  </si>
  <si>
    <t>Sample 49</t>
  </si>
  <si>
    <t>Sample 48</t>
  </si>
  <si>
    <t>D12</t>
  </si>
  <si>
    <t>Sample 47</t>
  </si>
  <si>
    <t>D11</t>
  </si>
  <si>
    <t>Sample 46</t>
  </si>
  <si>
    <t>D10</t>
  </si>
  <si>
    <t>Sample 45</t>
  </si>
  <si>
    <t>D9</t>
  </si>
  <si>
    <t>Sample 44</t>
  </si>
  <si>
    <t>D8</t>
  </si>
  <si>
    <t>Sample 43</t>
  </si>
  <si>
    <t>D7</t>
  </si>
  <si>
    <t>Sample 42</t>
  </si>
  <si>
    <t>D6</t>
  </si>
  <si>
    <t>Sample 41</t>
  </si>
  <si>
    <t>D5</t>
  </si>
  <si>
    <t>Sample 40</t>
  </si>
  <si>
    <t>D4</t>
  </si>
  <si>
    <t>Sample 39</t>
  </si>
  <si>
    <t>D3</t>
  </si>
  <si>
    <t>Sample 38</t>
  </si>
  <si>
    <t>D2</t>
  </si>
  <si>
    <t>Sample 37</t>
  </si>
  <si>
    <t>D1</t>
  </si>
  <si>
    <t>Sample 36</t>
  </si>
  <si>
    <t>C12</t>
  </si>
  <si>
    <t>Sample 35</t>
  </si>
  <si>
    <t>C11</t>
  </si>
  <si>
    <t>Sample 34</t>
  </si>
  <si>
    <t>C10</t>
  </si>
  <si>
    <t>Sample 33</t>
  </si>
  <si>
    <t>C9</t>
  </si>
  <si>
    <t>Sample 32</t>
  </si>
  <si>
    <t>C8</t>
  </si>
  <si>
    <t>Sample 31</t>
  </si>
  <si>
    <t>C7</t>
  </si>
  <si>
    <t>Sample 30</t>
  </si>
  <si>
    <t>C6</t>
  </si>
  <si>
    <t>Sample 29</t>
  </si>
  <si>
    <t>C5</t>
  </si>
  <si>
    <t>Sample 28</t>
  </si>
  <si>
    <t>C4</t>
  </si>
  <si>
    <t>Sample 27</t>
  </si>
  <si>
    <t>C3</t>
  </si>
  <si>
    <t>Sample 26</t>
  </si>
  <si>
    <t>C2</t>
  </si>
  <si>
    <t>Sample 25</t>
  </si>
  <si>
    <t>C1</t>
  </si>
  <si>
    <t>Sample 24</t>
  </si>
  <si>
    <t>B12</t>
  </si>
  <si>
    <t>Sample 23</t>
  </si>
  <si>
    <t>B11</t>
  </si>
  <si>
    <t>Sample 22</t>
  </si>
  <si>
    <t>B10</t>
  </si>
  <si>
    <t>Sample 21</t>
  </si>
  <si>
    <t>B9</t>
  </si>
  <si>
    <t>Sample 20</t>
  </si>
  <si>
    <t>B8</t>
  </si>
  <si>
    <t>Sample 19</t>
  </si>
  <si>
    <t>B7</t>
  </si>
  <si>
    <t>Sample 18</t>
  </si>
  <si>
    <t>B6</t>
  </si>
  <si>
    <t>Sample 17</t>
  </si>
  <si>
    <t>B5</t>
  </si>
  <si>
    <t>Sample 16</t>
  </si>
  <si>
    <t>B4</t>
  </si>
  <si>
    <t>Sample 15</t>
  </si>
  <si>
    <t>B3</t>
  </si>
  <si>
    <t>Sample 14</t>
  </si>
  <si>
    <t>B2</t>
  </si>
  <si>
    <t>Sample 13</t>
  </si>
  <si>
    <t>B1</t>
  </si>
  <si>
    <t>Sample 12</t>
  </si>
  <si>
    <t>A12</t>
  </si>
  <si>
    <t>Sample 11</t>
  </si>
  <si>
    <t>A11</t>
  </si>
  <si>
    <t>Sample 10</t>
  </si>
  <si>
    <t>A10</t>
  </si>
  <si>
    <t>Sample 9</t>
  </si>
  <si>
    <t>A9</t>
  </si>
  <si>
    <t>Sample 8</t>
  </si>
  <si>
    <t>A8</t>
  </si>
  <si>
    <t>Sample 7</t>
  </si>
  <si>
    <t>A7</t>
  </si>
  <si>
    <t>Sample 6</t>
  </si>
  <si>
    <t>A6</t>
  </si>
  <si>
    <t>Sample 5</t>
  </si>
  <si>
    <t>A5</t>
  </si>
  <si>
    <t>Sample 4</t>
  </si>
  <si>
    <t>A4</t>
  </si>
  <si>
    <t>Sample 3</t>
  </si>
  <si>
    <t>A3</t>
  </si>
  <si>
    <t>Sample 2</t>
  </si>
  <si>
    <t>A2</t>
  </si>
  <si>
    <t>Sample 1</t>
  </si>
  <si>
    <t>A1</t>
  </si>
  <si>
    <t>Status</t>
  </si>
  <si>
    <t>Tm2</t>
  </si>
  <si>
    <t>Tm1</t>
  </si>
  <si>
    <t>Name</t>
  </si>
  <si>
    <t>Pos</t>
  </si>
  <si>
    <t>Color</t>
  </si>
  <si>
    <t>Include</t>
  </si>
  <si>
    <t>Experiment: 20190227_ppk_IA_IIA_IIC_Pancho  Selected Filter: SYBR Green I / HRM Dye (465-510)</t>
  </si>
  <si>
    <t>&gt; - Late Cp call (last five cycles) has higher uncertainty</t>
  </si>
  <si>
    <t>Standard</t>
  </si>
  <si>
    <t>Concentration</t>
  </si>
  <si>
    <t>Cp</t>
  </si>
  <si>
    <t>Mastermix 2</t>
  </si>
  <si>
    <t>Mastermix 3</t>
  </si>
  <si>
    <t>Cq Values</t>
  </si>
  <si>
    <t>Tm Values</t>
  </si>
  <si>
    <t>?</t>
  </si>
  <si>
    <t xml:space="preserve">Moya-2019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</si>
</sst>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0.00;\-###0.00"/>
    <numFmt numFmtId="165" formatCode="0.000"/>
    <numFmt numFmtId="166" formatCode="0.0%"/>
    <numFmt numFmtId="167" formatCode="0.0"/>
    <numFmt numFmtId="168" formatCode="0.0E+00"/>
    <numFmt numFmtId="169" formatCode="0.000000"/>
    <numFmt numFmtId="170" formatCode="0.0000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Microsoft Sans Serif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vertAlign val="subscript"/>
      <sz val="12"/>
      <color rgb="FF000000"/>
      <name val="Calibri (Body)"/>
    </font>
    <font>
      <sz val="10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3F3F3F"/>
      </left>
      <right style="medium">
        <color auto="1"/>
      </right>
      <top style="thin">
        <color rgb="FF3F3F3F"/>
      </top>
      <bottom style="medium">
        <color auto="1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4" applyNumberFormat="0" applyAlignment="0" applyProtection="0"/>
    <xf numFmtId="0" fontId="6" fillId="3" borderId="3" applyNumberFormat="0" applyAlignment="0" applyProtection="0"/>
    <xf numFmtId="0" fontId="7" fillId="0" borderId="5" applyNumberFormat="0" applyFill="0" applyAlignment="0" applyProtection="0"/>
    <xf numFmtId="0" fontId="1" fillId="4" borderId="6" applyNumberFormat="0" applyFont="0" applyAlignment="0" applyProtection="0"/>
    <xf numFmtId="0" fontId="8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20" fillId="0" borderId="0"/>
  </cellStyleXfs>
  <cellXfs count="219">
    <xf numFmtId="0" fontId="0" fillId="0" borderId="0" xfId="0"/>
    <xf numFmtId="0" fontId="11" fillId="0" borderId="0" xfId="0" applyFont="1"/>
    <xf numFmtId="49" fontId="12" fillId="0" borderId="0" xfId="0" applyNumberFormat="1" applyFont="1" applyAlignment="1">
      <alignment vertical="center"/>
    </xf>
    <xf numFmtId="0" fontId="11" fillId="0" borderId="8" xfId="0" applyFont="1" applyBorder="1" applyAlignment="1">
      <alignment horizontal="center"/>
    </xf>
    <xf numFmtId="49" fontId="14" fillId="0" borderId="9" xfId="0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 wrapText="1"/>
    </xf>
    <xf numFmtId="164" fontId="14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0" fontId="4" fillId="2" borderId="3" xfId="3"/>
    <xf numFmtId="0" fontId="0" fillId="0" borderId="0" xfId="0" applyFill="1"/>
    <xf numFmtId="14" fontId="0" fillId="0" borderId="0" xfId="0" applyNumberFormat="1" applyFill="1"/>
    <xf numFmtId="0" fontId="11" fillId="0" borderId="8" xfId="0" applyFont="1" applyBorder="1" applyAlignment="1">
      <alignment horizontal="center" wrapText="1"/>
    </xf>
    <xf numFmtId="0" fontId="17" fillId="7" borderId="10" xfId="0" applyFont="1" applyFill="1" applyBorder="1"/>
    <xf numFmtId="0" fontId="17" fillId="7" borderId="11" xfId="0" applyFont="1" applyFill="1" applyBorder="1"/>
    <xf numFmtId="0" fontId="11" fillId="0" borderId="12" xfId="0" applyFont="1" applyBorder="1"/>
    <xf numFmtId="0" fontId="11" fillId="0" borderId="13" xfId="0" applyFont="1" applyBorder="1"/>
    <xf numFmtId="1" fontId="11" fillId="0" borderId="12" xfId="0" applyNumberFormat="1" applyFont="1" applyBorder="1"/>
    <xf numFmtId="11" fontId="0" fillId="0" borderId="8" xfId="0" applyNumberFormat="1" applyBorder="1"/>
    <xf numFmtId="11" fontId="11" fillId="0" borderId="13" xfId="0" applyNumberFormat="1" applyFont="1" applyBorder="1"/>
    <xf numFmtId="1" fontId="11" fillId="8" borderId="12" xfId="0" applyNumberFormat="1" applyFont="1" applyFill="1" applyBorder="1"/>
    <xf numFmtId="11" fontId="11" fillId="6" borderId="13" xfId="0" applyNumberFormat="1" applyFont="1" applyFill="1" applyBorder="1"/>
    <xf numFmtId="0" fontId="11" fillId="9" borderId="0" xfId="0" applyFont="1" applyFill="1"/>
    <xf numFmtId="0" fontId="18" fillId="0" borderId="0" xfId="0" applyFont="1"/>
    <xf numFmtId="1" fontId="18" fillId="0" borderId="0" xfId="0" applyNumberFormat="1" applyFont="1"/>
    <xf numFmtId="0" fontId="9" fillId="10" borderId="10" xfId="0" applyFont="1" applyFill="1" applyBorder="1"/>
    <xf numFmtId="0" fontId="9" fillId="10" borderId="11" xfId="0" applyFont="1" applyFill="1" applyBorder="1"/>
    <xf numFmtId="0" fontId="0" fillId="0" borderId="12" xfId="0" applyBorder="1"/>
    <xf numFmtId="1" fontId="0" fillId="0" borderId="8" xfId="0" applyNumberFormat="1" applyBorder="1"/>
    <xf numFmtId="1" fontId="0" fillId="6" borderId="8" xfId="0" applyNumberFormat="1" applyFill="1" applyBorder="1"/>
    <xf numFmtId="11" fontId="0" fillId="6" borderId="8" xfId="0" applyNumberFormat="1" applyFill="1" applyBorder="1"/>
    <xf numFmtId="0" fontId="0" fillId="0" borderId="8" xfId="0" applyBorder="1"/>
    <xf numFmtId="0" fontId="0" fillId="11" borderId="0" xfId="0" applyFill="1"/>
    <xf numFmtId="167" fontId="11" fillId="0" borderId="0" xfId="0" applyNumberFormat="1" applyFont="1"/>
    <xf numFmtId="165" fontId="11" fillId="0" borderId="0" xfId="0" applyNumberFormat="1" applyFont="1"/>
    <xf numFmtId="14" fontId="11" fillId="0" borderId="0" xfId="0" applyNumberFormat="1" applyFont="1"/>
    <xf numFmtId="165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0" fontId="11" fillId="12" borderId="8" xfId="0" applyFont="1" applyFill="1" applyBorder="1" applyAlignment="1">
      <alignment horizontal="center"/>
    </xf>
    <xf numFmtId="167" fontId="11" fillId="12" borderId="8" xfId="0" applyNumberFormat="1" applyFont="1" applyFill="1" applyBorder="1" applyAlignment="1">
      <alignment horizontal="center"/>
    </xf>
    <xf numFmtId="14" fontId="11" fillId="12" borderId="8" xfId="0" applyNumberFormat="1" applyFont="1" applyFill="1" applyBorder="1" applyAlignment="1">
      <alignment horizontal="center"/>
    </xf>
    <xf numFmtId="167" fontId="11" fillId="0" borderId="8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21" fillId="0" borderId="0" xfId="10" applyFont="1"/>
    <xf numFmtId="0" fontId="21" fillId="13" borderId="0" xfId="10" applyFont="1" applyFill="1"/>
    <xf numFmtId="0" fontId="21" fillId="0" borderId="0" xfId="10" applyFont="1" applyAlignment="1">
      <alignment horizontal="right"/>
    </xf>
    <xf numFmtId="0" fontId="23" fillId="0" borderId="0" xfId="10" applyFont="1"/>
    <xf numFmtId="11" fontId="24" fillId="0" borderId="0" xfId="0" applyNumberFormat="1" applyFont="1" applyAlignment="1">
      <alignment horizontal="center" vertical="center"/>
    </xf>
    <xf numFmtId="11" fontId="24" fillId="14" borderId="0" xfId="0" applyNumberFormat="1" applyFont="1" applyFill="1" applyAlignment="1">
      <alignment horizontal="left" vertical="center"/>
    </xf>
    <xf numFmtId="11" fontId="24" fillId="14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1" fontId="24" fillId="0" borderId="15" xfId="0" applyNumberFormat="1" applyFont="1" applyBorder="1" applyAlignment="1">
      <alignment horizontal="center" vertical="center"/>
    </xf>
    <xf numFmtId="11" fontId="24" fillId="0" borderId="16" xfId="0" applyNumberFormat="1" applyFont="1" applyBorder="1" applyAlignment="1">
      <alignment horizontal="center" vertical="center"/>
    </xf>
    <xf numFmtId="11" fontId="24" fillId="0" borderId="17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1" fontId="24" fillId="0" borderId="19" xfId="0" applyNumberFormat="1" applyFont="1" applyBorder="1" applyAlignment="1">
      <alignment horizontal="center" vertical="center"/>
    </xf>
    <xf numFmtId="11" fontId="24" fillId="0" borderId="8" xfId="0" applyNumberFormat="1" applyFont="1" applyBorder="1" applyAlignment="1">
      <alignment horizontal="center" vertical="center"/>
    </xf>
    <xf numFmtId="11" fontId="24" fillId="0" borderId="14" xfId="0" applyNumberFormat="1" applyFont="1" applyBorder="1" applyAlignment="1">
      <alignment horizontal="center" vertical="center"/>
    </xf>
    <xf numFmtId="11" fontId="24" fillId="0" borderId="20" xfId="0" applyNumberFormat="1" applyFont="1" applyBorder="1" applyAlignment="1">
      <alignment horizontal="center" vertical="center"/>
    </xf>
    <xf numFmtId="11" fontId="24" fillId="0" borderId="21" xfId="0" applyNumberFormat="1" applyFont="1" applyBorder="1" applyAlignment="1">
      <alignment horizontal="center" vertical="center"/>
    </xf>
    <xf numFmtId="11" fontId="24" fillId="0" borderId="22" xfId="0" applyNumberFormat="1" applyFont="1" applyBorder="1" applyAlignment="1">
      <alignment horizontal="center" vertical="center"/>
    </xf>
    <xf numFmtId="11" fontId="24" fillId="0" borderId="23" xfId="0" applyNumberFormat="1" applyFont="1" applyBorder="1" applyAlignment="1">
      <alignment horizontal="center" vertical="center"/>
    </xf>
    <xf numFmtId="11" fontId="24" fillId="0" borderId="24" xfId="0" applyNumberFormat="1" applyFont="1" applyBorder="1" applyAlignment="1">
      <alignment horizontal="center" vertical="center"/>
    </xf>
    <xf numFmtId="11" fontId="24" fillId="0" borderId="25" xfId="0" applyNumberFormat="1" applyFont="1" applyBorder="1" applyAlignment="1">
      <alignment horizontal="center" vertical="center"/>
    </xf>
    <xf numFmtId="11" fontId="24" fillId="0" borderId="26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2" borderId="30" xfId="3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5" fillId="3" borderId="34" xfId="4" applyBorder="1"/>
    <xf numFmtId="0" fontId="5" fillId="3" borderId="35" xfId="4" applyBorder="1"/>
    <xf numFmtId="0" fontId="4" fillId="2" borderId="36" xfId="3" applyBorder="1"/>
    <xf numFmtId="0" fontId="5" fillId="3" borderId="37" xfId="4" applyBorder="1"/>
    <xf numFmtId="0" fontId="5" fillId="3" borderId="38" xfId="4" applyBorder="1"/>
    <xf numFmtId="0" fontId="0" fillId="0" borderId="39" xfId="0" applyBorder="1"/>
    <xf numFmtId="0" fontId="0" fillId="0" borderId="40" xfId="0" applyBorder="1"/>
    <xf numFmtId="0" fontId="22" fillId="0" borderId="0" xfId="10" applyFont="1" applyAlignment="1"/>
    <xf numFmtId="0" fontId="6" fillId="3" borderId="3" xfId="5"/>
    <xf numFmtId="0" fontId="9" fillId="0" borderId="0" xfId="0" applyFont="1"/>
    <xf numFmtId="0" fontId="6" fillId="3" borderId="41" xfId="5" applyBorder="1"/>
    <xf numFmtId="0" fontId="9" fillId="0" borderId="42" xfId="0" applyFont="1" applyBorder="1"/>
    <xf numFmtId="0" fontId="17" fillId="0" borderId="39" xfId="0" applyFont="1" applyBorder="1"/>
    <xf numFmtId="0" fontId="17" fillId="0" borderId="33" xfId="0" applyFont="1" applyBorder="1"/>
    <xf numFmtId="0" fontId="11" fillId="0" borderId="32" xfId="0" applyFont="1" applyBorder="1"/>
    <xf numFmtId="0" fontId="17" fillId="0" borderId="43" xfId="0" applyFont="1" applyBorder="1"/>
    <xf numFmtId="0" fontId="17" fillId="0" borderId="31" xfId="0" applyFont="1" applyBorder="1"/>
    <xf numFmtId="0" fontId="0" fillId="0" borderId="45" xfId="0" applyBorder="1"/>
    <xf numFmtId="0" fontId="0" fillId="0" borderId="44" xfId="0" applyBorder="1"/>
    <xf numFmtId="0" fontId="17" fillId="0" borderId="33" xfId="0" applyFont="1" applyBorder="1" applyAlignment="1">
      <alignment horizontal="left"/>
    </xf>
    <xf numFmtId="11" fontId="6" fillId="3" borderId="3" xfId="5" applyNumberFormat="1" applyAlignment="1">
      <alignment vertical="center"/>
    </xf>
    <xf numFmtId="11" fontId="6" fillId="3" borderId="3" xfId="5" applyNumberFormat="1"/>
    <xf numFmtId="168" fontId="6" fillId="3" borderId="3" xfId="5" applyNumberFormat="1"/>
    <xf numFmtId="0" fontId="8" fillId="0" borderId="0" xfId="8" applyFill="1"/>
    <xf numFmtId="0" fontId="3" fillId="0" borderId="2" xfId="2" applyFill="1" applyAlignment="1" applyProtection="1">
      <alignment horizontal="center" vertical="center" wrapText="1"/>
      <protection locked="0"/>
    </xf>
    <xf numFmtId="0" fontId="3" fillId="0" borderId="2" xfId="2" applyFill="1" applyAlignment="1" applyProtection="1">
      <alignment horizontal="center" vertical="center"/>
      <protection locked="0"/>
    </xf>
    <xf numFmtId="164" fontId="6" fillId="3" borderId="3" xfId="5" applyNumberFormat="1" applyAlignment="1">
      <alignment vertical="center"/>
    </xf>
    <xf numFmtId="11" fontId="7" fillId="0" borderId="5" xfId="6" applyNumberFormat="1" applyAlignment="1">
      <alignment vertical="center"/>
    </xf>
    <xf numFmtId="0" fontId="6" fillId="3" borderId="3" xfId="5" applyAlignment="1">
      <alignment vertical="center"/>
    </xf>
    <xf numFmtId="2" fontId="6" fillId="3" borderId="3" xfId="5" applyNumberFormat="1"/>
    <xf numFmtId="9" fontId="6" fillId="3" borderId="0" xfId="5" applyNumberFormat="1" applyBorder="1"/>
    <xf numFmtId="0" fontId="11" fillId="0" borderId="40" xfId="0" applyFont="1" applyBorder="1"/>
    <xf numFmtId="0" fontId="11" fillId="0" borderId="42" xfId="0" applyFont="1" applyBorder="1"/>
    <xf numFmtId="0" fontId="0" fillId="6" borderId="33" xfId="0" applyFill="1" applyBorder="1"/>
    <xf numFmtId="166" fontId="6" fillId="3" borderId="32" xfId="5" applyNumberFormat="1" applyBorder="1" applyAlignment="1">
      <alignment horizontal="left"/>
    </xf>
    <xf numFmtId="0" fontId="25" fillId="0" borderId="42" xfId="0" applyFont="1" applyBorder="1"/>
    <xf numFmtId="0" fontId="26" fillId="0" borderId="39" xfId="0" applyFont="1" applyBorder="1"/>
    <xf numFmtId="1" fontId="6" fillId="3" borderId="3" xfId="5" applyNumberFormat="1" applyBorder="1"/>
    <xf numFmtId="1" fontId="6" fillId="3" borderId="36" xfId="5" applyNumberFormat="1" applyBorder="1"/>
    <xf numFmtId="0" fontId="6" fillId="3" borderId="3" xfId="5" applyBorder="1"/>
    <xf numFmtId="165" fontId="6" fillId="3" borderId="46" xfId="5" applyNumberFormat="1" applyBorder="1"/>
    <xf numFmtId="2" fontId="6" fillId="3" borderId="3" xfId="5" applyNumberFormat="1" applyAlignment="1">
      <alignment horizontal="center"/>
    </xf>
    <xf numFmtId="0" fontId="1" fillId="5" borderId="8" xfId="9" applyBorder="1"/>
    <xf numFmtId="0" fontId="9" fillId="5" borderId="8" xfId="9" applyFont="1" applyBorder="1"/>
    <xf numFmtId="0" fontId="10" fillId="0" borderId="0" xfId="0" applyFont="1"/>
    <xf numFmtId="0" fontId="0" fillId="0" borderId="29" xfId="0" applyBorder="1" applyAlignment="1"/>
    <xf numFmtId="0" fontId="0" fillId="0" borderId="14" xfId="0" applyBorder="1" applyAlignment="1"/>
    <xf numFmtId="0" fontId="0" fillId="0" borderId="21" xfId="0" applyBorder="1" applyAlignme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11" fontId="24" fillId="15" borderId="24" xfId="0" applyNumberFormat="1" applyFont="1" applyFill="1" applyBorder="1" applyAlignment="1">
      <alignment horizontal="center" vertical="center"/>
    </xf>
    <xf numFmtId="11" fontId="24" fillId="15" borderId="23" xfId="0" applyNumberFormat="1" applyFont="1" applyFill="1" applyBorder="1" applyAlignment="1">
      <alignment horizontal="center" vertical="center"/>
    </xf>
    <xf numFmtId="11" fontId="24" fillId="15" borderId="22" xfId="0" applyNumberFormat="1" applyFont="1" applyFill="1" applyBorder="1" applyAlignment="1">
      <alignment horizontal="center" vertical="center"/>
    </xf>
    <xf numFmtId="11" fontId="24" fillId="15" borderId="20" xfId="0" applyNumberFormat="1" applyFont="1" applyFill="1" applyBorder="1" applyAlignment="1">
      <alignment horizontal="center" vertical="center"/>
    </xf>
    <xf numFmtId="11" fontId="24" fillId="15" borderId="8" xfId="0" applyNumberFormat="1" applyFont="1" applyFill="1" applyBorder="1" applyAlignment="1">
      <alignment horizontal="center" vertical="center"/>
    </xf>
    <xf numFmtId="11" fontId="24" fillId="15" borderId="19" xfId="0" applyNumberFormat="1" applyFont="1" applyFill="1" applyBorder="1" applyAlignment="1">
      <alignment horizontal="center" vertical="center"/>
    </xf>
    <xf numFmtId="11" fontId="24" fillId="15" borderId="17" xfId="0" applyNumberFormat="1" applyFont="1" applyFill="1" applyBorder="1" applyAlignment="1">
      <alignment horizontal="center" vertical="center"/>
    </xf>
    <xf numFmtId="11" fontId="24" fillId="15" borderId="16" xfId="0" applyNumberFormat="1" applyFont="1" applyFill="1" applyBorder="1" applyAlignment="1">
      <alignment horizontal="center" vertical="center"/>
    </xf>
    <xf numFmtId="11" fontId="24" fillId="15" borderId="15" xfId="0" applyNumberFormat="1" applyFont="1" applyFill="1" applyBorder="1" applyAlignment="1">
      <alignment horizontal="center" vertical="center"/>
    </xf>
    <xf numFmtId="11" fontId="24" fillId="15" borderId="26" xfId="0" applyNumberFormat="1" applyFont="1" applyFill="1" applyBorder="1" applyAlignment="1">
      <alignment horizontal="center" vertical="center"/>
    </xf>
    <xf numFmtId="11" fontId="24" fillId="15" borderId="21" xfId="0" applyNumberFormat="1" applyFont="1" applyFill="1" applyBorder="1" applyAlignment="1">
      <alignment horizontal="center" vertical="center"/>
    </xf>
    <xf numFmtId="167" fontId="1" fillId="5" borderId="8" xfId="9" applyNumberFormat="1" applyBorder="1"/>
    <xf numFmtId="0" fontId="1" fillId="5" borderId="21" xfId="9" applyBorder="1"/>
    <xf numFmtId="0" fontId="1" fillId="5" borderId="14" xfId="9" applyBorder="1"/>
    <xf numFmtId="167" fontId="1" fillId="5" borderId="27" xfId="9" applyNumberFormat="1" applyBorder="1"/>
    <xf numFmtId="167" fontId="1" fillId="5" borderId="47" xfId="9" applyNumberFormat="1" applyBorder="1"/>
    <xf numFmtId="1" fontId="11" fillId="12" borderId="8" xfId="0" applyNumberFormat="1" applyFont="1" applyFill="1" applyBorder="1" applyAlignment="1">
      <alignment horizontal="center"/>
    </xf>
    <xf numFmtId="1" fontId="17" fillId="12" borderId="8" xfId="0" applyNumberFormat="1" applyFont="1" applyFill="1" applyBorder="1" applyAlignment="1">
      <alignment horizontal="center"/>
    </xf>
    <xf numFmtId="1" fontId="17" fillId="0" borderId="8" xfId="0" applyNumberFormat="1" applyFont="1" applyBorder="1" applyAlignment="1">
      <alignment horizontal="center"/>
    </xf>
    <xf numFmtId="0" fontId="0" fillId="16" borderId="0" xfId="0" applyFill="1"/>
    <xf numFmtId="0" fontId="0" fillId="0" borderId="18" xfId="0" applyBorder="1"/>
    <xf numFmtId="11" fontId="0" fillId="0" borderId="21" xfId="0" applyNumberFormat="1" applyBorder="1"/>
    <xf numFmtId="11" fontId="0" fillId="6" borderId="21" xfId="0" applyNumberFormat="1" applyFill="1" applyBorder="1"/>
    <xf numFmtId="0" fontId="0" fillId="0" borderId="21" xfId="0" applyBorder="1"/>
    <xf numFmtId="1" fontId="0" fillId="17" borderId="8" xfId="0" applyNumberFormat="1" applyFill="1" applyBorder="1"/>
    <xf numFmtId="11" fontId="0" fillId="17" borderId="21" xfId="0" applyNumberFormat="1" applyFill="1" applyBorder="1"/>
    <xf numFmtId="0" fontId="9" fillId="15" borderId="10" xfId="0" applyFont="1" applyFill="1" applyBorder="1"/>
    <xf numFmtId="0" fontId="9" fillId="15" borderId="52" xfId="0" applyFont="1" applyFill="1" applyBorder="1"/>
    <xf numFmtId="1" fontId="11" fillId="0" borderId="12" xfId="0" applyNumberFormat="1" applyFont="1" applyFill="1" applyBorder="1"/>
    <xf numFmtId="11" fontId="11" fillId="0" borderId="13" xfId="0" applyNumberFormat="1" applyFont="1" applyFill="1" applyBorder="1"/>
    <xf numFmtId="1" fontId="11" fillId="6" borderId="12" xfId="0" applyNumberFormat="1" applyFont="1" applyFill="1" applyBorder="1"/>
    <xf numFmtId="167" fontId="9" fillId="0" borderId="0" xfId="0" applyNumberFormat="1" applyFont="1"/>
    <xf numFmtId="1" fontId="4" fillId="2" borderId="3" xfId="3" applyNumberFormat="1"/>
    <xf numFmtId="0" fontId="0" fillId="0" borderId="0" xfId="0" applyBorder="1" applyAlignment="1"/>
    <xf numFmtId="0" fontId="11" fillId="0" borderId="0" xfId="0" applyFont="1" applyBorder="1"/>
    <xf numFmtId="11" fontId="24" fillId="0" borderId="53" xfId="0" applyNumberFormat="1" applyFont="1" applyBorder="1" applyAlignment="1">
      <alignment horizontal="center" vertical="center"/>
    </xf>
    <xf numFmtId="0" fontId="0" fillId="0" borderId="8" xfId="0" applyBorder="1" applyAlignment="1"/>
    <xf numFmtId="11" fontId="24" fillId="15" borderId="54" xfId="0" applyNumberFormat="1" applyFont="1" applyFill="1" applyBorder="1" applyAlignment="1">
      <alignment horizontal="center" vertical="center"/>
    </xf>
    <xf numFmtId="0" fontId="0" fillId="15" borderId="8" xfId="0" applyFill="1" applyBorder="1" applyAlignment="1"/>
    <xf numFmtId="0" fontId="11" fillId="15" borderId="8" xfId="0" applyFont="1" applyFill="1" applyBorder="1"/>
    <xf numFmtId="2" fontId="0" fillId="0" borderId="48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24" fillId="15" borderId="24" xfId="0" applyNumberFormat="1" applyFont="1" applyFill="1" applyBorder="1" applyAlignment="1">
      <alignment horizontal="center" vertical="center"/>
    </xf>
    <xf numFmtId="2" fontId="24" fillId="15" borderId="23" xfId="0" applyNumberFormat="1" applyFont="1" applyFill="1" applyBorder="1" applyAlignment="1">
      <alignment horizontal="center" vertical="center"/>
    </xf>
    <xf numFmtId="2" fontId="24" fillId="15" borderId="22" xfId="0" applyNumberFormat="1" applyFont="1" applyFill="1" applyBorder="1" applyAlignment="1">
      <alignment horizontal="center" vertical="center"/>
    </xf>
    <xf numFmtId="2" fontId="24" fillId="0" borderId="24" xfId="0" applyNumberFormat="1" applyFont="1" applyBorder="1" applyAlignment="1">
      <alignment horizontal="center" vertical="center"/>
    </xf>
    <xf numFmtId="2" fontId="24" fillId="0" borderId="23" xfId="0" applyNumberFormat="1" applyFont="1" applyBorder="1" applyAlignment="1">
      <alignment horizontal="center" vertical="center"/>
    </xf>
    <xf numFmtId="2" fontId="24" fillId="0" borderId="22" xfId="0" applyNumberFormat="1" applyFont="1" applyBorder="1" applyAlignment="1">
      <alignment horizontal="center" vertical="center"/>
    </xf>
    <xf numFmtId="2" fontId="24" fillId="15" borderId="26" xfId="0" applyNumberFormat="1" applyFont="1" applyFill="1" applyBorder="1" applyAlignment="1">
      <alignment horizontal="center" vertical="center"/>
    </xf>
    <xf numFmtId="2" fontId="24" fillId="15" borderId="20" xfId="0" applyNumberFormat="1" applyFont="1" applyFill="1" applyBorder="1" applyAlignment="1">
      <alignment horizontal="center" vertical="center"/>
    </xf>
    <xf numFmtId="2" fontId="24" fillId="15" borderId="8" xfId="0" applyNumberFormat="1" applyFont="1" applyFill="1" applyBorder="1" applyAlignment="1">
      <alignment horizontal="center" vertical="center"/>
    </xf>
    <xf numFmtId="2" fontId="24" fillId="15" borderId="19" xfId="0" applyNumberFormat="1" applyFont="1" applyFill="1" applyBorder="1" applyAlignment="1">
      <alignment horizontal="center" vertical="center"/>
    </xf>
    <xf numFmtId="2" fontId="24" fillId="0" borderId="20" xfId="0" applyNumberFormat="1" applyFont="1" applyBorder="1" applyAlignment="1">
      <alignment horizontal="center" vertical="center"/>
    </xf>
    <xf numFmtId="2" fontId="24" fillId="0" borderId="8" xfId="0" applyNumberFormat="1" applyFont="1" applyBorder="1" applyAlignment="1">
      <alignment horizontal="center" vertical="center"/>
    </xf>
    <xf numFmtId="2" fontId="24" fillId="0" borderId="19" xfId="0" applyNumberFormat="1" applyFont="1" applyBorder="1" applyAlignment="1">
      <alignment horizontal="center" vertical="center"/>
    </xf>
    <xf numFmtId="2" fontId="24" fillId="15" borderId="21" xfId="0" applyNumberFormat="1" applyFont="1" applyFill="1" applyBorder="1" applyAlignment="1">
      <alignment horizontal="center" vertical="center"/>
    </xf>
    <xf numFmtId="2" fontId="24" fillId="15" borderId="17" xfId="0" applyNumberFormat="1" applyFont="1" applyFill="1" applyBorder="1" applyAlignment="1">
      <alignment horizontal="center" vertical="center"/>
    </xf>
    <xf numFmtId="2" fontId="24" fillId="15" borderId="16" xfId="0" applyNumberFormat="1" applyFont="1" applyFill="1" applyBorder="1" applyAlignment="1">
      <alignment horizontal="center" vertical="center"/>
    </xf>
    <xf numFmtId="2" fontId="24" fillId="15" borderId="15" xfId="0" applyNumberFormat="1" applyFont="1" applyFill="1" applyBorder="1" applyAlignment="1">
      <alignment horizontal="center" vertical="center"/>
    </xf>
    <xf numFmtId="2" fontId="24" fillId="0" borderId="25" xfId="0" applyNumberFormat="1" applyFont="1" applyBorder="1" applyAlignment="1">
      <alignment horizontal="center" vertical="center"/>
    </xf>
    <xf numFmtId="2" fontId="24" fillId="0" borderId="26" xfId="0" applyNumberFormat="1" applyFont="1" applyBorder="1" applyAlignment="1">
      <alignment horizontal="center" vertical="center"/>
    </xf>
    <xf numFmtId="2" fontId="24" fillId="0" borderId="14" xfId="0" applyNumberFormat="1" applyFont="1" applyBorder="1" applyAlignment="1">
      <alignment horizontal="center" vertical="center"/>
    </xf>
    <xf numFmtId="2" fontId="24" fillId="0" borderId="21" xfId="0" applyNumberFormat="1" applyFont="1" applyBorder="1" applyAlignment="1">
      <alignment horizontal="center" vertical="center"/>
    </xf>
    <xf numFmtId="2" fontId="24" fillId="0" borderId="17" xfId="0" applyNumberFormat="1" applyFont="1" applyBorder="1" applyAlignment="1">
      <alignment horizontal="center" vertical="center"/>
    </xf>
    <xf numFmtId="2" fontId="24" fillId="0" borderId="16" xfId="0" applyNumberFormat="1" applyFont="1" applyBorder="1" applyAlignment="1">
      <alignment horizontal="center" vertical="center"/>
    </xf>
    <xf numFmtId="2" fontId="24" fillId="0" borderId="15" xfId="0" applyNumberFormat="1" applyFont="1" applyBorder="1" applyAlignment="1">
      <alignment horizontal="center" vertical="center"/>
    </xf>
    <xf numFmtId="2" fontId="24" fillId="15" borderId="54" xfId="0" applyNumberFormat="1" applyFont="1" applyFill="1" applyBorder="1" applyAlignment="1">
      <alignment horizontal="center" vertical="center"/>
    </xf>
    <xf numFmtId="2" fontId="24" fillId="0" borderId="53" xfId="0" applyNumberFormat="1" applyFont="1" applyBorder="1" applyAlignment="1">
      <alignment horizontal="center" vertical="center"/>
    </xf>
    <xf numFmtId="2" fontId="0" fillId="0" borderId="51" xfId="0" applyNumberFormat="1" applyBorder="1" applyAlignment="1">
      <alignment horizontal="center"/>
    </xf>
    <xf numFmtId="2" fontId="4" fillId="2" borderId="3" xfId="3" applyNumberFormat="1"/>
    <xf numFmtId="169" fontId="6" fillId="3" borderId="3" xfId="5" applyNumberFormat="1" applyBorder="1"/>
    <xf numFmtId="170" fontId="6" fillId="3" borderId="3" xfId="5" applyNumberFormat="1" applyBorder="1"/>
    <xf numFmtId="165" fontId="6" fillId="3" borderId="3" xfId="5" applyNumberFormat="1" applyBorder="1"/>
    <xf numFmtId="2" fontId="6" fillId="3" borderId="3" xfId="5" applyNumberFormat="1" applyBorder="1"/>
    <xf numFmtId="2" fontId="6" fillId="3" borderId="46" xfId="5" applyNumberFormat="1" applyBorder="1"/>
    <xf numFmtId="167" fontId="6" fillId="3" borderId="3" xfId="5" applyNumberFormat="1" applyBorder="1"/>
    <xf numFmtId="170" fontId="6" fillId="3" borderId="46" xfId="5" applyNumberFormat="1" applyBorder="1"/>
    <xf numFmtId="2" fontId="27" fillId="2" borderId="3" xfId="3" applyNumberFormat="1" applyFont="1"/>
    <xf numFmtId="164" fontId="7" fillId="3" borderId="3" xfId="5" applyNumberFormat="1" applyFont="1" applyAlignment="1">
      <alignment vertical="center"/>
    </xf>
    <xf numFmtId="164" fontId="6" fillId="3" borderId="3" xfId="5" applyNumberFormat="1" applyFont="1" applyAlignment="1">
      <alignment vertical="center"/>
    </xf>
    <xf numFmtId="166" fontId="6" fillId="3" borderId="32" xfId="5" applyNumberFormat="1" applyBorder="1" applyAlignment="1">
      <alignment horizontal="right"/>
    </xf>
    <xf numFmtId="0" fontId="8" fillId="0" borderId="0" xfId="8" applyAlignment="1">
      <alignment horizontal="center"/>
    </xf>
    <xf numFmtId="164" fontId="14" fillId="0" borderId="9" xfId="0" applyNumberFormat="1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22" fillId="0" borderId="0" xfId="10" applyFont="1" applyAlignment="1">
      <alignment horizontal="center"/>
    </xf>
    <xf numFmtId="0" fontId="0" fillId="4" borderId="6" xfId="7" applyFont="1" applyAlignment="1">
      <alignment horizontal="left"/>
    </xf>
    <xf numFmtId="14" fontId="0" fillId="4" borderId="6" xfId="7" applyNumberFormat="1" applyFont="1" applyAlignment="1">
      <alignment horizontal="left"/>
    </xf>
    <xf numFmtId="0" fontId="9" fillId="5" borderId="21" xfId="9" applyFont="1" applyBorder="1" applyAlignment="1">
      <alignment horizontal="center"/>
    </xf>
    <xf numFmtId="0" fontId="9" fillId="5" borderId="29" xfId="9" applyFont="1" applyBorder="1" applyAlignment="1">
      <alignment horizontal="center"/>
    </xf>
    <xf numFmtId="0" fontId="9" fillId="5" borderId="14" xfId="9" applyFont="1" applyBorder="1" applyAlignment="1">
      <alignment horizontal="center"/>
    </xf>
  </cellXfs>
  <cellStyles count="11">
    <cellStyle name="60% - Accent4" xfId="9" builtinId="44"/>
    <cellStyle name="Calculation" xfId="5" builtinId="22"/>
    <cellStyle name="Explanatory Text" xfId="8" builtinId="53"/>
    <cellStyle name="Heading 1" xfId="1" builtinId="16"/>
    <cellStyle name="Heading 2" xfId="2" builtinId="17"/>
    <cellStyle name="Input" xfId="3" builtinId="20"/>
    <cellStyle name="Linked Cell" xfId="6" builtinId="24"/>
    <cellStyle name="Normal" xfId="0" builtinId="0"/>
    <cellStyle name="Normal 2" xfId="10" xr:uid="{1765B618-711C-0A4D-8CEF-712115A38CA7}"/>
    <cellStyle name="Note" xfId="7" builtinId="1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4152530572902502"/>
                  <c:y val="0.376356999541333"/>
                </c:manualLayout>
              </c:layout>
              <c:numFmt formatCode="General" sourceLinked="0"/>
            </c:trendlineLbl>
          </c:trendline>
          <c:xVal>
            <c:numRef>
              <c:f>Calibrations!$G$3:$G$8</c:f>
              <c:numCache>
                <c:formatCode>General</c:formatCode>
                <c:ptCount val="6"/>
                <c:pt idx="0">
                  <c:v>7.0375534763651793</c:v>
                </c:pt>
                <c:pt idx="1">
                  <c:v>6.0375534763651793</c:v>
                </c:pt>
                <c:pt idx="2">
                  <c:v>5.0375534763651793</c:v>
                </c:pt>
                <c:pt idx="3">
                  <c:v>4.0375534763651793</c:v>
                </c:pt>
                <c:pt idx="4">
                  <c:v>3.0375534763651788</c:v>
                </c:pt>
                <c:pt idx="5">
                  <c:v>2.0375534763651788</c:v>
                </c:pt>
              </c:numCache>
            </c:numRef>
          </c:xVal>
          <c:yVal>
            <c:numRef>
              <c:f>Calibrations!$E$3:$E$8</c:f>
              <c:numCache>
                <c:formatCode>###0.00;\-###0.00</c:formatCode>
                <c:ptCount val="6"/>
                <c:pt idx="0">
                  <c:v>16.753333333333334</c:v>
                </c:pt>
                <c:pt idx="1">
                  <c:v>18.823333333333334</c:v>
                </c:pt>
                <c:pt idx="2">
                  <c:v>22.853333333333335</c:v>
                </c:pt>
                <c:pt idx="3">
                  <c:v>26.649999999999995</c:v>
                </c:pt>
                <c:pt idx="4">
                  <c:v>30.51</c:v>
                </c:pt>
                <c:pt idx="5">
                  <c:v>34.496666666666663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8-1C49-A18D-E311684D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60880"/>
        <c:axId val="844068368"/>
      </c:scatterChart>
      <c:valAx>
        <c:axId val="8440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log(SQ)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4068368"/>
        <c:crosses val="autoZero"/>
        <c:crossBetween val="midCat"/>
      </c:valAx>
      <c:valAx>
        <c:axId val="84406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Cq</a:t>
                </a:r>
              </a:p>
            </c:rich>
          </c:tx>
          <c:overlay val="0"/>
        </c:title>
        <c:numFmt formatCode="###0.00;\-###0.00" sourceLinked="1"/>
        <c:majorTickMark val="out"/>
        <c:minorTickMark val="none"/>
        <c:tickLblPos val="nextTo"/>
        <c:crossAx val="84406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4152530572902502"/>
                  <c:y val="0.376356999541333"/>
                </c:manualLayout>
              </c:layout>
              <c:numFmt formatCode="General" sourceLinked="0"/>
            </c:trendlineLbl>
          </c:trendline>
          <c:xVal>
            <c:numRef>
              <c:f>Calibrations!$G$35:$G$40</c:f>
              <c:numCache>
                <c:formatCode>General</c:formatCode>
                <c:ptCount val="6"/>
                <c:pt idx="0">
                  <c:v>7.0616871560818986</c:v>
                </c:pt>
                <c:pt idx="1">
                  <c:v>6.0616871560818986</c:v>
                </c:pt>
                <c:pt idx="2">
                  <c:v>5.0616871560818986</c:v>
                </c:pt>
                <c:pt idx="3">
                  <c:v>4.0616871560818986</c:v>
                </c:pt>
                <c:pt idx="4">
                  <c:v>3.0616871560818986</c:v>
                </c:pt>
                <c:pt idx="5">
                  <c:v>2.0616871560818986</c:v>
                </c:pt>
              </c:numCache>
            </c:numRef>
          </c:xVal>
          <c:yVal>
            <c:numRef>
              <c:f>Calibrations!$E$35:$E$40</c:f>
              <c:numCache>
                <c:formatCode>###0.00;\-###0.00</c:formatCode>
                <c:ptCount val="6"/>
                <c:pt idx="0">
                  <c:v>13.256666666666666</c:v>
                </c:pt>
                <c:pt idx="1">
                  <c:v>16.673333333333332</c:v>
                </c:pt>
                <c:pt idx="2">
                  <c:v>20.02</c:v>
                </c:pt>
                <c:pt idx="3">
                  <c:v>23.456666666666667</c:v>
                </c:pt>
                <c:pt idx="4">
                  <c:v>26.66</c:v>
                </c:pt>
                <c:pt idx="5">
                  <c:v>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B244-B61D-ED280FA1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60880"/>
        <c:axId val="844068368"/>
      </c:scatterChart>
      <c:valAx>
        <c:axId val="8440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log(SQ)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4068368"/>
        <c:crosses val="autoZero"/>
        <c:crossBetween val="midCat"/>
      </c:valAx>
      <c:valAx>
        <c:axId val="84406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Cq</a:t>
                </a:r>
              </a:p>
            </c:rich>
          </c:tx>
          <c:overlay val="0"/>
        </c:title>
        <c:numFmt formatCode="###0.00;\-###0.00" sourceLinked="1"/>
        <c:majorTickMark val="out"/>
        <c:minorTickMark val="none"/>
        <c:tickLblPos val="nextTo"/>
        <c:crossAx val="84406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4152530572902502"/>
                  <c:y val="0.376356999541333"/>
                </c:manualLayout>
              </c:layout>
              <c:numFmt formatCode="General" sourceLinked="0"/>
            </c:trendlineLbl>
          </c:trendline>
          <c:xVal>
            <c:numRef>
              <c:f>Calibrations!$G$67:$G$73</c:f>
              <c:numCache>
                <c:formatCode>General</c:formatCode>
                <c:ptCount val="7"/>
                <c:pt idx="0">
                  <c:v>7.9618327624270604</c:v>
                </c:pt>
                <c:pt idx="1">
                  <c:v>6.9618327624270604</c:v>
                </c:pt>
                <c:pt idx="2">
                  <c:v>5.9618327624270604</c:v>
                </c:pt>
                <c:pt idx="4">
                  <c:v>3.9618327624270604</c:v>
                </c:pt>
                <c:pt idx="5">
                  <c:v>2.9618327624270604</c:v>
                </c:pt>
                <c:pt idx="6">
                  <c:v>1.9618327624270606</c:v>
                </c:pt>
              </c:numCache>
            </c:numRef>
          </c:xVal>
          <c:yVal>
            <c:numRef>
              <c:f>Calibrations!$E$67:$E$73</c:f>
              <c:numCache>
                <c:formatCode>###0.00;\-###0.00</c:formatCode>
                <c:ptCount val="7"/>
                <c:pt idx="0">
                  <c:v>9.7099999999999991</c:v>
                </c:pt>
                <c:pt idx="1">
                  <c:v>13.030000000000001</c:v>
                </c:pt>
                <c:pt idx="2">
                  <c:v>16.513333333333332</c:v>
                </c:pt>
                <c:pt idx="4">
                  <c:v>24.063333333333333</c:v>
                </c:pt>
                <c:pt idx="5">
                  <c:v>27.256666666666664</c:v>
                </c:pt>
                <c:pt idx="6">
                  <c:v>29.659999999999997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9-804C-A3D2-D2E58618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60880"/>
        <c:axId val="844068368"/>
      </c:scatterChart>
      <c:valAx>
        <c:axId val="84406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log(SQ)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4068368"/>
        <c:crosses val="autoZero"/>
        <c:crossBetween val="midCat"/>
      </c:valAx>
      <c:valAx>
        <c:axId val="84406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Cq</a:t>
                </a:r>
              </a:p>
            </c:rich>
          </c:tx>
          <c:overlay val="0"/>
        </c:title>
        <c:numFmt formatCode="###0.00;\-###0.00" sourceLinked="1"/>
        <c:majorTickMark val="out"/>
        <c:minorTickMark val="none"/>
        <c:tickLblPos val="nextTo"/>
        <c:crossAx val="84406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491824564332E-2"/>
          <c:y val="4.0498582677165301E-2"/>
          <c:w val="0.89868242288746703"/>
          <c:h val="0.880540142762529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'[1]Cq Data '!$O$4:$O$22</c:f>
                <c:numCache>
                  <c:formatCode>General</c:formatCode>
                  <c:ptCount val="19"/>
                  <c:pt idx="0">
                    <c:v>6429.5293254106091</c:v>
                  </c:pt>
                  <c:pt idx="1">
                    <c:v>1899.7165816042645</c:v>
                  </c:pt>
                  <c:pt idx="2">
                    <c:v>756.97695899305211</c:v>
                  </c:pt>
                  <c:pt idx="3">
                    <c:v>2515.0317033558081</c:v>
                  </c:pt>
                  <c:pt idx="4">
                    <c:v>1775.2595089720733</c:v>
                  </c:pt>
                  <c:pt idx="5">
                    <c:v>742.09534261752106</c:v>
                  </c:pt>
                  <c:pt idx="6">
                    <c:v>1336.618930980909</c:v>
                  </c:pt>
                  <c:pt idx="7">
                    <c:v>68.686520815758371</c:v>
                  </c:pt>
                  <c:pt idx="8">
                    <c:v>1621.4779125642958</c:v>
                  </c:pt>
                  <c:pt idx="9">
                    <c:v>840.27274466649465</c:v>
                  </c:pt>
                  <c:pt idx="10">
                    <c:v>3089.068844552492</c:v>
                  </c:pt>
                  <c:pt idx="11">
                    <c:v>1124.0109573106504</c:v>
                  </c:pt>
                  <c:pt idx="12">
                    <c:v>1298.1794544979659</c:v>
                  </c:pt>
                  <c:pt idx="13">
                    <c:v>1934.7211667318079</c:v>
                  </c:pt>
                  <c:pt idx="14">
                    <c:v>2346.729883578208</c:v>
                  </c:pt>
                  <c:pt idx="15">
                    <c:v>9704.3677210667247</c:v>
                  </c:pt>
                  <c:pt idx="16">
                    <c:v>22619.790391177496</c:v>
                  </c:pt>
                  <c:pt idx="17">
                    <c:v>21185.514355970423</c:v>
                  </c:pt>
                  <c:pt idx="18">
                    <c:v>9807.3639503539835</c:v>
                  </c:pt>
                </c:numCache>
              </c:numRef>
            </c:plus>
            <c:minus>
              <c:numRef>
                <c:f>'[1]Cq Data '!$O$4:$O$22</c:f>
                <c:numCache>
                  <c:formatCode>General</c:formatCode>
                  <c:ptCount val="19"/>
                  <c:pt idx="0">
                    <c:v>6429.5293254106091</c:v>
                  </c:pt>
                  <c:pt idx="1">
                    <c:v>1899.7165816042645</c:v>
                  </c:pt>
                  <c:pt idx="2">
                    <c:v>756.97695899305211</c:v>
                  </c:pt>
                  <c:pt idx="3">
                    <c:v>2515.0317033558081</c:v>
                  </c:pt>
                  <c:pt idx="4">
                    <c:v>1775.2595089720733</c:v>
                  </c:pt>
                  <c:pt idx="5">
                    <c:v>742.09534261752106</c:v>
                  </c:pt>
                  <c:pt idx="6">
                    <c:v>1336.618930980909</c:v>
                  </c:pt>
                  <c:pt idx="7">
                    <c:v>68.686520815758371</c:v>
                  </c:pt>
                  <c:pt idx="8">
                    <c:v>1621.4779125642958</c:v>
                  </c:pt>
                  <c:pt idx="9">
                    <c:v>840.27274466649465</c:v>
                  </c:pt>
                  <c:pt idx="10">
                    <c:v>3089.068844552492</c:v>
                  </c:pt>
                  <c:pt idx="11">
                    <c:v>1124.0109573106504</c:v>
                  </c:pt>
                  <c:pt idx="12">
                    <c:v>1298.1794544979659</c:v>
                  </c:pt>
                  <c:pt idx="13">
                    <c:v>1934.7211667318079</c:v>
                  </c:pt>
                  <c:pt idx="14">
                    <c:v>2346.729883578208</c:v>
                  </c:pt>
                  <c:pt idx="15">
                    <c:v>9704.3677210667247</c:v>
                  </c:pt>
                  <c:pt idx="16">
                    <c:v>22619.790391177496</c:v>
                  </c:pt>
                  <c:pt idx="17">
                    <c:v>21185.514355970423</c:v>
                  </c:pt>
                  <c:pt idx="18">
                    <c:v>9807.3639503539835</c:v>
                  </c:pt>
                </c:numCache>
              </c:numRef>
            </c:minus>
          </c:errBars>
          <c:cat>
            <c:numRef>
              <c:f>'Cq data'!$C$4:$C$6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data'!$N$4:$N$6</c:f>
              <c:numCache>
                <c:formatCode>0.00E+00</c:formatCode>
                <c:ptCount val="3"/>
                <c:pt idx="0">
                  <c:v>418835.11677238659</c:v>
                </c:pt>
                <c:pt idx="1">
                  <c:v>339152.61206098163</c:v>
                </c:pt>
                <c:pt idx="2">
                  <c:v>294457.34867959865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9-934A-A93A-9EB6A88D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550480"/>
        <c:axId val="850554560"/>
      </c:barChart>
      <c:catAx>
        <c:axId val="85055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554560"/>
        <c:crossesAt val="0"/>
        <c:auto val="1"/>
        <c:lblAlgn val="ctr"/>
        <c:lblOffset val="100"/>
        <c:noMultiLvlLbl val="0"/>
      </c:catAx>
      <c:valAx>
        <c:axId val="850554560"/>
        <c:scaling>
          <c:logBase val="10"/>
          <c:orientation val="minMax"/>
          <c:max val="100000000"/>
          <c:min val="1E-3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5055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491824564332E-2"/>
          <c:y val="4.0498582677165301E-2"/>
          <c:w val="0.89868242288746703"/>
          <c:h val="0.880540142762529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'[1]Cq Data '!$O$4:$O$22</c:f>
                <c:numCache>
                  <c:formatCode>General</c:formatCode>
                  <c:ptCount val="19"/>
                  <c:pt idx="0">
                    <c:v>6429.5293254106091</c:v>
                  </c:pt>
                  <c:pt idx="1">
                    <c:v>1899.7165816042645</c:v>
                  </c:pt>
                  <c:pt idx="2">
                    <c:v>756.97695899305211</c:v>
                  </c:pt>
                  <c:pt idx="3">
                    <c:v>2515.0317033558081</c:v>
                  </c:pt>
                  <c:pt idx="4">
                    <c:v>1775.2595089720733</c:v>
                  </c:pt>
                  <c:pt idx="5">
                    <c:v>742.09534261752106</c:v>
                  </c:pt>
                  <c:pt idx="6">
                    <c:v>1336.618930980909</c:v>
                  </c:pt>
                  <c:pt idx="7">
                    <c:v>68.686520815758371</c:v>
                  </c:pt>
                  <c:pt idx="8">
                    <c:v>1621.4779125642958</c:v>
                  </c:pt>
                  <c:pt idx="9">
                    <c:v>840.27274466649465</c:v>
                  </c:pt>
                  <c:pt idx="10">
                    <c:v>3089.068844552492</c:v>
                  </c:pt>
                  <c:pt idx="11">
                    <c:v>1124.0109573106504</c:v>
                  </c:pt>
                  <c:pt idx="12">
                    <c:v>1298.1794544979659</c:v>
                  </c:pt>
                  <c:pt idx="13">
                    <c:v>1934.7211667318079</c:v>
                  </c:pt>
                  <c:pt idx="14">
                    <c:v>2346.729883578208</c:v>
                  </c:pt>
                  <c:pt idx="15">
                    <c:v>9704.3677210667247</c:v>
                  </c:pt>
                  <c:pt idx="16">
                    <c:v>22619.790391177496</c:v>
                  </c:pt>
                  <c:pt idx="17">
                    <c:v>21185.514355970423</c:v>
                  </c:pt>
                  <c:pt idx="18">
                    <c:v>9807.3639503539835</c:v>
                  </c:pt>
                </c:numCache>
              </c:numRef>
            </c:plus>
            <c:minus>
              <c:numRef>
                <c:f>'[1]Cq Data '!$O$4:$O$22</c:f>
                <c:numCache>
                  <c:formatCode>General</c:formatCode>
                  <c:ptCount val="19"/>
                  <c:pt idx="0">
                    <c:v>6429.5293254106091</c:v>
                  </c:pt>
                  <c:pt idx="1">
                    <c:v>1899.7165816042645</c:v>
                  </c:pt>
                  <c:pt idx="2">
                    <c:v>756.97695899305211</c:v>
                  </c:pt>
                  <c:pt idx="3">
                    <c:v>2515.0317033558081</c:v>
                  </c:pt>
                  <c:pt idx="4">
                    <c:v>1775.2595089720733</c:v>
                  </c:pt>
                  <c:pt idx="5">
                    <c:v>742.09534261752106</c:v>
                  </c:pt>
                  <c:pt idx="6">
                    <c:v>1336.618930980909</c:v>
                  </c:pt>
                  <c:pt idx="7">
                    <c:v>68.686520815758371</c:v>
                  </c:pt>
                  <c:pt idx="8">
                    <c:v>1621.4779125642958</c:v>
                  </c:pt>
                  <c:pt idx="9">
                    <c:v>840.27274466649465</c:v>
                  </c:pt>
                  <c:pt idx="10">
                    <c:v>3089.068844552492</c:v>
                  </c:pt>
                  <c:pt idx="11">
                    <c:v>1124.0109573106504</c:v>
                  </c:pt>
                  <c:pt idx="12">
                    <c:v>1298.1794544979659</c:v>
                  </c:pt>
                  <c:pt idx="13">
                    <c:v>1934.7211667318079</c:v>
                  </c:pt>
                  <c:pt idx="14">
                    <c:v>2346.729883578208</c:v>
                  </c:pt>
                  <c:pt idx="15">
                    <c:v>9704.3677210667247</c:v>
                  </c:pt>
                  <c:pt idx="16">
                    <c:v>22619.790391177496</c:v>
                  </c:pt>
                  <c:pt idx="17">
                    <c:v>21185.514355970423</c:v>
                  </c:pt>
                  <c:pt idx="18">
                    <c:v>9807.3639503539835</c:v>
                  </c:pt>
                </c:numCache>
              </c:numRef>
            </c:minus>
          </c:errBars>
          <c:cat>
            <c:numRef>
              <c:f>'Cq data'!$C$11:$C$13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data'!$N$11:$N$13</c:f>
              <c:numCache>
                <c:formatCode>0.00E+00</c:formatCode>
                <c:ptCount val="3"/>
                <c:pt idx="0">
                  <c:v>7898.4165727177697</c:v>
                </c:pt>
                <c:pt idx="1">
                  <c:v>9032.599215090082</c:v>
                </c:pt>
                <c:pt idx="2">
                  <c:v>7048.2811186029448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9-0E41-9301-1E1464E1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550480"/>
        <c:axId val="850554560"/>
      </c:barChart>
      <c:catAx>
        <c:axId val="85055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554560"/>
        <c:crossesAt val="0"/>
        <c:auto val="1"/>
        <c:lblAlgn val="ctr"/>
        <c:lblOffset val="100"/>
        <c:noMultiLvlLbl val="0"/>
      </c:catAx>
      <c:valAx>
        <c:axId val="850554560"/>
        <c:scaling>
          <c:logBase val="10"/>
          <c:orientation val="minMax"/>
          <c:max val="100000"/>
          <c:min val="1E-3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5055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491824564332E-2"/>
          <c:y val="4.0498582677165301E-2"/>
          <c:w val="0.89868242288746703"/>
          <c:h val="0.880540142762529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'[1]Cq Data '!$O$4:$O$22</c:f>
                <c:numCache>
                  <c:formatCode>General</c:formatCode>
                  <c:ptCount val="19"/>
                  <c:pt idx="0">
                    <c:v>6429.5293254106091</c:v>
                  </c:pt>
                  <c:pt idx="1">
                    <c:v>1899.7165816042645</c:v>
                  </c:pt>
                  <c:pt idx="2">
                    <c:v>756.97695899305211</c:v>
                  </c:pt>
                  <c:pt idx="3">
                    <c:v>2515.0317033558081</c:v>
                  </c:pt>
                  <c:pt idx="4">
                    <c:v>1775.2595089720733</c:v>
                  </c:pt>
                  <c:pt idx="5">
                    <c:v>742.09534261752106</c:v>
                  </c:pt>
                  <c:pt idx="6">
                    <c:v>1336.618930980909</c:v>
                  </c:pt>
                  <c:pt idx="7">
                    <c:v>68.686520815758371</c:v>
                  </c:pt>
                  <c:pt idx="8">
                    <c:v>1621.4779125642958</c:v>
                  </c:pt>
                  <c:pt idx="9">
                    <c:v>840.27274466649465</c:v>
                  </c:pt>
                  <c:pt idx="10">
                    <c:v>3089.068844552492</c:v>
                  </c:pt>
                  <c:pt idx="11">
                    <c:v>1124.0109573106504</c:v>
                  </c:pt>
                  <c:pt idx="12">
                    <c:v>1298.1794544979659</c:v>
                  </c:pt>
                  <c:pt idx="13">
                    <c:v>1934.7211667318079</c:v>
                  </c:pt>
                  <c:pt idx="14">
                    <c:v>2346.729883578208</c:v>
                  </c:pt>
                  <c:pt idx="15">
                    <c:v>9704.3677210667247</c:v>
                  </c:pt>
                  <c:pt idx="16">
                    <c:v>22619.790391177496</c:v>
                  </c:pt>
                  <c:pt idx="17">
                    <c:v>21185.514355970423</c:v>
                  </c:pt>
                  <c:pt idx="18">
                    <c:v>9807.3639503539835</c:v>
                  </c:pt>
                </c:numCache>
              </c:numRef>
            </c:plus>
            <c:minus>
              <c:numRef>
                <c:f>'[1]Cq Data '!$O$4:$O$22</c:f>
                <c:numCache>
                  <c:formatCode>General</c:formatCode>
                  <c:ptCount val="19"/>
                  <c:pt idx="0">
                    <c:v>6429.5293254106091</c:v>
                  </c:pt>
                  <c:pt idx="1">
                    <c:v>1899.7165816042645</c:v>
                  </c:pt>
                  <c:pt idx="2">
                    <c:v>756.97695899305211</c:v>
                  </c:pt>
                  <c:pt idx="3">
                    <c:v>2515.0317033558081</c:v>
                  </c:pt>
                  <c:pt idx="4">
                    <c:v>1775.2595089720733</c:v>
                  </c:pt>
                  <c:pt idx="5">
                    <c:v>742.09534261752106</c:v>
                  </c:pt>
                  <c:pt idx="6">
                    <c:v>1336.618930980909</c:v>
                  </c:pt>
                  <c:pt idx="7">
                    <c:v>68.686520815758371</c:v>
                  </c:pt>
                  <c:pt idx="8">
                    <c:v>1621.4779125642958</c:v>
                  </c:pt>
                  <c:pt idx="9">
                    <c:v>840.27274466649465</c:v>
                  </c:pt>
                  <c:pt idx="10">
                    <c:v>3089.068844552492</c:v>
                  </c:pt>
                  <c:pt idx="11">
                    <c:v>1124.0109573106504</c:v>
                  </c:pt>
                  <c:pt idx="12">
                    <c:v>1298.1794544979659</c:v>
                  </c:pt>
                  <c:pt idx="13">
                    <c:v>1934.7211667318079</c:v>
                  </c:pt>
                  <c:pt idx="14">
                    <c:v>2346.729883578208</c:v>
                  </c:pt>
                  <c:pt idx="15">
                    <c:v>9704.3677210667247</c:v>
                  </c:pt>
                  <c:pt idx="16">
                    <c:v>22619.790391177496</c:v>
                  </c:pt>
                  <c:pt idx="17">
                    <c:v>21185.514355970423</c:v>
                  </c:pt>
                  <c:pt idx="18">
                    <c:v>9807.3639503539835</c:v>
                  </c:pt>
                </c:numCache>
              </c:numRef>
            </c:minus>
          </c:errBars>
          <c:cat>
            <c:numRef>
              <c:f>'Cq data'!$C$18:$C$20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data'!$N$18:$N$20</c:f>
              <c:numCache>
                <c:formatCode>0.00E+00</c:formatCode>
                <c:ptCount val="3"/>
                <c:pt idx="0">
                  <c:v>160593.79140116021</c:v>
                </c:pt>
                <c:pt idx="1">
                  <c:v>129988.21474833057</c:v>
                </c:pt>
                <c:pt idx="2">
                  <c:v>124183.53376933692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2-DC4F-8592-CC55C15E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550480"/>
        <c:axId val="850554560"/>
      </c:barChart>
      <c:catAx>
        <c:axId val="85055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554560"/>
        <c:crossesAt val="0"/>
        <c:auto val="1"/>
        <c:lblAlgn val="ctr"/>
        <c:lblOffset val="100"/>
        <c:noMultiLvlLbl val="0"/>
      </c:catAx>
      <c:valAx>
        <c:axId val="850554560"/>
        <c:scaling>
          <c:logBase val="10"/>
          <c:orientation val="minMax"/>
          <c:max val="10000000"/>
          <c:min val="1E-3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5055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Clade 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'Cq data'!$O$4:$O$6</c:f>
                <c:numCache>
                  <c:formatCode>General</c:formatCode>
                  <c:ptCount val="3"/>
                  <c:pt idx="0">
                    <c:v>20353.459254941583</c:v>
                  </c:pt>
                  <c:pt idx="1">
                    <c:v>10657.643712481457</c:v>
                  </c:pt>
                  <c:pt idx="2">
                    <c:v>4941.2461236059798</c:v>
                  </c:pt>
                </c:numCache>
              </c:numRef>
            </c:plus>
            <c:minus>
              <c:numRef>
                <c:f>'Cq data'!$O$4:$O$6</c:f>
                <c:numCache>
                  <c:formatCode>General</c:formatCode>
                  <c:ptCount val="3"/>
                  <c:pt idx="0">
                    <c:v>20353.459254941583</c:v>
                  </c:pt>
                  <c:pt idx="1">
                    <c:v>10657.643712481457</c:v>
                  </c:pt>
                  <c:pt idx="2">
                    <c:v>4941.2461236059798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'Cq data'!$C$18:$C$20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data'!$N$4:$N$6</c:f>
              <c:numCache>
                <c:formatCode>0.00E+00</c:formatCode>
                <c:ptCount val="3"/>
                <c:pt idx="0">
                  <c:v>418835.11677238659</c:v>
                </c:pt>
                <c:pt idx="1">
                  <c:v>339152.61206098163</c:v>
                </c:pt>
                <c:pt idx="2">
                  <c:v>294457.34867959865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4-CE47-8F4A-200087B05A43}"/>
            </c:ext>
          </c:extLst>
        </c:ser>
        <c:ser>
          <c:idx val="2"/>
          <c:order val="1"/>
          <c:tx>
            <c:v>Clade IIC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'Cq data'!$O$18:$O$20</c:f>
                <c:numCache>
                  <c:formatCode>General</c:formatCode>
                  <c:ptCount val="3"/>
                  <c:pt idx="0">
                    <c:v>13808.082537848692</c:v>
                  </c:pt>
                  <c:pt idx="1">
                    <c:v>9727.407430952615</c:v>
                  </c:pt>
                  <c:pt idx="2">
                    <c:v>6899.8485240658529</c:v>
                  </c:pt>
                </c:numCache>
              </c:numRef>
            </c:plus>
            <c:minus>
              <c:numRef>
                <c:f>'Cq data'!$O$18:$O$20</c:f>
                <c:numCache>
                  <c:formatCode>General</c:formatCode>
                  <c:ptCount val="3"/>
                  <c:pt idx="0">
                    <c:v>13808.082537848692</c:v>
                  </c:pt>
                  <c:pt idx="1">
                    <c:v>9727.407430952615</c:v>
                  </c:pt>
                  <c:pt idx="2">
                    <c:v>6899.8485240658529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'Cq data'!$C$18:$C$20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data'!$N$18:$N$20</c:f>
              <c:numCache>
                <c:formatCode>0.00E+00</c:formatCode>
                <c:ptCount val="3"/>
                <c:pt idx="0">
                  <c:v>160593.79140116021</c:v>
                </c:pt>
                <c:pt idx="1">
                  <c:v>129988.21474833057</c:v>
                </c:pt>
                <c:pt idx="2">
                  <c:v>124183.53376933692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4-CE47-8F4A-200087B05A43}"/>
            </c:ext>
          </c:extLst>
        </c:ser>
        <c:ser>
          <c:idx val="1"/>
          <c:order val="2"/>
          <c:tx>
            <c:v>Clade IIA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'Cq data'!$O$11:$O$13</c:f>
                <c:numCache>
                  <c:formatCode>General</c:formatCode>
                  <c:ptCount val="3"/>
                  <c:pt idx="0">
                    <c:v>220.20827513929166</c:v>
                  </c:pt>
                  <c:pt idx="1">
                    <c:v>693.49258207929631</c:v>
                  </c:pt>
                  <c:pt idx="2">
                    <c:v>608.29946725839022</c:v>
                  </c:pt>
                </c:numCache>
              </c:numRef>
            </c:plus>
            <c:minus>
              <c:numRef>
                <c:f>'Cq data'!$O$11:$O$13</c:f>
                <c:numCache>
                  <c:formatCode>General</c:formatCode>
                  <c:ptCount val="3"/>
                  <c:pt idx="0">
                    <c:v>220.20827513929166</c:v>
                  </c:pt>
                  <c:pt idx="1">
                    <c:v>693.49258207929631</c:v>
                  </c:pt>
                  <c:pt idx="2">
                    <c:v>608.29946725839022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'Cq data'!$C$18:$C$20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data'!$N$11:$N$13</c:f>
              <c:numCache>
                <c:formatCode>0.00E+00</c:formatCode>
                <c:ptCount val="3"/>
                <c:pt idx="0">
                  <c:v>7898.4165727177697</c:v>
                </c:pt>
                <c:pt idx="1">
                  <c:v>9032.599215090082</c:v>
                </c:pt>
                <c:pt idx="2">
                  <c:v>7048.2811186029448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4-CE47-8F4A-200087B0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683408"/>
        <c:axId val="1861382736"/>
      </c:barChart>
      <c:catAx>
        <c:axId val="17456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861382736"/>
        <c:crosses val="autoZero"/>
        <c:auto val="1"/>
        <c:lblAlgn val="ctr"/>
        <c:lblOffset val="100"/>
        <c:noMultiLvlLbl val="0"/>
      </c:catAx>
      <c:valAx>
        <c:axId val="18613827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Starting Quantity</a:t>
                </a:r>
                <a:r>
                  <a:rPr lang="en-US" baseline="0"/>
                  <a:t> (copies/ng DNA)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8.125182268883059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7456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Clade 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'Cq data'!$O$4:$O$6</c:f>
                <c:numCache>
                  <c:formatCode>General</c:formatCode>
                  <c:ptCount val="3"/>
                  <c:pt idx="0">
                    <c:v>20353.459254941583</c:v>
                  </c:pt>
                  <c:pt idx="1">
                    <c:v>10657.643712481457</c:v>
                  </c:pt>
                  <c:pt idx="2">
                    <c:v>4941.2461236059798</c:v>
                  </c:pt>
                </c:numCache>
              </c:numRef>
            </c:plus>
            <c:minus>
              <c:numRef>
                <c:f>'Cq data'!$O$4:$O$6</c:f>
                <c:numCache>
                  <c:formatCode>General</c:formatCode>
                  <c:ptCount val="3"/>
                  <c:pt idx="0">
                    <c:v>20353.459254941583</c:v>
                  </c:pt>
                  <c:pt idx="1">
                    <c:v>10657.643712481457</c:v>
                  </c:pt>
                  <c:pt idx="2">
                    <c:v>4941.2461236059798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'Cq data'!$C$18:$C$20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data'!$N$4:$N$6</c:f>
              <c:numCache>
                <c:formatCode>0.00E+00</c:formatCode>
                <c:ptCount val="3"/>
                <c:pt idx="0">
                  <c:v>418835.11677238659</c:v>
                </c:pt>
                <c:pt idx="1">
                  <c:v>339152.61206098163</c:v>
                </c:pt>
                <c:pt idx="2">
                  <c:v>294457.34867959865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3E4A-BE27-D4C6ECC66D33}"/>
            </c:ext>
          </c:extLst>
        </c:ser>
        <c:ser>
          <c:idx val="2"/>
          <c:order val="1"/>
          <c:tx>
            <c:v>Clade IIC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'Cq data'!$O$18:$O$20</c:f>
                <c:numCache>
                  <c:formatCode>General</c:formatCode>
                  <c:ptCount val="3"/>
                  <c:pt idx="0">
                    <c:v>13808.082537848692</c:v>
                  </c:pt>
                  <c:pt idx="1">
                    <c:v>9727.407430952615</c:v>
                  </c:pt>
                  <c:pt idx="2">
                    <c:v>6899.8485240658529</c:v>
                  </c:pt>
                </c:numCache>
              </c:numRef>
            </c:plus>
            <c:minus>
              <c:numRef>
                <c:f>'Cq data'!$O$18:$O$20</c:f>
                <c:numCache>
                  <c:formatCode>General</c:formatCode>
                  <c:ptCount val="3"/>
                  <c:pt idx="0">
                    <c:v>13808.082537848692</c:v>
                  </c:pt>
                  <c:pt idx="1">
                    <c:v>9727.407430952615</c:v>
                  </c:pt>
                  <c:pt idx="2">
                    <c:v>6899.8485240658529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'Cq data'!$C$18:$C$20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data'!$N$18:$N$20</c:f>
              <c:numCache>
                <c:formatCode>0.00E+00</c:formatCode>
                <c:ptCount val="3"/>
                <c:pt idx="0">
                  <c:v>160593.79140116021</c:v>
                </c:pt>
                <c:pt idx="1">
                  <c:v>129988.21474833057</c:v>
                </c:pt>
                <c:pt idx="2">
                  <c:v>124183.53376933692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7-3E4A-BE27-D4C6ECC66D33}"/>
            </c:ext>
          </c:extLst>
        </c:ser>
        <c:ser>
          <c:idx val="1"/>
          <c:order val="2"/>
          <c:tx>
            <c:v>Clade IIA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'Cq data'!$O$11:$O$13</c:f>
                <c:numCache>
                  <c:formatCode>General</c:formatCode>
                  <c:ptCount val="3"/>
                  <c:pt idx="0">
                    <c:v>220.20827513929166</c:v>
                  </c:pt>
                  <c:pt idx="1">
                    <c:v>693.49258207929631</c:v>
                  </c:pt>
                  <c:pt idx="2">
                    <c:v>608.29946725839022</c:v>
                  </c:pt>
                </c:numCache>
              </c:numRef>
            </c:plus>
            <c:minus>
              <c:numRef>
                <c:f>'Cq data'!$O$11:$O$13</c:f>
                <c:numCache>
                  <c:formatCode>General</c:formatCode>
                  <c:ptCount val="3"/>
                  <c:pt idx="0">
                    <c:v>220.20827513929166</c:v>
                  </c:pt>
                  <c:pt idx="1">
                    <c:v>693.49258207929631</c:v>
                  </c:pt>
                  <c:pt idx="2">
                    <c:v>608.29946725839022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'Cq data'!$C$18:$C$20</c:f>
              <c:numCache>
                <c:formatCode>General</c:formatCode>
                <c:ptCount val="3"/>
                <c:pt idx="0">
                  <c:v>26</c:v>
                </c:pt>
                <c:pt idx="1">
                  <c:v>42</c:v>
                </c:pt>
                <c:pt idx="2">
                  <c:v>94</c:v>
                </c:pt>
              </c:numCache>
            </c:numRef>
          </c:cat>
          <c:val>
            <c:numRef>
              <c:f>'Cq data'!$N$11:$N$13</c:f>
              <c:numCache>
                <c:formatCode>0.00E+00</c:formatCode>
                <c:ptCount val="3"/>
                <c:pt idx="0">
                  <c:v>7898.4165727177697</c:v>
                </c:pt>
                <c:pt idx="1">
                  <c:v>9032.599215090082</c:v>
                </c:pt>
                <c:pt idx="2">
                  <c:v>7048.2811186029448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7-3E4A-BE27-D4C6ECC6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683408"/>
        <c:axId val="1861382736"/>
      </c:barChart>
      <c:catAx>
        <c:axId val="17456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Sample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861382736"/>
        <c:crosses val="autoZero"/>
        <c:auto val="1"/>
        <c:lblAlgn val="ctr"/>
        <c:lblOffset val="100"/>
        <c:noMultiLvlLbl val="0"/>
      </c:catAx>
      <c:valAx>
        <c:axId val="186138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Starting Quantity</a:t>
                </a:r>
                <a:r>
                  <a:rPr lang="en-US" baseline="0"/>
                  <a:t> (copies/ng DNA)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4.51622193059200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745683408"/>
        <c:crosses val="autoZero"/>
        <c:crossBetween val="between"/>
        <c:majorUnit val="100000"/>
        <c:min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165100</xdr:rowOff>
    </xdr:from>
    <xdr:to>
      <xdr:col>7</xdr:col>
      <xdr:colOff>229914</xdr:colOff>
      <xdr:row>25</xdr:row>
      <xdr:rowOff>156342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5199C061-6576-644B-BD26-5B7C06E8A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42</xdr:row>
      <xdr:rowOff>165100</xdr:rowOff>
    </xdr:from>
    <xdr:to>
      <xdr:col>7</xdr:col>
      <xdr:colOff>229914</xdr:colOff>
      <xdr:row>57</xdr:row>
      <xdr:rowOff>156342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622C810-AC0D-0546-AF7C-89EA09F36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74</xdr:row>
      <xdr:rowOff>165100</xdr:rowOff>
    </xdr:from>
    <xdr:to>
      <xdr:col>7</xdr:col>
      <xdr:colOff>229914</xdr:colOff>
      <xdr:row>89</xdr:row>
      <xdr:rowOff>156342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91D43426-A87B-084C-9832-E478C01D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114299</xdr:colOff>
      <xdr:row>0</xdr:row>
      <xdr:rowOff>165101</xdr:rowOff>
    </xdr:from>
    <xdr:to>
      <xdr:col>19</xdr:col>
      <xdr:colOff>431800</xdr:colOff>
      <xdr:row>5</xdr:row>
      <xdr:rowOff>101600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24CFCBE-4725-D54C-8832-993DCB48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114299</xdr:colOff>
      <xdr:row>7</xdr:row>
      <xdr:rowOff>165101</xdr:rowOff>
    </xdr:from>
    <xdr:to>
      <xdr:col>19</xdr:col>
      <xdr:colOff>431800</xdr:colOff>
      <xdr:row>12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C0D3C-570B-5143-BF18-6BD03D035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114299</xdr:colOff>
      <xdr:row>14</xdr:row>
      <xdr:rowOff>165101</xdr:rowOff>
    </xdr:from>
    <xdr:to>
      <xdr:col>19</xdr:col>
      <xdr:colOff>431800</xdr:colOff>
      <xdr:row>19</xdr:row>
      <xdr:rowOff>101600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1850870-13E6-CC48-84BC-10606C75A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107950</xdr:colOff>
      <xdr:row>22</xdr:row>
      <xdr:rowOff>12700</xdr:rowOff>
    </xdr:from>
    <xdr:to>
      <xdr:col>8</xdr:col>
      <xdr:colOff>552450</xdr:colOff>
      <xdr:row>35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F8A1A3-2AD2-B940-BFA3-448C5E90C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14</xdr:col>
      <xdr:colOff>444500</xdr:colOff>
      <xdr:row>35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0AF27A-209C-1F43-8385-7EE3BBFF9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kee/Box%20Sync/5-%20qPCR/20180308_Keene/20180308_qPCR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ed Order"/>
      <sheetName val="Cq Data "/>
      <sheetName val="All_Calibrations"/>
      <sheetName val="Calibration Summary"/>
      <sheetName val="Calibration Summary 2"/>
      <sheetName val="Sheet2"/>
      <sheetName val="Gel_Analysis"/>
      <sheetName val="Data Summary"/>
      <sheetName val="Melting Summary"/>
      <sheetName val="Standards"/>
      <sheetName val="NK_Coma_Plate"/>
      <sheetName val="Pjevac_Plate"/>
      <sheetName val="Fowler_Plate"/>
      <sheetName val="20170927_Coma3primers_Tm"/>
      <sheetName val="20170927_Coma3primers_Cp"/>
      <sheetName val="20180317_ComaAPrimersTm"/>
      <sheetName val="GenAOB_Plate"/>
      <sheetName val="AOA_Plate"/>
      <sheetName val="NK_ComaAB_Plate"/>
      <sheetName val="RottAOB_Plate"/>
      <sheetName val="NK_16S_Plate"/>
      <sheetName val="20180317_FowlerPrimersTm"/>
      <sheetName val="20171113-16S-Tm"/>
      <sheetName val="20171017_CladeAB_Tm"/>
      <sheetName val="20180317_AOAPrimersTm"/>
      <sheetName val="20180312_RottAOB_Tm"/>
      <sheetName val="20180317_AOBPrimersTm"/>
      <sheetName val="20180317_FowlerPrimersCp"/>
      <sheetName val="20180317_ComaAPrimersCp"/>
      <sheetName val="20180317_AOBPrimersCp"/>
      <sheetName val="20180317_AOAPrimersCp"/>
      <sheetName val="20180312_RottAOB_Cp"/>
      <sheetName val="20171113-16S-Cp-NoiseBand_Thres"/>
      <sheetName val="20171113-16S-Cp"/>
      <sheetName val="20171017_CladeAB_Cp"/>
      <sheetName val="Calibrations-old"/>
    </sheetNames>
    <sheetDataSet>
      <sheetData sheetId="0"/>
      <sheetData sheetId="1">
        <row r="4">
          <cell r="O4">
            <v>6429.5293254106091</v>
          </cell>
        </row>
        <row r="5">
          <cell r="O5">
            <v>1899.7165816042645</v>
          </cell>
        </row>
        <row r="6">
          <cell r="O6">
            <v>756.97695899305211</v>
          </cell>
        </row>
        <row r="7">
          <cell r="O7">
            <v>2515.0317033558081</v>
          </cell>
        </row>
        <row r="8">
          <cell r="O8">
            <v>1775.2595089720733</v>
          </cell>
        </row>
        <row r="9">
          <cell r="O9">
            <v>742.09534261752106</v>
          </cell>
        </row>
        <row r="10">
          <cell r="O10">
            <v>1336.618930980909</v>
          </cell>
        </row>
        <row r="11">
          <cell r="O11">
            <v>68.686520815758371</v>
          </cell>
        </row>
        <row r="12">
          <cell r="O12">
            <v>1621.4779125642958</v>
          </cell>
        </row>
        <row r="13">
          <cell r="O13">
            <v>840.27274466649465</v>
          </cell>
        </row>
        <row r="14">
          <cell r="O14">
            <v>3089.068844552492</v>
          </cell>
        </row>
        <row r="15">
          <cell r="O15">
            <v>1124.0109573106504</v>
          </cell>
        </row>
        <row r="16">
          <cell r="O16">
            <v>1298.1794544979659</v>
          </cell>
        </row>
        <row r="17">
          <cell r="O17">
            <v>1934.7211667318079</v>
          </cell>
        </row>
        <row r="18">
          <cell r="O18">
            <v>2346.729883578208</v>
          </cell>
        </row>
        <row r="19">
          <cell r="O19">
            <v>9704.3677210667247</v>
          </cell>
        </row>
        <row r="20">
          <cell r="O20">
            <v>22619.790391177496</v>
          </cell>
        </row>
        <row r="21">
          <cell r="O21">
            <v>21185.514355970423</v>
          </cell>
        </row>
        <row r="22">
          <cell r="O22">
            <v>9807.3639503539835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93E3-6468-3A40-B044-D11111181334}">
  <sheetPr>
    <pageSetUpPr fitToPage="1"/>
  </sheetPr>
  <dimension ref="A1:N89"/>
  <sheetViews>
    <sheetView topLeftCell="A44" zoomScale="150" zoomScaleNormal="80" workbookViewId="0">
      <selection activeCell="J50" sqref="J50"/>
    </sheetView>
  </sheetViews>
  <sheetFormatPr baseColWidth="10" defaultRowHeight="16"/>
  <sheetData>
    <row r="1" spans="1:14" ht="17" thickBot="1">
      <c r="A1" s="14" t="s">
        <v>54</v>
      </c>
      <c r="B1" s="15" t="s">
        <v>55</v>
      </c>
      <c r="C1" s="1"/>
      <c r="D1" s="15" t="s">
        <v>56</v>
      </c>
      <c r="E1" s="15" t="s">
        <v>55</v>
      </c>
      <c r="F1" s="1"/>
      <c r="G1" s="14" t="s">
        <v>57</v>
      </c>
      <c r="H1" s="15" t="s">
        <v>58</v>
      </c>
      <c r="I1" s="1"/>
      <c r="J1" s="14" t="s">
        <v>59</v>
      </c>
      <c r="K1" s="15" t="s">
        <v>58</v>
      </c>
      <c r="L1" s="1"/>
      <c r="M1" s="14" t="s">
        <v>60</v>
      </c>
      <c r="N1" s="15" t="s">
        <v>58</v>
      </c>
    </row>
    <row r="2" spans="1:14">
      <c r="A2" s="16" t="s">
        <v>61</v>
      </c>
      <c r="B2" s="17" t="s">
        <v>62</v>
      </c>
      <c r="C2" s="1"/>
      <c r="D2" s="16" t="s">
        <v>61</v>
      </c>
      <c r="E2" s="17" t="s">
        <v>62</v>
      </c>
      <c r="F2" s="1"/>
      <c r="G2" s="16" t="s">
        <v>61</v>
      </c>
      <c r="H2" s="17" t="s">
        <v>62</v>
      </c>
      <c r="I2" s="1"/>
      <c r="J2" s="16" t="s">
        <v>61</v>
      </c>
      <c r="K2" s="17" t="s">
        <v>62</v>
      </c>
      <c r="L2" s="1"/>
      <c r="M2" s="16" t="s">
        <v>61</v>
      </c>
      <c r="N2" s="17" t="s">
        <v>62</v>
      </c>
    </row>
    <row r="3" spans="1:14">
      <c r="A3" s="18" t="s">
        <v>63</v>
      </c>
      <c r="B3" s="19">
        <f>(1/10)*B15</f>
        <v>88400000000</v>
      </c>
      <c r="C3" s="1"/>
      <c r="D3" s="18" t="s">
        <v>63</v>
      </c>
      <c r="E3" s="19">
        <f>(1/10)*E16</f>
        <v>118000000000</v>
      </c>
      <c r="F3" s="1"/>
      <c r="G3" s="18" t="s">
        <v>63</v>
      </c>
      <c r="H3" s="19">
        <f>(1/10)*H15</f>
        <v>17400000000</v>
      </c>
      <c r="I3" s="1"/>
      <c r="J3" s="18" t="s">
        <v>63</v>
      </c>
      <c r="K3" s="20">
        <f>(1/10)*K15</f>
        <v>23680000000</v>
      </c>
      <c r="L3" s="1"/>
      <c r="M3" s="18" t="s">
        <v>63</v>
      </c>
      <c r="N3" s="20">
        <f>N15*(1/10)</f>
        <v>13920000000</v>
      </c>
    </row>
    <row r="4" spans="1:14">
      <c r="A4" s="18" t="s">
        <v>63</v>
      </c>
      <c r="B4" s="20">
        <f>B3*(1/10)</f>
        <v>8840000000</v>
      </c>
      <c r="C4" s="1"/>
      <c r="D4" s="18" t="s">
        <v>63</v>
      </c>
      <c r="E4" s="20">
        <f>E3*(1/10)</f>
        <v>11800000000</v>
      </c>
      <c r="F4" s="1"/>
      <c r="G4" s="18" t="s">
        <v>63</v>
      </c>
      <c r="H4" s="20">
        <f>H3*(1/10)</f>
        <v>1740000000</v>
      </c>
      <c r="I4" s="1"/>
      <c r="J4" s="18" t="s">
        <v>63</v>
      </c>
      <c r="K4" s="20">
        <f>K3*(1/10)</f>
        <v>2368000000</v>
      </c>
      <c r="L4" s="1"/>
      <c r="M4" s="18" t="s">
        <v>63</v>
      </c>
      <c r="N4" s="20">
        <f>N3*(1/10)</f>
        <v>1392000000</v>
      </c>
    </row>
    <row r="5" spans="1:14">
      <c r="A5" s="18" t="s">
        <v>63</v>
      </c>
      <c r="B5" s="20">
        <f t="shared" ref="B5:B12" si="0">B4*(1/10)</f>
        <v>884000000</v>
      </c>
      <c r="C5" s="1"/>
      <c r="D5" s="18" t="s">
        <v>63</v>
      </c>
      <c r="E5" s="20">
        <f t="shared" ref="E5:E13" si="1">E4*(1/10)</f>
        <v>1180000000</v>
      </c>
      <c r="F5" s="1"/>
      <c r="G5" s="18" t="s">
        <v>63</v>
      </c>
      <c r="H5" s="20">
        <f t="shared" ref="H5:H12" si="2">H4*(1/10)</f>
        <v>174000000</v>
      </c>
      <c r="I5" s="1"/>
      <c r="J5" s="18" t="s">
        <v>63</v>
      </c>
      <c r="K5" s="20">
        <f t="shared" ref="K5:K12" si="3">K4*(1/10)</f>
        <v>236800000</v>
      </c>
      <c r="L5" s="1"/>
      <c r="M5" s="18" t="s">
        <v>63</v>
      </c>
      <c r="N5" s="20">
        <f t="shared" ref="N5:N12" si="4">N4*(1/10)</f>
        <v>139200000</v>
      </c>
    </row>
    <row r="6" spans="1:14">
      <c r="A6" s="21">
        <v>1</v>
      </c>
      <c r="B6" s="22">
        <f t="shared" si="0"/>
        <v>88400000</v>
      </c>
      <c r="C6" s="1"/>
      <c r="D6" s="18" t="s">
        <v>63</v>
      </c>
      <c r="E6" s="20">
        <f t="shared" si="1"/>
        <v>118000000</v>
      </c>
      <c r="F6" s="1"/>
      <c r="G6" s="21">
        <v>1</v>
      </c>
      <c r="H6" s="22">
        <f t="shared" si="2"/>
        <v>17400000</v>
      </c>
      <c r="I6" s="1"/>
      <c r="J6" s="21">
        <v>1</v>
      </c>
      <c r="K6" s="22">
        <f t="shared" si="3"/>
        <v>23680000</v>
      </c>
      <c r="L6" s="1"/>
      <c r="M6" s="21">
        <v>1</v>
      </c>
      <c r="N6" s="22">
        <f t="shared" si="4"/>
        <v>13920000</v>
      </c>
    </row>
    <row r="7" spans="1:14">
      <c r="A7" s="21">
        <v>2</v>
      </c>
      <c r="B7" s="22">
        <f t="shared" si="0"/>
        <v>8840000</v>
      </c>
      <c r="C7" s="1"/>
      <c r="D7" s="21">
        <v>1</v>
      </c>
      <c r="E7" s="22">
        <f t="shared" si="1"/>
        <v>11800000</v>
      </c>
      <c r="F7" s="1"/>
      <c r="G7" s="21">
        <v>2</v>
      </c>
      <c r="H7" s="22">
        <f t="shared" si="2"/>
        <v>1740000</v>
      </c>
      <c r="I7" s="1"/>
      <c r="J7" s="21">
        <v>2</v>
      </c>
      <c r="K7" s="22">
        <f t="shared" si="3"/>
        <v>2368000</v>
      </c>
      <c r="L7" s="1"/>
      <c r="M7" s="21">
        <v>2</v>
      </c>
      <c r="N7" s="22">
        <f t="shared" si="4"/>
        <v>1392000</v>
      </c>
    </row>
    <row r="8" spans="1:14">
      <c r="A8" s="21">
        <v>3</v>
      </c>
      <c r="B8" s="22">
        <f t="shared" si="0"/>
        <v>884000</v>
      </c>
      <c r="C8" s="1"/>
      <c r="D8" s="21">
        <v>2</v>
      </c>
      <c r="E8" s="22">
        <f t="shared" si="1"/>
        <v>1180000</v>
      </c>
      <c r="F8" s="1"/>
      <c r="G8" s="21">
        <v>3</v>
      </c>
      <c r="H8" s="22">
        <f t="shared" si="2"/>
        <v>174000</v>
      </c>
      <c r="I8" s="1"/>
      <c r="J8" s="21">
        <v>3</v>
      </c>
      <c r="K8" s="22">
        <f t="shared" si="3"/>
        <v>236800</v>
      </c>
      <c r="L8" s="1"/>
      <c r="M8" s="21">
        <v>3</v>
      </c>
      <c r="N8" s="22">
        <f t="shared" si="4"/>
        <v>139200</v>
      </c>
    </row>
    <row r="9" spans="1:14">
      <c r="A9" s="21">
        <v>4</v>
      </c>
      <c r="B9" s="22">
        <f t="shared" si="0"/>
        <v>88400</v>
      </c>
      <c r="C9" s="1"/>
      <c r="D9" s="21">
        <v>3</v>
      </c>
      <c r="E9" s="22">
        <f t="shared" si="1"/>
        <v>118000</v>
      </c>
      <c r="F9" s="1"/>
      <c r="G9" s="21">
        <v>4</v>
      </c>
      <c r="H9" s="22">
        <f t="shared" si="2"/>
        <v>17400</v>
      </c>
      <c r="I9" s="1"/>
      <c r="J9" s="21">
        <v>4</v>
      </c>
      <c r="K9" s="22">
        <f t="shared" si="3"/>
        <v>23680</v>
      </c>
      <c r="L9" s="1"/>
      <c r="M9" s="21">
        <v>4</v>
      </c>
      <c r="N9" s="22">
        <f t="shared" si="4"/>
        <v>13920</v>
      </c>
    </row>
    <row r="10" spans="1:14">
      <c r="A10" s="21">
        <v>5</v>
      </c>
      <c r="B10" s="22">
        <f t="shared" si="0"/>
        <v>8840</v>
      </c>
      <c r="C10" s="1"/>
      <c r="D10" s="21">
        <v>4</v>
      </c>
      <c r="E10" s="22">
        <f t="shared" si="1"/>
        <v>11800</v>
      </c>
      <c r="F10" s="1"/>
      <c r="G10" s="21">
        <v>5</v>
      </c>
      <c r="H10" s="22">
        <f t="shared" si="2"/>
        <v>1740</v>
      </c>
      <c r="I10" s="1"/>
      <c r="J10" s="21">
        <v>5</v>
      </c>
      <c r="K10" s="22">
        <f t="shared" si="3"/>
        <v>2368</v>
      </c>
      <c r="L10" s="1"/>
      <c r="M10" s="21">
        <v>5</v>
      </c>
      <c r="N10" s="22">
        <f t="shared" si="4"/>
        <v>1392</v>
      </c>
    </row>
    <row r="11" spans="1:14">
      <c r="A11" s="21">
        <v>6</v>
      </c>
      <c r="B11" s="22">
        <f t="shared" si="0"/>
        <v>884</v>
      </c>
      <c r="C11" s="1"/>
      <c r="D11" s="21">
        <v>5</v>
      </c>
      <c r="E11" s="22">
        <f t="shared" si="1"/>
        <v>1180</v>
      </c>
      <c r="F11" s="1"/>
      <c r="G11" s="21">
        <v>6</v>
      </c>
      <c r="H11" s="22">
        <f t="shared" si="2"/>
        <v>174</v>
      </c>
      <c r="I11" s="1"/>
      <c r="J11" s="21">
        <v>6</v>
      </c>
      <c r="K11" s="22">
        <f t="shared" si="3"/>
        <v>236.8</v>
      </c>
      <c r="L11" s="1"/>
      <c r="M11" s="21">
        <v>6</v>
      </c>
      <c r="N11" s="22">
        <f t="shared" si="4"/>
        <v>139.20000000000002</v>
      </c>
    </row>
    <row r="12" spans="1:14">
      <c r="A12" s="21">
        <v>7</v>
      </c>
      <c r="B12" s="22">
        <f t="shared" si="0"/>
        <v>88.4</v>
      </c>
      <c r="C12" s="1"/>
      <c r="D12" s="21">
        <v>6</v>
      </c>
      <c r="E12" s="22">
        <f t="shared" si="1"/>
        <v>118</v>
      </c>
      <c r="F12" s="1"/>
      <c r="G12" s="21">
        <v>7</v>
      </c>
      <c r="H12" s="22">
        <f t="shared" si="2"/>
        <v>17.400000000000002</v>
      </c>
      <c r="I12" s="1"/>
      <c r="J12" s="21">
        <v>7</v>
      </c>
      <c r="K12" s="22">
        <f t="shared" si="3"/>
        <v>23.680000000000003</v>
      </c>
      <c r="L12" s="1"/>
      <c r="M12" s="21">
        <v>7</v>
      </c>
      <c r="N12" s="22">
        <f t="shared" si="4"/>
        <v>13.920000000000002</v>
      </c>
    </row>
    <row r="13" spans="1:14">
      <c r="A13" s="16" t="s">
        <v>64</v>
      </c>
      <c r="B13" s="20">
        <v>221000000000</v>
      </c>
      <c r="C13" s="1"/>
      <c r="D13" s="21">
        <v>7</v>
      </c>
      <c r="E13" s="22">
        <f t="shared" si="1"/>
        <v>11.8</v>
      </c>
      <c r="F13" s="1"/>
      <c r="G13" s="16" t="s">
        <v>64</v>
      </c>
      <c r="H13" s="20">
        <v>43500000000</v>
      </c>
      <c r="I13" s="1"/>
      <c r="J13" s="16" t="s">
        <v>64</v>
      </c>
      <c r="K13" s="20">
        <v>59200000000</v>
      </c>
      <c r="L13" s="1"/>
      <c r="M13" s="16" t="s">
        <v>64</v>
      </c>
      <c r="N13" s="20">
        <v>34800000000</v>
      </c>
    </row>
    <row r="14" spans="1:14">
      <c r="A14" s="16" t="s">
        <v>65</v>
      </c>
      <c r="B14" s="17">
        <v>4</v>
      </c>
      <c r="C14" s="1"/>
      <c r="D14" s="16" t="s">
        <v>64</v>
      </c>
      <c r="E14" s="20">
        <v>295000000000</v>
      </c>
      <c r="F14" s="1"/>
      <c r="G14" s="16" t="s">
        <v>65</v>
      </c>
      <c r="H14" s="17">
        <v>4</v>
      </c>
      <c r="I14" s="1"/>
      <c r="J14" s="16" t="s">
        <v>65</v>
      </c>
      <c r="K14" s="17">
        <v>4</v>
      </c>
      <c r="L14" s="1"/>
      <c r="M14" s="16" t="s">
        <v>65</v>
      </c>
      <c r="N14" s="17">
        <v>4</v>
      </c>
    </row>
    <row r="15" spans="1:14">
      <c r="A15" s="16" t="s">
        <v>66</v>
      </c>
      <c r="B15" s="20">
        <f>B13*B14</f>
        <v>884000000000</v>
      </c>
      <c r="C15" s="1"/>
      <c r="D15" s="16" t="s">
        <v>65</v>
      </c>
      <c r="E15" s="17">
        <v>4</v>
      </c>
      <c r="F15" s="1"/>
      <c r="G15" s="16" t="s">
        <v>66</v>
      </c>
      <c r="H15" s="20">
        <f>H13*H14</f>
        <v>174000000000</v>
      </c>
      <c r="I15" s="1"/>
      <c r="J15" s="16" t="s">
        <v>66</v>
      </c>
      <c r="K15" s="20">
        <f>K13*K14</f>
        <v>236800000000</v>
      </c>
      <c r="L15" s="1"/>
      <c r="M15" s="16" t="s">
        <v>66</v>
      </c>
      <c r="N15" s="20">
        <f>N13*N14</f>
        <v>139200000000</v>
      </c>
    </row>
    <row r="16" spans="1:14">
      <c r="A16" s="1"/>
      <c r="B16" s="1"/>
      <c r="C16" s="1"/>
      <c r="D16" s="16" t="s">
        <v>66</v>
      </c>
      <c r="E16" s="20">
        <f>E14*E15</f>
        <v>1180000000000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 t="s">
        <v>67</v>
      </c>
      <c r="B17" s="23">
        <v>108</v>
      </c>
      <c r="C17" s="1"/>
      <c r="D17" s="1"/>
      <c r="E17" s="1"/>
      <c r="F17" s="1"/>
      <c r="G17" s="1" t="s">
        <v>67</v>
      </c>
      <c r="H17" s="23">
        <v>29.1</v>
      </c>
      <c r="I17" s="1"/>
      <c r="J17" s="1" t="s">
        <v>67</v>
      </c>
      <c r="K17" s="23">
        <v>30</v>
      </c>
      <c r="L17" s="1"/>
      <c r="M17" s="1" t="s">
        <v>67</v>
      </c>
      <c r="N17" s="23">
        <v>17.600000000000001</v>
      </c>
    </row>
    <row r="18" spans="1:14" ht="18">
      <c r="A18" s="1" t="s">
        <v>68</v>
      </c>
      <c r="B18" s="24">
        <v>254794.26</v>
      </c>
      <c r="C18" s="1"/>
      <c r="D18" s="1" t="s">
        <v>67</v>
      </c>
      <c r="E18" s="23">
        <v>118</v>
      </c>
      <c r="F18" s="1"/>
      <c r="G18" s="1" t="s">
        <v>68</v>
      </c>
      <c r="H18" s="25">
        <v>262168</v>
      </c>
      <c r="I18" s="1"/>
      <c r="J18" s="1" t="s">
        <v>68</v>
      </c>
      <c r="K18" s="24">
        <v>265023.19</v>
      </c>
      <c r="L18" s="1"/>
      <c r="M18" s="1" t="s">
        <v>68</v>
      </c>
      <c r="N18" s="24">
        <v>264288.09000000003</v>
      </c>
    </row>
    <row r="19" spans="1:14" ht="18">
      <c r="A19" s="1" t="s">
        <v>69</v>
      </c>
      <c r="B19" s="1">
        <v>39925.78</v>
      </c>
      <c r="C19" s="1"/>
      <c r="D19" s="1" t="s">
        <v>68</v>
      </c>
      <c r="E19" s="24">
        <v>201117.69</v>
      </c>
      <c r="F19" s="1"/>
      <c r="G19" s="1" t="s">
        <v>69</v>
      </c>
      <c r="H19" s="1">
        <v>39925.78</v>
      </c>
      <c r="I19" s="1"/>
      <c r="J19" s="1" t="s">
        <v>69</v>
      </c>
      <c r="K19" s="1">
        <v>39925.78</v>
      </c>
      <c r="L19" s="1"/>
      <c r="M19" s="1" t="s">
        <v>69</v>
      </c>
      <c r="N19" s="1">
        <v>39925.78</v>
      </c>
    </row>
    <row r="20" spans="1:14">
      <c r="A20" s="1"/>
      <c r="B20" s="1"/>
      <c r="C20" s="1"/>
      <c r="D20" s="1" t="s">
        <v>69</v>
      </c>
      <c r="E20" s="1">
        <v>39925.78</v>
      </c>
      <c r="F20" s="1"/>
      <c r="G20" s="1"/>
      <c r="H20" s="1"/>
      <c r="I20" s="1"/>
      <c r="J20" s="1"/>
      <c r="K20" s="1"/>
      <c r="L20" s="1"/>
      <c r="M20" s="1"/>
      <c r="N20" s="1"/>
    </row>
    <row r="22" spans="1:14" ht="17" thickBot="1"/>
    <row r="23" spans="1:14" ht="17" thickBot="1">
      <c r="A23" s="26" t="s">
        <v>57</v>
      </c>
      <c r="B23" s="27" t="s">
        <v>70</v>
      </c>
      <c r="D23" s="26" t="s">
        <v>59</v>
      </c>
      <c r="E23" s="27" t="s">
        <v>70</v>
      </c>
      <c r="G23" s="26" t="s">
        <v>60</v>
      </c>
      <c r="H23" s="27" t="s">
        <v>70</v>
      </c>
      <c r="J23" s="26" t="s">
        <v>71</v>
      </c>
      <c r="K23" s="27" t="s">
        <v>72</v>
      </c>
      <c r="M23" s="26" t="s">
        <v>73</v>
      </c>
      <c r="N23" s="27" t="s">
        <v>74</v>
      </c>
    </row>
    <row r="24" spans="1:14">
      <c r="A24" s="28" t="s">
        <v>61</v>
      </c>
      <c r="B24" s="28" t="s">
        <v>62</v>
      </c>
      <c r="D24" s="28" t="s">
        <v>61</v>
      </c>
      <c r="E24" s="28" t="s">
        <v>62</v>
      </c>
      <c r="G24" s="28" t="s">
        <v>61</v>
      </c>
      <c r="H24" s="28" t="s">
        <v>62</v>
      </c>
      <c r="J24" s="28" t="s">
        <v>61</v>
      </c>
      <c r="K24" s="28" t="s">
        <v>62</v>
      </c>
      <c r="M24" s="28" t="s">
        <v>61</v>
      </c>
      <c r="N24" s="28" t="s">
        <v>62</v>
      </c>
    </row>
    <row r="25" spans="1:14">
      <c r="A25" s="29" t="s">
        <v>63</v>
      </c>
      <c r="B25" s="19">
        <f>(1/10)*B37</f>
        <v>39709909207.370476</v>
      </c>
      <c r="D25" s="29" t="s">
        <v>63</v>
      </c>
      <c r="E25" s="19">
        <f>(1/10)*E37</f>
        <v>45183491782.526131</v>
      </c>
      <c r="G25" s="29" t="s">
        <v>63</v>
      </c>
      <c r="H25" s="19">
        <f>(1/10)*H37</f>
        <v>32544210712.398098</v>
      </c>
      <c r="J25" s="29" t="s">
        <v>63</v>
      </c>
      <c r="K25" s="19">
        <f>(1/10)*K37</f>
        <v>32488671674.23056</v>
      </c>
      <c r="M25" s="29" t="s">
        <v>75</v>
      </c>
      <c r="N25" s="19">
        <f>(1/10)*N37</f>
        <v>593124642.65294456</v>
      </c>
    </row>
    <row r="26" spans="1:14">
      <c r="A26" s="29" t="s">
        <v>63</v>
      </c>
      <c r="B26" s="19">
        <f>(1/10)*B25</f>
        <v>3970990920.7370477</v>
      </c>
      <c r="D26" s="29" t="s">
        <v>63</v>
      </c>
      <c r="E26" s="19">
        <f>(1/10)*E25</f>
        <v>4518349178.2526131</v>
      </c>
      <c r="G26" s="29" t="s">
        <v>63</v>
      </c>
      <c r="H26" s="19">
        <f>(1/10)*H25</f>
        <v>3254421071.23981</v>
      </c>
      <c r="J26" s="29" t="s">
        <v>63</v>
      </c>
      <c r="K26" s="19">
        <f>(1/10)*K25</f>
        <v>3248867167.4230561</v>
      </c>
      <c r="M26" s="30">
        <v>1</v>
      </c>
      <c r="N26" s="31">
        <f>(1/10)*N25</f>
        <v>59312464.265294462</v>
      </c>
    </row>
    <row r="27" spans="1:14">
      <c r="A27" s="29" t="s">
        <v>63</v>
      </c>
      <c r="B27" s="19">
        <f t="shared" ref="B27:B34" si="5">(1/10)*B26</f>
        <v>397099092.07370478</v>
      </c>
      <c r="D27" s="29" t="s">
        <v>63</v>
      </c>
      <c r="E27" s="19">
        <f t="shared" ref="E27:E34" si="6">(1/10)*E26</f>
        <v>451834917.82526135</v>
      </c>
      <c r="G27" s="29" t="s">
        <v>63</v>
      </c>
      <c r="H27" s="19">
        <f t="shared" ref="H27:H34" si="7">(1/10)*H26</f>
        <v>325442107.123981</v>
      </c>
      <c r="J27" s="29" t="s">
        <v>63</v>
      </c>
      <c r="K27" s="19">
        <f t="shared" ref="K27:K34" si="8">(1/10)*K26</f>
        <v>324886716.74230564</v>
      </c>
      <c r="M27" s="30">
        <v>2</v>
      </c>
      <c r="N27" s="31">
        <f t="shared" ref="N27:N34" si="9">(1/10)*N26</f>
        <v>5931246.4265294466</v>
      </c>
    </row>
    <row r="28" spans="1:14">
      <c r="A28" s="30">
        <v>1</v>
      </c>
      <c r="B28" s="31">
        <f>(1/10)*B27</f>
        <v>39709909.207370482</v>
      </c>
      <c r="D28" s="30">
        <v>1</v>
      </c>
      <c r="E28" s="31">
        <f t="shared" si="6"/>
        <v>45183491.782526135</v>
      </c>
      <c r="G28" s="30">
        <v>1</v>
      </c>
      <c r="H28" s="31">
        <f t="shared" si="7"/>
        <v>32544210.712398101</v>
      </c>
      <c r="J28" s="30">
        <v>1</v>
      </c>
      <c r="K28" s="31">
        <f>(1/10)*K27</f>
        <v>32488671.674230564</v>
      </c>
      <c r="M28" s="30">
        <v>3</v>
      </c>
      <c r="N28" s="31">
        <f>(1/10)*N27</f>
        <v>593124.64265294466</v>
      </c>
    </row>
    <row r="29" spans="1:14">
      <c r="A29" s="30">
        <v>2</v>
      </c>
      <c r="B29" s="31">
        <f t="shared" si="5"/>
        <v>3970990.9207370486</v>
      </c>
      <c r="D29" s="30">
        <v>2</v>
      </c>
      <c r="E29" s="31">
        <f t="shared" si="6"/>
        <v>4518349.1782526141</v>
      </c>
      <c r="G29" s="30">
        <v>2</v>
      </c>
      <c r="H29" s="31">
        <f t="shared" si="7"/>
        <v>3254421.0712398104</v>
      </c>
      <c r="J29" s="30">
        <v>2</v>
      </c>
      <c r="K29" s="31">
        <f t="shared" si="8"/>
        <v>3248867.1674230564</v>
      </c>
      <c r="M29" s="30">
        <v>4</v>
      </c>
      <c r="N29" s="31">
        <f t="shared" si="9"/>
        <v>59312.464265294468</v>
      </c>
    </row>
    <row r="30" spans="1:14">
      <c r="A30" s="30">
        <v>3</v>
      </c>
      <c r="B30" s="31">
        <f t="shared" si="5"/>
        <v>397099.09207370487</v>
      </c>
      <c r="D30" s="30">
        <v>3</v>
      </c>
      <c r="E30" s="31">
        <f t="shared" si="6"/>
        <v>451834.91782526142</v>
      </c>
      <c r="G30" s="30">
        <v>3</v>
      </c>
      <c r="H30" s="31">
        <f t="shared" si="7"/>
        <v>325442.10712398106</v>
      </c>
      <c r="J30" s="30">
        <v>3</v>
      </c>
      <c r="K30" s="31">
        <f t="shared" si="8"/>
        <v>324886.71674230567</v>
      </c>
      <c r="M30" s="30">
        <v>5</v>
      </c>
      <c r="N30" s="31">
        <f t="shared" si="9"/>
        <v>5931.2464265294475</v>
      </c>
    </row>
    <row r="31" spans="1:14">
      <c r="A31" s="30">
        <v>4</v>
      </c>
      <c r="B31" s="31">
        <f t="shared" si="5"/>
        <v>39709.909207370489</v>
      </c>
      <c r="D31" s="30">
        <v>4</v>
      </c>
      <c r="E31" s="31">
        <f t="shared" si="6"/>
        <v>45183.491782526144</v>
      </c>
      <c r="G31" s="30">
        <v>4</v>
      </c>
      <c r="H31" s="31">
        <f t="shared" si="7"/>
        <v>32544.210712398108</v>
      </c>
      <c r="J31" s="30">
        <v>4</v>
      </c>
      <c r="K31" s="31">
        <f t="shared" si="8"/>
        <v>32488.671674230569</v>
      </c>
      <c r="M31" s="30">
        <v>6</v>
      </c>
      <c r="N31" s="31">
        <f t="shared" si="9"/>
        <v>593.12464265294477</v>
      </c>
    </row>
    <row r="32" spans="1:14">
      <c r="A32" s="30">
        <v>5</v>
      </c>
      <c r="B32" s="31">
        <f t="shared" si="5"/>
        <v>3970.9909207370492</v>
      </c>
      <c r="D32" s="30">
        <v>5</v>
      </c>
      <c r="E32" s="31">
        <f t="shared" si="6"/>
        <v>4518.3491782526144</v>
      </c>
      <c r="G32" s="30">
        <v>5</v>
      </c>
      <c r="H32" s="31">
        <f t="shared" si="7"/>
        <v>3254.4210712398108</v>
      </c>
      <c r="J32" s="30">
        <v>5</v>
      </c>
      <c r="K32" s="31">
        <f t="shared" si="8"/>
        <v>3248.8671674230573</v>
      </c>
      <c r="M32" s="30">
        <v>7</v>
      </c>
      <c r="N32" s="31">
        <f t="shared" si="9"/>
        <v>59.31246426529448</v>
      </c>
    </row>
    <row r="33" spans="1:14">
      <c r="A33" s="30">
        <v>6</v>
      </c>
      <c r="B33" s="31">
        <f>(1/10)*B32</f>
        <v>397.09909207370492</v>
      </c>
      <c r="D33" s="30">
        <v>6</v>
      </c>
      <c r="E33" s="31">
        <f>(1/10)*E32</f>
        <v>451.83491782526147</v>
      </c>
      <c r="G33" s="30">
        <v>6</v>
      </c>
      <c r="H33" s="31">
        <f>(1/10)*H32</f>
        <v>325.44210712398109</v>
      </c>
      <c r="J33" s="30">
        <v>6</v>
      </c>
      <c r="K33" s="31">
        <f>(1/10)*K32</f>
        <v>324.88671674230574</v>
      </c>
      <c r="M33" s="29" t="s">
        <v>75</v>
      </c>
      <c r="N33" s="19">
        <f>(1/10)*N32</f>
        <v>5.931246426529448</v>
      </c>
    </row>
    <row r="34" spans="1:14">
      <c r="A34" s="30">
        <v>7</v>
      </c>
      <c r="B34" s="31">
        <f t="shared" si="5"/>
        <v>39.709909207370494</v>
      </c>
      <c r="D34" s="30">
        <v>7</v>
      </c>
      <c r="E34" s="31">
        <f t="shared" si="6"/>
        <v>45.183491782526147</v>
      </c>
      <c r="G34" s="30">
        <v>7</v>
      </c>
      <c r="H34" s="31">
        <f t="shared" si="7"/>
        <v>32.544210712398112</v>
      </c>
      <c r="J34" s="30">
        <v>7</v>
      </c>
      <c r="K34" s="31">
        <f t="shared" si="8"/>
        <v>32.488671674230574</v>
      </c>
      <c r="M34" s="29" t="s">
        <v>75</v>
      </c>
      <c r="N34" s="19">
        <f t="shared" si="9"/>
        <v>0.59312464265294484</v>
      </c>
    </row>
    <row r="35" spans="1:14">
      <c r="A35" s="32" t="s">
        <v>64</v>
      </c>
      <c r="B35" s="19">
        <f>B39/((B40+B41)*1.66053892E-15)</f>
        <v>99274773018.426178</v>
      </c>
      <c r="D35" s="32" t="s">
        <v>64</v>
      </c>
      <c r="E35" s="19">
        <f>E39/((E40+E41)*1.66053892E-15)</f>
        <v>112958729456.31532</v>
      </c>
      <c r="G35" s="32" t="s">
        <v>64</v>
      </c>
      <c r="H35" s="19">
        <f>H39/((H40+H41)*1.66053892E-15)</f>
        <v>81360526780.995239</v>
      </c>
      <c r="J35" s="32" t="s">
        <v>64</v>
      </c>
      <c r="K35" s="19">
        <f>K39/((K40+K41)*1.66053892E-15)</f>
        <v>81221679185.576401</v>
      </c>
      <c r="M35" s="32" t="s">
        <v>64</v>
      </c>
      <c r="N35" s="19">
        <f>N39*(1*10^-9)*(1/(9.7944*10^5))*(6.02*10^23)</f>
        <v>1186249285.3058891</v>
      </c>
    </row>
    <row r="36" spans="1:14">
      <c r="A36" s="32" t="s">
        <v>65</v>
      </c>
      <c r="B36" s="32">
        <v>4</v>
      </c>
      <c r="D36" s="32" t="s">
        <v>65</v>
      </c>
      <c r="E36" s="32">
        <v>4</v>
      </c>
      <c r="G36" s="32" t="s">
        <v>65</v>
      </c>
      <c r="H36" s="32">
        <v>4</v>
      </c>
      <c r="J36" s="32" t="s">
        <v>65</v>
      </c>
      <c r="K36" s="32">
        <v>4</v>
      </c>
      <c r="M36" s="32" t="s">
        <v>65</v>
      </c>
      <c r="N36" s="32">
        <v>5</v>
      </c>
    </row>
    <row r="37" spans="1:14">
      <c r="A37" s="32" t="s">
        <v>66</v>
      </c>
      <c r="B37" s="19">
        <f>B35*B36</f>
        <v>397099092073.70471</v>
      </c>
      <c r="D37" s="32" t="s">
        <v>66</v>
      </c>
      <c r="E37" s="19">
        <f>E35*E36</f>
        <v>451834917825.26129</v>
      </c>
      <c r="G37" s="32" t="s">
        <v>66</v>
      </c>
      <c r="H37" s="19">
        <f>H35*H36</f>
        <v>325442107123.98096</v>
      </c>
      <c r="J37" s="32" t="s">
        <v>66</v>
      </c>
      <c r="K37" s="19">
        <f>K35*K36</f>
        <v>324886716742.3056</v>
      </c>
      <c r="M37" s="32" t="s">
        <v>66</v>
      </c>
      <c r="N37" s="19">
        <f>N35*N36</f>
        <v>5931246426.5294456</v>
      </c>
    </row>
    <row r="39" spans="1:14">
      <c r="A39" t="s">
        <v>67</v>
      </c>
      <c r="B39" s="33">
        <v>49.8</v>
      </c>
      <c r="D39" t="s">
        <v>67</v>
      </c>
      <c r="E39" s="33">
        <v>57.2</v>
      </c>
      <c r="G39" t="s">
        <v>67</v>
      </c>
      <c r="H39" s="33">
        <v>41.1</v>
      </c>
      <c r="J39" t="s">
        <v>67</v>
      </c>
      <c r="K39" s="33">
        <v>40.5</v>
      </c>
      <c r="M39" t="s">
        <v>67</v>
      </c>
      <c r="N39" s="33">
        <v>1.93</v>
      </c>
    </row>
    <row r="40" spans="1:14" ht="18">
      <c r="A40" t="s">
        <v>68</v>
      </c>
      <c r="B40" s="25">
        <f>AVERAGE(C44:C45)</f>
        <v>262167.71999999997</v>
      </c>
      <c r="D40" t="s">
        <v>68</v>
      </c>
      <c r="E40" s="24">
        <v>265023.19</v>
      </c>
      <c r="G40" t="s">
        <v>68</v>
      </c>
      <c r="H40" s="24">
        <v>264288.09000000003</v>
      </c>
      <c r="J40" t="s">
        <v>68</v>
      </c>
      <c r="K40" s="24">
        <v>260359.47</v>
      </c>
      <c r="M40" t="s">
        <v>76</v>
      </c>
      <c r="N40" s="24"/>
    </row>
    <row r="41" spans="1:14">
      <c r="A41" t="s">
        <v>69</v>
      </c>
      <c r="B41">
        <v>39925.78</v>
      </c>
      <c r="D41" t="s">
        <v>69</v>
      </c>
      <c r="E41">
        <v>39925.78</v>
      </c>
      <c r="G41" t="s">
        <v>69</v>
      </c>
      <c r="H41">
        <v>39925.78</v>
      </c>
      <c r="J41" t="s">
        <v>69</v>
      </c>
      <c r="K41">
        <v>39925.78</v>
      </c>
      <c r="M41" t="s">
        <v>69</v>
      </c>
    </row>
    <row r="43" spans="1:14">
      <c r="B43" t="s">
        <v>77</v>
      </c>
      <c r="D43" t="s">
        <v>77</v>
      </c>
      <c r="G43" t="s">
        <v>77</v>
      </c>
      <c r="J43" t="s">
        <v>77</v>
      </c>
      <c r="M43" t="s">
        <v>77</v>
      </c>
    </row>
    <row r="44" spans="1:14" ht="18">
      <c r="A44" t="s">
        <v>78</v>
      </c>
      <c r="B44">
        <v>843</v>
      </c>
      <c r="C44" s="24">
        <v>260780.31</v>
      </c>
      <c r="D44">
        <v>843</v>
      </c>
      <c r="E44" s="24">
        <v>265023.19</v>
      </c>
      <c r="G44">
        <v>855</v>
      </c>
      <c r="H44" s="24">
        <v>264288.09000000003</v>
      </c>
      <c r="J44">
        <v>842</v>
      </c>
      <c r="K44" s="24">
        <v>260359.47</v>
      </c>
      <c r="M44">
        <f>1492-8</f>
        <v>1484</v>
      </c>
      <c r="N44" s="24"/>
    </row>
    <row r="45" spans="1:14">
      <c r="A45" t="s">
        <v>79</v>
      </c>
      <c r="B45">
        <v>852</v>
      </c>
      <c r="C45">
        <v>263555.13</v>
      </c>
    </row>
    <row r="48" spans="1:14" ht="17" thickBot="1"/>
    <row r="49" spans="1:8" ht="17" thickBot="1">
      <c r="A49" s="26" t="s">
        <v>169</v>
      </c>
      <c r="B49" s="27" t="s">
        <v>172</v>
      </c>
      <c r="D49" s="153" t="s">
        <v>169</v>
      </c>
      <c r="E49" s="154" t="s">
        <v>173</v>
      </c>
      <c r="G49" s="153" t="s">
        <v>169</v>
      </c>
      <c r="H49" s="154" t="s">
        <v>174</v>
      </c>
    </row>
    <row r="50" spans="1:8">
      <c r="A50" s="28" t="s">
        <v>61</v>
      </c>
      <c r="B50" s="28" t="s">
        <v>170</v>
      </c>
      <c r="D50" s="28" t="s">
        <v>61</v>
      </c>
      <c r="E50" s="147" t="s">
        <v>170</v>
      </c>
      <c r="G50" s="28" t="s">
        <v>61</v>
      </c>
      <c r="H50" s="147" t="s">
        <v>170</v>
      </c>
    </row>
    <row r="51" spans="1:8">
      <c r="A51" s="29" t="s">
        <v>63</v>
      </c>
      <c r="B51" s="19">
        <f>(1/10)*B63</f>
        <v>10903187392.979975</v>
      </c>
      <c r="D51" s="29" t="s">
        <v>63</v>
      </c>
      <c r="E51" s="148">
        <f>(1/10)*E63</f>
        <v>11526226672.578833</v>
      </c>
      <c r="G51" s="29" t="s">
        <v>63</v>
      </c>
      <c r="H51" s="148">
        <f>(1/10)*H63</f>
        <v>9158677410.103178</v>
      </c>
    </row>
    <row r="52" spans="1:8">
      <c r="A52" s="29" t="s">
        <v>63</v>
      </c>
      <c r="B52" s="19">
        <f>(1/10)*B51</f>
        <v>1090318739.2979975</v>
      </c>
      <c r="D52" s="29" t="s">
        <v>63</v>
      </c>
      <c r="E52" s="148">
        <f>(1/10)*E51</f>
        <v>1152622667.2578833</v>
      </c>
      <c r="G52" s="29" t="s">
        <v>63</v>
      </c>
      <c r="H52" s="148">
        <f>(1/10)*H51</f>
        <v>915867741.0103178</v>
      </c>
    </row>
    <row r="53" spans="1:8">
      <c r="A53" s="29" t="s">
        <v>63</v>
      </c>
      <c r="B53" s="19">
        <f t="shared" ref="B53:B60" si="10">(1/10)*B52</f>
        <v>109031873.92979975</v>
      </c>
      <c r="D53" s="29" t="s">
        <v>63</v>
      </c>
      <c r="E53" s="148">
        <f t="shared" ref="E53:E60" si="11">(1/10)*E52</f>
        <v>115262266.72578834</v>
      </c>
      <c r="G53" s="157">
        <v>7</v>
      </c>
      <c r="H53" s="149">
        <f>(1/10)*H52</f>
        <v>91586774.10103178</v>
      </c>
    </row>
    <row r="54" spans="1:8">
      <c r="A54" s="157">
        <v>7</v>
      </c>
      <c r="B54" s="31">
        <f t="shared" si="10"/>
        <v>10903187.392979976</v>
      </c>
      <c r="D54" s="157">
        <v>7</v>
      </c>
      <c r="E54" s="149">
        <f t="shared" si="11"/>
        <v>11526226.672578834</v>
      </c>
      <c r="G54" s="157">
        <v>6</v>
      </c>
      <c r="H54" s="149">
        <f t="shared" ref="H54:H60" si="12">(1/10)*H53</f>
        <v>9158677.4101031777</v>
      </c>
    </row>
    <row r="55" spans="1:8">
      <c r="A55" s="157">
        <v>6</v>
      </c>
      <c r="B55" s="31">
        <f t="shared" si="10"/>
        <v>1090318.7392979977</v>
      </c>
      <c r="D55" s="157">
        <v>6</v>
      </c>
      <c r="E55" s="149">
        <f t="shared" si="11"/>
        <v>1152622.6672578834</v>
      </c>
      <c r="G55" s="157">
        <v>5</v>
      </c>
      <c r="H55" s="149">
        <f t="shared" si="12"/>
        <v>915867.74101031781</v>
      </c>
    </row>
    <row r="56" spans="1:8">
      <c r="A56" s="157">
        <v>5</v>
      </c>
      <c r="B56" s="31">
        <f t="shared" si="10"/>
        <v>109031.87392979977</v>
      </c>
      <c r="D56" s="157">
        <v>5</v>
      </c>
      <c r="E56" s="149">
        <f t="shared" si="11"/>
        <v>115262.26672578834</v>
      </c>
      <c r="G56" s="157">
        <v>4</v>
      </c>
      <c r="H56" s="149">
        <f t="shared" si="12"/>
        <v>91586.774101031784</v>
      </c>
    </row>
    <row r="57" spans="1:8">
      <c r="A57" s="157">
        <v>4</v>
      </c>
      <c r="B57" s="31">
        <f t="shared" si="10"/>
        <v>10903.187392979977</v>
      </c>
      <c r="D57" s="157">
        <v>4</v>
      </c>
      <c r="E57" s="149">
        <f t="shared" si="11"/>
        <v>11526.226672578836</v>
      </c>
      <c r="G57" s="157">
        <v>3</v>
      </c>
      <c r="H57" s="149">
        <f t="shared" si="12"/>
        <v>9158.6774101031788</v>
      </c>
    </row>
    <row r="58" spans="1:8">
      <c r="A58" s="157">
        <v>3</v>
      </c>
      <c r="B58" s="31">
        <f t="shared" si="10"/>
        <v>1090.3187392979978</v>
      </c>
      <c r="D58" s="157">
        <v>3</v>
      </c>
      <c r="E58" s="149">
        <f t="shared" si="11"/>
        <v>1152.6226672578837</v>
      </c>
      <c r="G58" s="157">
        <v>2</v>
      </c>
      <c r="H58" s="149">
        <f t="shared" si="12"/>
        <v>915.8677410103179</v>
      </c>
    </row>
    <row r="59" spans="1:8">
      <c r="A59" s="157">
        <v>2</v>
      </c>
      <c r="B59" s="31">
        <f>(1/10)*B58</f>
        <v>109.03187392979979</v>
      </c>
      <c r="D59" s="157">
        <v>2</v>
      </c>
      <c r="E59" s="149">
        <f>(1/10)*E58</f>
        <v>115.26226672578838</v>
      </c>
      <c r="G59" s="157">
        <v>1</v>
      </c>
      <c r="H59" s="149">
        <f>(1/10)*H58</f>
        <v>91.586774101031793</v>
      </c>
    </row>
    <row r="60" spans="1:8">
      <c r="A60" s="157">
        <v>1</v>
      </c>
      <c r="B60" s="31">
        <f t="shared" si="10"/>
        <v>10.90318739297998</v>
      </c>
      <c r="D60" s="157">
        <v>1</v>
      </c>
      <c r="E60" s="149">
        <f t="shared" si="11"/>
        <v>11.526226672578838</v>
      </c>
      <c r="G60" s="151" t="s">
        <v>63</v>
      </c>
      <c r="H60" s="152">
        <f t="shared" si="12"/>
        <v>9.1586774101031789</v>
      </c>
    </row>
    <row r="61" spans="1:8">
      <c r="A61" s="32" t="s">
        <v>64</v>
      </c>
      <c r="B61" s="19">
        <f>B65/((B66+B67)*1.66053892E-15)</f>
        <v>27257968482.449936</v>
      </c>
      <c r="D61" s="32" t="s">
        <v>64</v>
      </c>
      <c r="E61" s="148">
        <f>E65/((E66+E67)*1.66053892E-15)</f>
        <v>28815566681.447079</v>
      </c>
      <c r="G61" s="32" t="s">
        <v>64</v>
      </c>
      <c r="H61" s="148">
        <f>H65/((H66+H67)*1.66053892E-15)</f>
        <v>22896693525.257946</v>
      </c>
    </row>
    <row r="62" spans="1:8">
      <c r="A62" s="32" t="s">
        <v>65</v>
      </c>
      <c r="B62" s="32">
        <v>4</v>
      </c>
      <c r="D62" s="32" t="s">
        <v>65</v>
      </c>
      <c r="E62" s="150">
        <v>4</v>
      </c>
      <c r="G62" s="32" t="s">
        <v>65</v>
      </c>
      <c r="H62" s="150">
        <v>4</v>
      </c>
    </row>
    <row r="63" spans="1:8">
      <c r="A63" s="32" t="s">
        <v>66</v>
      </c>
      <c r="B63" s="19">
        <f>B61*4</f>
        <v>109031873929.79974</v>
      </c>
      <c r="D63" s="32" t="s">
        <v>66</v>
      </c>
      <c r="E63" s="148">
        <f>E61*4</f>
        <v>115262266725.78831</v>
      </c>
      <c r="G63" s="32" t="s">
        <v>66</v>
      </c>
      <c r="H63" s="148">
        <f>H61*4</f>
        <v>91586774101.031784</v>
      </c>
    </row>
    <row r="65" spans="1:8">
      <c r="A65" t="s">
        <v>67</v>
      </c>
      <c r="B65" s="146">
        <v>17.5</v>
      </c>
      <c r="D65" t="s">
        <v>67</v>
      </c>
      <c r="E65" s="33">
        <v>18.5</v>
      </c>
      <c r="G65" t="s">
        <v>67</v>
      </c>
      <c r="H65" s="33">
        <v>14.7</v>
      </c>
    </row>
    <row r="66" spans="1:8">
      <c r="A66" t="s">
        <v>171</v>
      </c>
      <c r="B66">
        <v>346704.18</v>
      </c>
      <c r="D66" t="s">
        <v>171</v>
      </c>
      <c r="E66">
        <v>346704.18</v>
      </c>
      <c r="G66" t="s">
        <v>171</v>
      </c>
      <c r="H66">
        <v>346704.18</v>
      </c>
    </row>
    <row r="67" spans="1:8">
      <c r="A67" t="s">
        <v>69</v>
      </c>
      <c r="B67">
        <v>39925.78</v>
      </c>
      <c r="D67" t="s">
        <v>69</v>
      </c>
      <c r="E67">
        <v>39925.78</v>
      </c>
      <c r="G67" t="s">
        <v>69</v>
      </c>
      <c r="H67">
        <v>39925.78</v>
      </c>
    </row>
    <row r="70" spans="1:8" ht="17" thickBot="1"/>
    <row r="71" spans="1:8" ht="17" thickBot="1">
      <c r="A71" s="14" t="s">
        <v>57</v>
      </c>
      <c r="B71" s="15" t="s">
        <v>175</v>
      </c>
      <c r="C71" s="1"/>
      <c r="D71" s="14" t="s">
        <v>59</v>
      </c>
      <c r="E71" s="15" t="s">
        <v>175</v>
      </c>
      <c r="F71" s="1"/>
      <c r="G71" s="14" t="s">
        <v>60</v>
      </c>
      <c r="H71" s="15" t="s">
        <v>175</v>
      </c>
    </row>
    <row r="72" spans="1:8">
      <c r="A72" s="16" t="s">
        <v>61</v>
      </c>
      <c r="B72" s="17" t="s">
        <v>62</v>
      </c>
      <c r="C72" s="1"/>
      <c r="D72" s="16" t="s">
        <v>61</v>
      </c>
      <c r="E72" s="17" t="s">
        <v>62</v>
      </c>
      <c r="F72" s="1"/>
      <c r="G72" s="16" t="s">
        <v>61</v>
      </c>
      <c r="H72" s="17" t="s">
        <v>62</v>
      </c>
    </row>
    <row r="73" spans="1:8">
      <c r="A73" s="18" t="s">
        <v>63</v>
      </c>
      <c r="B73" s="19">
        <f>(1/10)*B85</f>
        <v>5474061727.6592932</v>
      </c>
      <c r="C73" s="1"/>
      <c r="D73" s="18" t="s">
        <v>63</v>
      </c>
      <c r="E73" s="20">
        <f>(1/10)*E85</f>
        <v>16272376411.189482</v>
      </c>
      <c r="F73" s="1"/>
      <c r="G73" s="18" t="s">
        <v>63</v>
      </c>
      <c r="H73" s="20">
        <f>H85*(1/10)</f>
        <v>13777841031.526199</v>
      </c>
    </row>
    <row r="74" spans="1:8">
      <c r="A74" s="18" t="s">
        <v>63</v>
      </c>
      <c r="B74" s="20">
        <f>B73*(1/10)</f>
        <v>547406172.76592934</v>
      </c>
      <c r="C74" s="1"/>
      <c r="D74" s="18" t="s">
        <v>63</v>
      </c>
      <c r="E74" s="20">
        <f>E73*(1/10)</f>
        <v>1627237641.1189482</v>
      </c>
      <c r="F74" s="1"/>
      <c r="G74" s="18" t="s">
        <v>63</v>
      </c>
      <c r="H74" s="20">
        <f>H73*(1/10)</f>
        <v>1377784103.1526201</v>
      </c>
    </row>
    <row r="75" spans="1:8">
      <c r="A75" s="157">
        <v>7</v>
      </c>
      <c r="B75" s="22">
        <f t="shared" ref="B75:B82" si="13">B74*(1/10)</f>
        <v>54740617.27659294</v>
      </c>
      <c r="C75" s="1"/>
      <c r="D75" s="18" t="s">
        <v>63</v>
      </c>
      <c r="E75" s="20">
        <f t="shared" ref="E75:E82" si="14">E74*(1/10)</f>
        <v>162723764.11189485</v>
      </c>
      <c r="F75" s="1"/>
      <c r="G75" s="18" t="s">
        <v>63</v>
      </c>
      <c r="H75" s="20">
        <f t="shared" ref="H75:H82" si="15">H74*(1/10)</f>
        <v>137778410.31526202</v>
      </c>
    </row>
    <row r="76" spans="1:8">
      <c r="A76" s="157">
        <v>6</v>
      </c>
      <c r="B76" s="22">
        <f>B75*(1/10)</f>
        <v>5474061.7276592944</v>
      </c>
      <c r="C76" s="1"/>
      <c r="D76" s="157">
        <v>7</v>
      </c>
      <c r="E76" s="22">
        <f t="shared" si="14"/>
        <v>16272376.411189485</v>
      </c>
      <c r="F76" s="1"/>
      <c r="G76" s="157">
        <v>7</v>
      </c>
      <c r="H76" s="22">
        <f t="shared" si="15"/>
        <v>13777841.031526202</v>
      </c>
    </row>
    <row r="77" spans="1:8">
      <c r="A77" s="157">
        <v>5</v>
      </c>
      <c r="B77" s="22">
        <f t="shared" si="13"/>
        <v>547406.17276592948</v>
      </c>
      <c r="C77" s="1"/>
      <c r="D77" s="157">
        <v>6</v>
      </c>
      <c r="E77" s="22">
        <f t="shared" si="14"/>
        <v>1627237.6411189486</v>
      </c>
      <c r="F77" s="1"/>
      <c r="G77" s="157">
        <v>6</v>
      </c>
      <c r="H77" s="22">
        <f t="shared" si="15"/>
        <v>1377784.1031526204</v>
      </c>
    </row>
    <row r="78" spans="1:8">
      <c r="A78" s="157">
        <v>4</v>
      </c>
      <c r="B78" s="22">
        <f t="shared" si="13"/>
        <v>54740.617276592951</v>
      </c>
      <c r="C78" s="1"/>
      <c r="D78" s="157">
        <v>5</v>
      </c>
      <c r="E78" s="22">
        <f t="shared" si="14"/>
        <v>162723.76411189488</v>
      </c>
      <c r="F78" s="1"/>
      <c r="G78" s="157">
        <v>5</v>
      </c>
      <c r="H78" s="22">
        <f t="shared" si="15"/>
        <v>137778.41031526204</v>
      </c>
    </row>
    <row r="79" spans="1:8">
      <c r="A79" s="157">
        <v>3</v>
      </c>
      <c r="B79" s="22">
        <f t="shared" si="13"/>
        <v>5474.0617276592957</v>
      </c>
      <c r="C79" s="1"/>
      <c r="D79" s="157">
        <v>4</v>
      </c>
      <c r="E79" s="22">
        <f t="shared" si="14"/>
        <v>16272.376411189489</v>
      </c>
      <c r="F79" s="1"/>
      <c r="G79" s="157">
        <v>4</v>
      </c>
      <c r="H79" s="22">
        <f t="shared" si="15"/>
        <v>13777.841031526204</v>
      </c>
    </row>
    <row r="80" spans="1:8">
      <c r="A80" s="157">
        <v>2</v>
      </c>
      <c r="B80" s="22">
        <f t="shared" si="13"/>
        <v>547.40617276592957</v>
      </c>
      <c r="C80" s="1"/>
      <c r="D80" s="157">
        <v>3</v>
      </c>
      <c r="E80" s="22">
        <f t="shared" si="14"/>
        <v>1627.2376411189489</v>
      </c>
      <c r="F80" s="1"/>
      <c r="G80" s="157">
        <v>3</v>
      </c>
      <c r="H80" s="22">
        <f t="shared" si="15"/>
        <v>1377.7841031526204</v>
      </c>
    </row>
    <row r="81" spans="1:8">
      <c r="A81" s="157">
        <v>1</v>
      </c>
      <c r="B81" s="22">
        <f t="shared" si="13"/>
        <v>54.740617276592957</v>
      </c>
      <c r="C81" s="1"/>
      <c r="D81" s="157">
        <v>2</v>
      </c>
      <c r="E81" s="22">
        <f t="shared" si="14"/>
        <v>162.72376411189489</v>
      </c>
      <c r="F81" s="1"/>
      <c r="G81" s="157">
        <v>2</v>
      </c>
      <c r="H81" s="22">
        <f t="shared" si="15"/>
        <v>137.77841031526205</v>
      </c>
    </row>
    <row r="82" spans="1:8">
      <c r="A82" s="155" t="s">
        <v>63</v>
      </c>
      <c r="B82" s="156">
        <f t="shared" si="13"/>
        <v>5.4740617276592962</v>
      </c>
      <c r="C82" s="1"/>
      <c r="D82" s="157">
        <v>1</v>
      </c>
      <c r="E82" s="22">
        <f t="shared" si="14"/>
        <v>16.272376411189491</v>
      </c>
      <c r="F82" s="1"/>
      <c r="G82" s="157">
        <v>1</v>
      </c>
      <c r="H82" s="22">
        <f t="shared" si="15"/>
        <v>13.777841031526206</v>
      </c>
    </row>
    <row r="83" spans="1:8">
      <c r="A83" s="16" t="s">
        <v>64</v>
      </c>
      <c r="B83" s="19">
        <f>B87/((B88+B89)*1.66053892E-15)</f>
        <v>13685154319.148232</v>
      </c>
      <c r="C83" s="1"/>
      <c r="D83" s="16" t="s">
        <v>64</v>
      </c>
      <c r="E83" s="19">
        <f>E87/((E88+E89)*1.66053892E-15)</f>
        <v>40680941027.973701</v>
      </c>
      <c r="F83" s="1"/>
      <c r="G83" s="16" t="s">
        <v>64</v>
      </c>
      <c r="H83" s="19">
        <f>H87/((H88+H89)*1.66053892E-15)</f>
        <v>34444602578.815498</v>
      </c>
    </row>
    <row r="84" spans="1:8">
      <c r="A84" s="16" t="s">
        <v>65</v>
      </c>
      <c r="B84" s="17">
        <v>4</v>
      </c>
      <c r="C84" s="1"/>
      <c r="D84" s="16" t="s">
        <v>65</v>
      </c>
      <c r="E84" s="17">
        <v>4</v>
      </c>
      <c r="F84" s="1"/>
      <c r="G84" s="16" t="s">
        <v>65</v>
      </c>
      <c r="H84" s="17">
        <v>4</v>
      </c>
    </row>
    <row r="85" spans="1:8">
      <c r="A85" s="16" t="s">
        <v>66</v>
      </c>
      <c r="B85" s="20">
        <f>B83*B84</f>
        <v>54740617276.592926</v>
      </c>
      <c r="C85" s="1"/>
      <c r="D85" s="16" t="s">
        <v>66</v>
      </c>
      <c r="E85" s="20">
        <f>E83*E84</f>
        <v>162723764111.89481</v>
      </c>
      <c r="F85" s="1"/>
      <c r="G85" s="16" t="s">
        <v>66</v>
      </c>
      <c r="H85" s="20">
        <f>H83*H84</f>
        <v>137778410315.26199</v>
      </c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 t="s">
        <v>67</v>
      </c>
      <c r="B87" s="23">
        <f>(6.2+7.53)/2</f>
        <v>6.8650000000000002</v>
      </c>
      <c r="C87" s="1"/>
      <c r="D87" s="1" t="s">
        <v>67</v>
      </c>
      <c r="E87" s="23">
        <v>20.6</v>
      </c>
      <c r="F87" s="1"/>
      <c r="G87" s="1" t="s">
        <v>67</v>
      </c>
      <c r="H87" s="23">
        <v>17.399999999999999</v>
      </c>
    </row>
    <row r="88" spans="1:8" ht="18">
      <c r="A88" s="1" t="s">
        <v>68</v>
      </c>
      <c r="B88" s="25">
        <v>262168</v>
      </c>
      <c r="C88" s="1"/>
      <c r="D88" s="1" t="s">
        <v>68</v>
      </c>
      <c r="E88" s="24">
        <v>265023.19</v>
      </c>
      <c r="F88" s="1"/>
      <c r="G88" s="1" t="s">
        <v>68</v>
      </c>
      <c r="H88" s="24">
        <v>264288.09000000003</v>
      </c>
    </row>
    <row r="89" spans="1:8">
      <c r="A89" s="1" t="s">
        <v>69</v>
      </c>
      <c r="B89" s="1">
        <v>39925.78</v>
      </c>
      <c r="C89" s="1"/>
      <c r="D89" s="1" t="s">
        <v>69</v>
      </c>
      <c r="E89" s="1">
        <v>39925.78</v>
      </c>
      <c r="F89" s="1"/>
      <c r="G89" s="1" t="s">
        <v>69</v>
      </c>
      <c r="H89" s="1">
        <v>39925.78</v>
      </c>
    </row>
  </sheetData>
  <pageMargins left="0.7" right="0.7" top="0.75" bottom="0.75" header="0.3" footer="0.3"/>
  <pageSetup scale="5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63EE-EEDC-064B-8BCD-5FB258139C35}">
  <dimension ref="A1:K95"/>
  <sheetViews>
    <sheetView topLeftCell="A69" workbookViewId="0">
      <selection activeCell="H100" sqref="H100"/>
    </sheetView>
  </sheetViews>
  <sheetFormatPr baseColWidth="10" defaultRowHeight="16"/>
  <cols>
    <col min="9" max="9" width="20.33203125" bestFit="1" customWidth="1"/>
    <col min="10" max="10" width="12.83203125" bestFit="1" customWidth="1"/>
    <col min="11" max="11" width="13" bestFit="1" customWidth="1"/>
  </cols>
  <sheetData>
    <row r="1" spans="1:11">
      <c r="A1" s="209" t="s">
        <v>177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37" thickBot="1">
      <c r="A2" s="99" t="s">
        <v>0</v>
      </c>
      <c r="B2" s="99" t="s">
        <v>1</v>
      </c>
      <c r="C2" s="99"/>
      <c r="D2" s="99"/>
      <c r="E2" s="99" t="s">
        <v>2</v>
      </c>
      <c r="F2" s="99" t="s">
        <v>3</v>
      </c>
      <c r="G2" s="100" t="s">
        <v>4</v>
      </c>
      <c r="H2" s="99" t="s">
        <v>5</v>
      </c>
      <c r="I2" s="99" t="s">
        <v>6</v>
      </c>
      <c r="J2" s="99" t="s">
        <v>7</v>
      </c>
      <c r="K2" s="99" t="s">
        <v>8</v>
      </c>
    </row>
    <row r="3" spans="1:11" ht="18" thickTop="1" thickBot="1">
      <c r="A3" s="2" t="s">
        <v>15</v>
      </c>
      <c r="B3" s="205">
        <f>'Plate Layout'!B22</f>
        <v>16.93</v>
      </c>
      <c r="C3" s="205">
        <f>'Plate Layout'!C22</f>
        <v>16.53</v>
      </c>
      <c r="D3" s="205">
        <f>'Plate Layout'!D22</f>
        <v>16.8</v>
      </c>
      <c r="E3" s="207">
        <f t="shared" ref="E3:E10" si="0">AVERAGE(B3:D3)</f>
        <v>16.753333333333334</v>
      </c>
      <c r="F3" s="102">
        <v>10903187.392979976</v>
      </c>
      <c r="G3" s="103">
        <f>LOG(F3)</f>
        <v>7.0375534763651793</v>
      </c>
      <c r="H3" s="104"/>
      <c r="I3" s="104">
        <f t="shared" ref="I3:I9" si="1">1.96*((STDEV(B3:D3)/SQRT(3)))</f>
        <v>0.23089580141507718</v>
      </c>
      <c r="J3" s="104">
        <f>STDEV(B3:D3)</f>
        <v>0.2040424792373712</v>
      </c>
      <c r="K3" s="104">
        <f>PERCENTILE(B3:D3,0.05)</f>
        <v>16.557000000000002</v>
      </c>
    </row>
    <row r="4" spans="1:11" ht="18" thickTop="1" thickBot="1">
      <c r="A4" s="2" t="s">
        <v>14</v>
      </c>
      <c r="B4" s="205">
        <f>'Plate Layout'!B21</f>
        <v>18.88</v>
      </c>
      <c r="C4" s="205">
        <f>'Plate Layout'!C21</f>
        <v>18.71</v>
      </c>
      <c r="D4" s="205">
        <f>'Plate Layout'!D21</f>
        <v>18.88</v>
      </c>
      <c r="E4" s="207">
        <f t="shared" si="0"/>
        <v>18.823333333333334</v>
      </c>
      <c r="F4" s="102">
        <v>1090318.7392979977</v>
      </c>
      <c r="G4" s="103">
        <f t="shared" ref="G4:G9" si="2">LOG(F4)</f>
        <v>6.0375534763651793</v>
      </c>
      <c r="H4" s="104">
        <f t="shared" ref="H4:H9" si="3">E4-E3</f>
        <v>2.0700000000000003</v>
      </c>
      <c r="I4" s="104">
        <f t="shared" si="1"/>
        <v>0.11106666666666547</v>
      </c>
      <c r="J4" s="104">
        <f t="shared" ref="J4:J9" si="4">STDEV(B4:D4)</f>
        <v>9.8149545762235307E-2</v>
      </c>
      <c r="K4" s="104">
        <f t="shared" ref="K4:K9" si="5">PERCENTILE(B4:D4,0.05)</f>
        <v>18.727</v>
      </c>
    </row>
    <row r="5" spans="1:11" ht="18" thickTop="1" thickBot="1">
      <c r="A5" s="2" t="s">
        <v>13</v>
      </c>
      <c r="B5" s="205">
        <f>'Plate Layout'!B20</f>
        <v>22.98</v>
      </c>
      <c r="C5" s="205">
        <f>'Plate Layout'!C20</f>
        <v>22.76</v>
      </c>
      <c r="D5" s="205">
        <f>'Plate Layout'!D20</f>
        <v>22.82</v>
      </c>
      <c r="E5" s="207">
        <f t="shared" si="0"/>
        <v>22.853333333333335</v>
      </c>
      <c r="F5" s="102">
        <v>109031.87392979977</v>
      </c>
      <c r="G5" s="103">
        <f t="shared" si="2"/>
        <v>5.0375534763651793</v>
      </c>
      <c r="H5" s="104">
        <f t="shared" si="3"/>
        <v>4.0300000000000011</v>
      </c>
      <c r="I5" s="104">
        <f t="shared" si="1"/>
        <v>0.12869174194346858</v>
      </c>
      <c r="J5" s="104">
        <f t="shared" si="4"/>
        <v>0.11372481406154608</v>
      </c>
      <c r="K5" s="104">
        <f t="shared" si="5"/>
        <v>22.766000000000002</v>
      </c>
    </row>
    <row r="6" spans="1:11" ht="18" thickTop="1" thickBot="1">
      <c r="A6" s="2" t="s">
        <v>12</v>
      </c>
      <c r="B6" s="205">
        <f>'Plate Layout'!B19</f>
        <v>26.56</v>
      </c>
      <c r="C6" s="205">
        <f>'Plate Layout'!C19</f>
        <v>26.71</v>
      </c>
      <c r="D6" s="205">
        <f>'Plate Layout'!D19</f>
        <v>26.68</v>
      </c>
      <c r="E6" s="207">
        <f t="shared" si="0"/>
        <v>26.649999999999995</v>
      </c>
      <c r="F6" s="102">
        <v>10903.187392979977</v>
      </c>
      <c r="G6" s="103">
        <f t="shared" si="2"/>
        <v>4.0375534763651793</v>
      </c>
      <c r="H6" s="104">
        <f t="shared" si="3"/>
        <v>3.7966666666666598</v>
      </c>
      <c r="I6" s="104">
        <f t="shared" si="1"/>
        <v>8.9818483621135592E-2</v>
      </c>
      <c r="J6" s="104">
        <f t="shared" si="4"/>
        <v>7.9372539331938705E-2</v>
      </c>
      <c r="K6" s="104">
        <f t="shared" si="5"/>
        <v>26.571999999999999</v>
      </c>
    </row>
    <row r="7" spans="1:11" ht="18" thickTop="1" thickBot="1">
      <c r="A7" s="2" t="s">
        <v>11</v>
      </c>
      <c r="B7" s="205">
        <f>'Plate Layout'!B18</f>
        <v>30.35</v>
      </c>
      <c r="C7" s="205">
        <f>'Plate Layout'!C18</f>
        <v>30.51</v>
      </c>
      <c r="D7" s="205">
        <f>'Plate Layout'!D18</f>
        <v>30.67</v>
      </c>
      <c r="E7" s="207">
        <f t="shared" si="0"/>
        <v>30.51</v>
      </c>
      <c r="F7" s="102">
        <v>1090.3187392979978</v>
      </c>
      <c r="G7" s="103">
        <f t="shared" si="2"/>
        <v>3.0375534763651788</v>
      </c>
      <c r="H7" s="104">
        <f t="shared" si="3"/>
        <v>3.8600000000000065</v>
      </c>
      <c r="I7" s="104">
        <f t="shared" si="1"/>
        <v>0.1810570444178668</v>
      </c>
      <c r="J7" s="104">
        <f t="shared" si="4"/>
        <v>0.16000000000000014</v>
      </c>
      <c r="K7" s="104">
        <f t="shared" si="5"/>
        <v>30.366000000000003</v>
      </c>
    </row>
    <row r="8" spans="1:11" ht="18" thickTop="1" thickBot="1">
      <c r="A8" s="2" t="s">
        <v>10</v>
      </c>
      <c r="B8" s="205">
        <f>'Plate Layout'!B17</f>
        <v>34.07</v>
      </c>
      <c r="C8" s="205">
        <f>'Plate Layout'!C17</f>
        <v>34.840000000000003</v>
      </c>
      <c r="D8" s="205">
        <f>'Plate Layout'!D17</f>
        <v>34.58</v>
      </c>
      <c r="E8" s="207">
        <f t="shared" si="0"/>
        <v>34.496666666666663</v>
      </c>
      <c r="F8" s="102">
        <v>109.03187392979979</v>
      </c>
      <c r="G8" s="103">
        <f t="shared" si="2"/>
        <v>2.0375534763651788</v>
      </c>
      <c r="H8" s="104">
        <f t="shared" si="3"/>
        <v>3.986666666666661</v>
      </c>
      <c r="I8" s="104">
        <f t="shared" si="1"/>
        <v>0.44325669513023597</v>
      </c>
      <c r="J8" s="104">
        <f t="shared" si="4"/>
        <v>0.39170567181665145</v>
      </c>
      <c r="K8" s="104">
        <f t="shared" si="5"/>
        <v>34.121000000000002</v>
      </c>
    </row>
    <row r="9" spans="1:11" ht="18" thickTop="1" thickBot="1">
      <c r="A9" s="2" t="s">
        <v>9</v>
      </c>
      <c r="B9" s="197">
        <f>'Plate Layout'!B16</f>
        <v>34.68</v>
      </c>
      <c r="C9" s="197"/>
      <c r="D9" s="197">
        <f>'Plate Layout'!D16</f>
        <v>40</v>
      </c>
      <c r="E9" s="206">
        <f t="shared" si="0"/>
        <v>37.340000000000003</v>
      </c>
      <c r="F9" s="102">
        <v>10.90318739297998</v>
      </c>
      <c r="G9" s="103">
        <f t="shared" si="2"/>
        <v>1.037553476365179</v>
      </c>
      <c r="H9" s="104">
        <f t="shared" si="3"/>
        <v>2.8433333333333408</v>
      </c>
      <c r="I9" s="104">
        <f t="shared" si="1"/>
        <v>4.2568865743247928</v>
      </c>
      <c r="J9" s="104">
        <f t="shared" si="4"/>
        <v>3.761808075912433</v>
      </c>
      <c r="K9" s="104">
        <f t="shared" si="5"/>
        <v>34.945999999999998</v>
      </c>
    </row>
    <row r="10" spans="1:11" ht="18" thickTop="1" thickBot="1">
      <c r="A10" s="2" t="s">
        <v>130</v>
      </c>
      <c r="B10" s="197">
        <v>45</v>
      </c>
      <c r="C10" s="197">
        <v>45</v>
      </c>
      <c r="D10" s="197">
        <v>45</v>
      </c>
      <c r="E10" s="206">
        <f t="shared" si="0"/>
        <v>45</v>
      </c>
      <c r="F10" s="102">
        <v>0</v>
      </c>
      <c r="G10" s="103"/>
      <c r="H10" s="83"/>
      <c r="I10" s="104">
        <f>1.96*((STDEV(B10:D10)/SQRT(3)))</f>
        <v>0</v>
      </c>
      <c r="J10" s="104">
        <f>STDEV(B10:D10)</f>
        <v>0</v>
      </c>
      <c r="K10" s="104">
        <f>PERCENTILE(B10:D10,0.05)</f>
        <v>45</v>
      </c>
    </row>
    <row r="11" spans="1:11" ht="17" thickTop="1"/>
    <row r="12" spans="1:11" ht="17" thickBot="1">
      <c r="A12" s="1"/>
      <c r="B12" s="1"/>
      <c r="C12" s="1"/>
      <c r="D12" s="1"/>
      <c r="E12" s="1"/>
      <c r="F12" s="1"/>
      <c r="G12" s="1"/>
      <c r="H12" s="1"/>
    </row>
    <row r="13" spans="1:11">
      <c r="A13" s="1"/>
      <c r="B13" s="1"/>
      <c r="C13" s="1"/>
      <c r="D13" s="1"/>
      <c r="E13" s="1"/>
      <c r="F13" s="1"/>
      <c r="G13" s="1"/>
      <c r="H13" s="1"/>
      <c r="I13" s="81"/>
      <c r="J13" s="86" t="s">
        <v>16</v>
      </c>
      <c r="K13" s="87" t="s">
        <v>17</v>
      </c>
    </row>
    <row r="14" spans="1:11">
      <c r="A14" s="1"/>
      <c r="B14" s="1"/>
      <c r="C14" s="1"/>
      <c r="D14" s="1"/>
      <c r="E14" s="1"/>
      <c r="F14" s="1"/>
      <c r="G14" s="1"/>
      <c r="H14" s="1"/>
      <c r="I14" s="94" t="s">
        <v>18</v>
      </c>
      <c r="J14" s="112">
        <f>10^((K10-J25)/J30)</f>
        <v>0.11336427238564137</v>
      </c>
      <c r="K14" s="113">
        <f>J14/40</f>
        <v>2.8341068096410342E-3</v>
      </c>
    </row>
    <row r="15" spans="1:11">
      <c r="A15" s="1"/>
      <c r="B15" s="1"/>
      <c r="C15" s="1"/>
      <c r="D15" s="1"/>
      <c r="E15" s="1"/>
      <c r="F15" s="1"/>
      <c r="G15" s="1"/>
      <c r="H15" s="1"/>
      <c r="I15" s="94" t="s">
        <v>19</v>
      </c>
      <c r="J15" s="112">
        <f>10^((AVERAGE(B8:D8)-J25)/J30)</f>
        <v>86.315100756514326</v>
      </c>
      <c r="K15" s="113">
        <f>J15/40</f>
        <v>2.1578775189128581</v>
      </c>
    </row>
    <row r="16" spans="1:11">
      <c r="A16" s="1"/>
      <c r="B16" s="1"/>
      <c r="C16" s="1"/>
      <c r="D16" s="1"/>
      <c r="E16" s="1"/>
      <c r="F16" s="1"/>
      <c r="G16" s="1"/>
      <c r="H16" s="1"/>
      <c r="I16" s="94" t="s">
        <v>20</v>
      </c>
      <c r="J16" s="112">
        <f>10^(((AVERAGE(B8:D8)-2*(J8))-J25)/J30)</f>
        <v>141.5850035440989</v>
      </c>
      <c r="K16" s="113">
        <f>J16/40</f>
        <v>3.5396250886024725</v>
      </c>
    </row>
    <row r="17" spans="1:11">
      <c r="A17" s="1"/>
      <c r="B17" s="1"/>
      <c r="C17" s="1"/>
      <c r="D17" s="1"/>
      <c r="E17" s="1"/>
      <c r="F17" s="1"/>
      <c r="G17" s="1"/>
      <c r="H17" s="1"/>
      <c r="I17" s="88" t="s">
        <v>21</v>
      </c>
      <c r="J17" s="200">
        <f>RSQ(B3:B8,G3:G8)</f>
        <v>0.9935825737728754</v>
      </c>
      <c r="K17" s="89"/>
    </row>
    <row r="18" spans="1:11">
      <c r="A18" s="1"/>
      <c r="B18" s="1"/>
      <c r="C18" s="1"/>
      <c r="D18" s="1"/>
      <c r="E18" s="1"/>
      <c r="F18" s="1"/>
      <c r="G18" s="1"/>
      <c r="H18" s="1"/>
      <c r="I18" s="88" t="s">
        <v>22</v>
      </c>
      <c r="J18" s="200">
        <f>RSQ(C3:C8,G3:G8)</f>
        <v>0.99330930504910453</v>
      </c>
      <c r="K18" s="89"/>
    </row>
    <row r="19" spans="1:11">
      <c r="A19" s="1"/>
      <c r="B19" s="1"/>
      <c r="C19" s="1"/>
      <c r="D19" s="1"/>
      <c r="E19" s="1"/>
      <c r="F19" s="1"/>
      <c r="G19" s="1"/>
      <c r="H19" s="1"/>
      <c r="I19" s="88" t="s">
        <v>23</v>
      </c>
      <c r="J19" s="200">
        <f>RSQ(D3:D8,G3:G8)</f>
        <v>0.99309432147580179</v>
      </c>
      <c r="K19" s="89"/>
    </row>
    <row r="20" spans="1:11">
      <c r="A20" s="1"/>
      <c r="B20" s="1"/>
      <c r="C20" s="1"/>
      <c r="D20" s="1"/>
      <c r="E20" s="1"/>
      <c r="F20" s="1"/>
      <c r="G20" s="1"/>
      <c r="H20" s="1"/>
      <c r="I20" s="88" t="s">
        <v>24</v>
      </c>
      <c r="J20" s="200">
        <f>AVERAGE(J17:J19)</f>
        <v>0.99332873343259387</v>
      </c>
      <c r="K20" s="89"/>
    </row>
    <row r="21" spans="1:11">
      <c r="A21" s="1"/>
      <c r="B21" s="1"/>
      <c r="C21" s="1"/>
      <c r="D21" s="1"/>
      <c r="E21" s="1"/>
      <c r="F21" s="1"/>
      <c r="G21" s="1"/>
      <c r="H21" s="1"/>
      <c r="I21" s="90" t="s">
        <v>25</v>
      </c>
      <c r="J21" s="198">
        <f>STDEV(J17:J19)</f>
        <v>2.4470527775912794E-4</v>
      </c>
      <c r="K21" s="89"/>
    </row>
    <row r="22" spans="1:11">
      <c r="A22" s="1"/>
      <c r="B22" s="1"/>
      <c r="C22" s="1"/>
      <c r="D22" s="1"/>
      <c r="E22" s="1"/>
      <c r="F22" s="1"/>
      <c r="G22" s="1"/>
      <c r="H22" s="1"/>
      <c r="I22" s="88" t="s">
        <v>26</v>
      </c>
      <c r="J22" s="203">
        <f>INTERCEPT(B3:B8,G3:G8)</f>
        <v>40.997380652141217</v>
      </c>
      <c r="K22" s="89"/>
    </row>
    <row r="23" spans="1:11">
      <c r="A23" s="1"/>
      <c r="B23" s="1"/>
      <c r="C23" s="1"/>
      <c r="D23" s="1"/>
      <c r="E23" s="1"/>
      <c r="F23" s="1"/>
      <c r="G23" s="1"/>
      <c r="H23" s="1"/>
      <c r="I23" s="88" t="s">
        <v>27</v>
      </c>
      <c r="J23" s="203">
        <f>INTERCEPT(C3:C8,G3:G8)</f>
        <v>41.980450001605774</v>
      </c>
      <c r="K23" s="89"/>
    </row>
    <row r="24" spans="1:11">
      <c r="A24" s="1"/>
      <c r="B24" s="1"/>
      <c r="C24" s="1"/>
      <c r="D24" s="1"/>
      <c r="E24" s="1"/>
      <c r="F24" s="1"/>
      <c r="G24" s="1"/>
      <c r="H24" s="1"/>
      <c r="I24" s="88" t="s">
        <v>28</v>
      </c>
      <c r="J24" s="203">
        <f>INTERCEPT(D3:D8,G3:G8)</f>
        <v>41.68300172171439</v>
      </c>
      <c r="K24" s="89"/>
    </row>
    <row r="25" spans="1:11">
      <c r="A25" s="1"/>
      <c r="B25" s="1"/>
      <c r="C25" s="1"/>
      <c r="D25" s="1"/>
      <c r="E25" s="1"/>
      <c r="F25" s="1"/>
      <c r="G25" s="1"/>
      <c r="H25" s="1"/>
      <c r="I25" s="88" t="s">
        <v>24</v>
      </c>
      <c r="J25" s="203">
        <f>AVERAGE(J22:J24)</f>
        <v>41.553610791820461</v>
      </c>
      <c r="K25" s="89"/>
    </row>
    <row r="26" spans="1:11">
      <c r="A26" s="1"/>
      <c r="B26" s="1"/>
      <c r="C26" s="1"/>
      <c r="D26" s="1"/>
      <c r="E26" s="1"/>
      <c r="F26" s="1"/>
      <c r="G26" s="1"/>
      <c r="H26" s="1"/>
      <c r="I26" s="90" t="s">
        <v>25</v>
      </c>
      <c r="J26" s="201">
        <f>STDEV(J22:J24)</f>
        <v>0.50414565952537849</v>
      </c>
      <c r="K26" s="89"/>
    </row>
    <row r="27" spans="1:11" ht="17" thickBot="1">
      <c r="A27" s="1"/>
      <c r="B27" s="1"/>
      <c r="C27" s="1"/>
      <c r="D27" s="1"/>
      <c r="E27" s="1"/>
      <c r="F27" s="1"/>
      <c r="G27" s="1"/>
      <c r="H27" s="1"/>
      <c r="I27" s="88" t="s">
        <v>29</v>
      </c>
      <c r="J27" s="201">
        <f>SLOPE(B3:B8,G3:G8)</f>
        <v>-3.5339999999999998</v>
      </c>
      <c r="K27" s="89"/>
    </row>
    <row r="28" spans="1:11">
      <c r="A28" s="106"/>
      <c r="B28" s="107"/>
      <c r="C28" s="110" t="s">
        <v>33</v>
      </c>
      <c r="D28" s="110" t="s">
        <v>34</v>
      </c>
      <c r="E28" s="110" t="s">
        <v>35</v>
      </c>
      <c r="F28" s="111" t="s">
        <v>36</v>
      </c>
      <c r="G28" s="1"/>
      <c r="I28" s="88" t="s">
        <v>30</v>
      </c>
      <c r="J28" s="114">
        <f>SLOPE(C3:C8,G3:G8)</f>
        <v>-3.74</v>
      </c>
      <c r="K28" s="89"/>
    </row>
    <row r="29" spans="1:11">
      <c r="A29" s="108" t="s">
        <v>32</v>
      </c>
      <c r="B29" s="105">
        <f>10^(-1/SLOPE(E3:E8,G3:G8))-1</f>
        <v>0.88084066820936702</v>
      </c>
      <c r="C29" s="105">
        <f>10^(-1/SLOPE(B3:B8,G3:G8))-1</f>
        <v>0.91851623299066287</v>
      </c>
      <c r="D29" s="105">
        <f>10^(-1/SLOPE(C3:C8,G3:G8))-1</f>
        <v>0.85088603702383314</v>
      </c>
      <c r="E29" s="105">
        <f>10^(-1/SLOPE(D3:D8,G3:G8))-1</f>
        <v>0.87568571894064995</v>
      </c>
      <c r="F29" s="109">
        <f>STDEV(C29:E29)</f>
        <v>3.4213351593287471E-2</v>
      </c>
      <c r="I29" s="88" t="s">
        <v>31</v>
      </c>
      <c r="J29" s="201">
        <f>SLOPE(D3:D8,G3:G8)</f>
        <v>-3.6608571428571421</v>
      </c>
      <c r="K29" s="89"/>
    </row>
    <row r="30" spans="1:11" ht="17" thickBot="1">
      <c r="A30" s="72"/>
      <c r="B30" s="93"/>
      <c r="C30" s="93"/>
      <c r="D30" s="93"/>
      <c r="E30" s="93"/>
      <c r="F30" s="92"/>
      <c r="I30" s="88" t="s">
        <v>24</v>
      </c>
      <c r="J30" s="201">
        <f>AVERAGE(J27:J29)</f>
        <v>-3.6449523809523807</v>
      </c>
      <c r="K30" s="73"/>
    </row>
    <row r="31" spans="1:11" ht="17" thickBot="1">
      <c r="I31" s="91" t="s">
        <v>25</v>
      </c>
      <c r="J31" s="202">
        <f>STDEV(J27:J29)</f>
        <v>0.10391689510582677</v>
      </c>
      <c r="K31" s="92"/>
    </row>
    <row r="33" spans="1:11">
      <c r="A33" s="209" t="s">
        <v>178</v>
      </c>
      <c r="B33" s="209"/>
      <c r="C33" s="209"/>
      <c r="D33" s="209"/>
      <c r="E33" s="209"/>
      <c r="F33" s="209"/>
      <c r="G33" s="209"/>
      <c r="H33" s="209"/>
      <c r="I33" s="209"/>
      <c r="J33" s="209"/>
      <c r="K33" s="209"/>
    </row>
    <row r="34" spans="1:11" ht="37" thickBot="1">
      <c r="A34" s="99" t="s">
        <v>0</v>
      </c>
      <c r="B34" s="99" t="s">
        <v>1</v>
      </c>
      <c r="C34" s="99"/>
      <c r="D34" s="99"/>
      <c r="E34" s="99" t="s">
        <v>2</v>
      </c>
      <c r="F34" s="99" t="s">
        <v>3</v>
      </c>
      <c r="G34" s="100" t="s">
        <v>4</v>
      </c>
      <c r="H34" s="99" t="s">
        <v>5</v>
      </c>
      <c r="I34" s="99" t="s">
        <v>6</v>
      </c>
      <c r="J34" s="99" t="s">
        <v>7</v>
      </c>
      <c r="K34" s="99" t="s">
        <v>8</v>
      </c>
    </row>
    <row r="35" spans="1:11" ht="18" thickTop="1" thickBot="1">
      <c r="A35" s="2" t="s">
        <v>15</v>
      </c>
      <c r="B35" s="205">
        <f>'Plate Layout'!H16</f>
        <v>13.25</v>
      </c>
      <c r="C35" s="205">
        <f>'Plate Layout'!I16</f>
        <v>13.16</v>
      </c>
      <c r="D35" s="205">
        <f>'Plate Layout'!J16</f>
        <v>13.36</v>
      </c>
      <c r="E35" s="101">
        <f t="shared" ref="E35:E42" si="6">AVERAGE(B35:D35)</f>
        <v>13.256666666666666</v>
      </c>
      <c r="F35" s="102">
        <v>11526226.672578834</v>
      </c>
      <c r="G35" s="103">
        <f>LOG(F35)</f>
        <v>7.0616871560818986</v>
      </c>
      <c r="H35" s="104"/>
      <c r="I35" s="104">
        <f t="shared" ref="I35:I41" si="7">1.96*((STDEV(B35:D35)/SQRT(3)))</f>
        <v>0.11334909694292974</v>
      </c>
      <c r="J35" s="104">
        <f>STDEV(B35:D35)</f>
        <v>0.10016652800877777</v>
      </c>
      <c r="K35" s="104">
        <f>PERCENTILE(B35:D35,0.05)</f>
        <v>13.169</v>
      </c>
    </row>
    <row r="36" spans="1:11" ht="18" thickTop="1" thickBot="1">
      <c r="A36" s="2" t="s">
        <v>14</v>
      </c>
      <c r="B36" s="205">
        <f>'Plate Layout'!H15</f>
        <v>16.73</v>
      </c>
      <c r="C36" s="205">
        <f>'Plate Layout'!I15</f>
        <v>16.66</v>
      </c>
      <c r="D36" s="205">
        <f>'Plate Layout'!J15</f>
        <v>16.63</v>
      </c>
      <c r="E36" s="101">
        <f t="shared" si="6"/>
        <v>16.673333333333332</v>
      </c>
      <c r="F36" s="102">
        <v>1152622.6672578834</v>
      </c>
      <c r="G36" s="103">
        <f t="shared" ref="G36:G41" si="8">LOG(F36)</f>
        <v>6.0616871560818986</v>
      </c>
      <c r="H36" s="104">
        <f t="shared" ref="H36:H41" si="9">E36-E35</f>
        <v>3.4166666666666661</v>
      </c>
      <c r="I36" s="104">
        <f t="shared" si="7"/>
        <v>5.8069536859795899E-2</v>
      </c>
      <c r="J36" s="104">
        <f t="shared" ref="J36:J41" si="10">STDEV(B36:D36)</f>
        <v>5.1316014394469478E-2</v>
      </c>
      <c r="K36" s="104">
        <f t="shared" ref="K36:K41" si="11">PERCENTILE(B36:D36,0.05)</f>
        <v>16.632999999999999</v>
      </c>
    </row>
    <row r="37" spans="1:11" ht="18" thickTop="1" thickBot="1">
      <c r="A37" s="2" t="s">
        <v>13</v>
      </c>
      <c r="B37" s="205">
        <f>'Plate Layout'!E22</f>
        <v>20.18</v>
      </c>
      <c r="C37" s="205">
        <f>'Plate Layout'!F22</f>
        <v>20.02</v>
      </c>
      <c r="D37" s="205">
        <f>'Plate Layout'!G22</f>
        <v>19.86</v>
      </c>
      <c r="E37" s="101">
        <f t="shared" si="6"/>
        <v>20.02</v>
      </c>
      <c r="F37" s="102">
        <v>115262.26672578834</v>
      </c>
      <c r="G37" s="103">
        <f t="shared" si="8"/>
        <v>5.0616871560818986</v>
      </c>
      <c r="H37" s="104">
        <f t="shared" si="9"/>
        <v>3.3466666666666676</v>
      </c>
      <c r="I37" s="104">
        <f t="shared" si="7"/>
        <v>0.1810570444178668</v>
      </c>
      <c r="J37" s="104">
        <f t="shared" si="10"/>
        <v>0.16000000000000014</v>
      </c>
      <c r="K37" s="104">
        <f t="shared" si="11"/>
        <v>19.876000000000001</v>
      </c>
    </row>
    <row r="38" spans="1:11" ht="18" thickTop="1" thickBot="1">
      <c r="A38" s="2" t="s">
        <v>12</v>
      </c>
      <c r="B38" s="205">
        <f>'Plate Layout'!E21</f>
        <v>23.48</v>
      </c>
      <c r="C38" s="205">
        <f>'Plate Layout'!F21</f>
        <v>23.54</v>
      </c>
      <c r="D38" s="205">
        <f>'Plate Layout'!G21</f>
        <v>23.35</v>
      </c>
      <c r="E38" s="101">
        <f>AVERAGE(B38:D38)</f>
        <v>23.456666666666667</v>
      </c>
      <c r="F38" s="102">
        <v>11526.226672578836</v>
      </c>
      <c r="G38" s="103">
        <f t="shared" si="8"/>
        <v>4.0616871560818986</v>
      </c>
      <c r="H38" s="104">
        <f t="shared" si="9"/>
        <v>3.4366666666666674</v>
      </c>
      <c r="I38" s="104">
        <f>1.96*((STDEV(B38:D38)/SQRT(3)))</f>
        <v>0.10990767842956881</v>
      </c>
      <c r="J38" s="104">
        <f>STDEV(B38:D38)</f>
        <v>9.7125348562222005E-2</v>
      </c>
      <c r="K38" s="104">
        <f>PERCENTILE(B38:D38,0.05)</f>
        <v>23.363000000000003</v>
      </c>
    </row>
    <row r="39" spans="1:11" ht="18" thickTop="1" thickBot="1">
      <c r="A39" s="2" t="s">
        <v>11</v>
      </c>
      <c r="B39" s="205">
        <f>'Plate Layout'!E20</f>
        <v>26.75</v>
      </c>
      <c r="C39" s="205">
        <f>'Plate Layout'!F20</f>
        <v>26.53</v>
      </c>
      <c r="D39" s="205">
        <f>'Plate Layout'!G20</f>
        <v>26.7</v>
      </c>
      <c r="E39" s="101">
        <f>AVERAGE(B39:D39)</f>
        <v>26.66</v>
      </c>
      <c r="F39" s="102">
        <v>1152.6226672578837</v>
      </c>
      <c r="G39" s="103">
        <f t="shared" si="8"/>
        <v>3.0616871560818986</v>
      </c>
      <c r="H39" s="104">
        <f t="shared" si="9"/>
        <v>3.2033333333333331</v>
      </c>
      <c r="I39" s="104">
        <f>1.96*((STDEV(B39:D39)/SQRT(3)))</f>
        <v>0.13050323112219525</v>
      </c>
      <c r="J39" s="104">
        <f>STDEV(B39:D39)</f>
        <v>0.1153256259467072</v>
      </c>
      <c r="K39" s="104">
        <f>PERCENTILE(B39:D39,0.05)</f>
        <v>26.547000000000001</v>
      </c>
    </row>
    <row r="40" spans="1:11" ht="18" thickTop="1" thickBot="1">
      <c r="A40" s="2" t="s">
        <v>10</v>
      </c>
      <c r="B40" s="205">
        <f>'Plate Layout'!E19</f>
        <v>29.59</v>
      </c>
      <c r="C40" s="205">
        <f>'Plate Layout'!F19</f>
        <v>29.49</v>
      </c>
      <c r="D40" s="205">
        <f>'Plate Layout'!G19</f>
        <v>30.02</v>
      </c>
      <c r="E40" s="101">
        <f t="shared" si="6"/>
        <v>29.7</v>
      </c>
      <c r="F40" s="102">
        <v>115.26226672578838</v>
      </c>
      <c r="G40" s="103">
        <f t="shared" si="8"/>
        <v>2.0616871560818986</v>
      </c>
      <c r="H40" s="104">
        <f t="shared" si="9"/>
        <v>3.0399999999999991</v>
      </c>
      <c r="I40" s="104">
        <f t="shared" si="7"/>
        <v>0.31866329147445516</v>
      </c>
      <c r="J40" s="104">
        <f t="shared" si="10"/>
        <v>0.28160255680657481</v>
      </c>
      <c r="K40" s="104">
        <f t="shared" si="11"/>
        <v>29.5</v>
      </c>
    </row>
    <row r="41" spans="1:11" ht="18" thickTop="1" thickBot="1">
      <c r="A41" s="2" t="s">
        <v>9</v>
      </c>
      <c r="B41" s="197">
        <f>'Plate Layout'!E18</f>
        <v>30.77</v>
      </c>
      <c r="C41" s="197">
        <f>'Plate Layout'!F18</f>
        <v>30.75</v>
      </c>
      <c r="D41" s="197">
        <f>'Plate Layout'!G18</f>
        <v>29.79</v>
      </c>
      <c r="E41" s="206">
        <f t="shared" si="6"/>
        <v>30.436666666666667</v>
      </c>
      <c r="F41" s="102">
        <v>11.526226672578838</v>
      </c>
      <c r="G41" s="103">
        <f t="shared" si="8"/>
        <v>1.0616871560818986</v>
      </c>
      <c r="H41" s="104">
        <f t="shared" si="9"/>
        <v>0.73666666666666814</v>
      </c>
      <c r="I41" s="104">
        <f t="shared" si="7"/>
        <v>0.63383435620918471</v>
      </c>
      <c r="J41" s="104">
        <f t="shared" si="10"/>
        <v>0.56011903496786619</v>
      </c>
      <c r="K41" s="104">
        <f t="shared" si="11"/>
        <v>29.885999999999999</v>
      </c>
    </row>
    <row r="42" spans="1:11" ht="18" thickTop="1" thickBot="1">
      <c r="A42" s="2" t="s">
        <v>130</v>
      </c>
      <c r="B42" s="10">
        <v>45</v>
      </c>
      <c r="C42" s="10">
        <v>45</v>
      </c>
      <c r="D42" s="10">
        <v>45</v>
      </c>
      <c r="E42" s="206">
        <f t="shared" si="6"/>
        <v>45</v>
      </c>
      <c r="F42" s="102">
        <v>0</v>
      </c>
      <c r="G42" s="103"/>
      <c r="H42" s="83"/>
      <c r="I42" s="104">
        <f>1.96*((STDEV(B42:D42)/SQRT(3)))</f>
        <v>0</v>
      </c>
      <c r="J42" s="104">
        <f>STDEV(B42:D42)</f>
        <v>0</v>
      </c>
      <c r="K42" s="104">
        <f>PERCENTILE(B42:D42,0.05)</f>
        <v>45</v>
      </c>
    </row>
    <row r="43" spans="1:11" ht="17" thickTop="1"/>
    <row r="44" spans="1:11" ht="17" thickBot="1">
      <c r="A44" s="1"/>
      <c r="B44" s="1"/>
      <c r="C44" s="1"/>
      <c r="D44" s="1"/>
      <c r="E44" s="1"/>
      <c r="F44" s="1"/>
      <c r="G44" s="1"/>
      <c r="H44" s="1"/>
    </row>
    <row r="45" spans="1:11">
      <c r="A45" s="1"/>
      <c r="B45" s="1"/>
      <c r="C45" s="1"/>
      <c r="D45" s="1"/>
      <c r="E45" s="1"/>
      <c r="F45" s="1"/>
      <c r="G45" s="1"/>
      <c r="H45" s="1"/>
      <c r="I45" s="81"/>
      <c r="J45" s="86" t="s">
        <v>16</v>
      </c>
      <c r="K45" s="87" t="s">
        <v>17</v>
      </c>
    </row>
    <row r="46" spans="1:11">
      <c r="A46" s="1"/>
      <c r="B46" s="1"/>
      <c r="C46" s="1"/>
      <c r="D46" s="1"/>
      <c r="E46" s="1"/>
      <c r="F46" s="1"/>
      <c r="G46" s="1"/>
      <c r="H46" s="1"/>
      <c r="I46" s="94" t="s">
        <v>18</v>
      </c>
      <c r="J46" s="112">
        <f>10^((K42-J57)/J62)</f>
        <v>3.0629393124822512E-3</v>
      </c>
      <c r="K46" s="113">
        <f>J46/40</f>
        <v>7.6573482812056286E-5</v>
      </c>
    </row>
    <row r="47" spans="1:11">
      <c r="A47" s="1"/>
      <c r="B47" s="1"/>
      <c r="C47" s="1"/>
      <c r="D47" s="1"/>
      <c r="E47" s="1"/>
      <c r="F47" s="1"/>
      <c r="G47" s="1"/>
      <c r="H47" s="1"/>
      <c r="I47" s="94" t="s">
        <v>19</v>
      </c>
      <c r="J47" s="112">
        <f>10^((AVERAGE(B41:D41)-J57)/J62)</f>
        <v>78.513367462064394</v>
      </c>
      <c r="K47" s="113">
        <f>J47/40</f>
        <v>1.9628341865516099</v>
      </c>
    </row>
    <row r="48" spans="1:11">
      <c r="A48" s="1"/>
      <c r="B48" s="1"/>
      <c r="C48" s="1"/>
      <c r="D48" s="1"/>
      <c r="E48" s="1"/>
      <c r="F48" s="1"/>
      <c r="G48" s="1"/>
      <c r="H48" s="1"/>
      <c r="I48" s="94" t="s">
        <v>20</v>
      </c>
      <c r="J48" s="112">
        <f>10^(((AVERAGE(B41:D41)-2*(J41))-J57)/J62)</f>
        <v>171.42608822450427</v>
      </c>
      <c r="K48" s="113">
        <f>J48/40</f>
        <v>4.2856522056126067</v>
      </c>
    </row>
    <row r="49" spans="1:11">
      <c r="A49" s="1"/>
      <c r="B49" s="1"/>
      <c r="C49" s="1"/>
      <c r="D49" s="1"/>
      <c r="E49" s="1"/>
      <c r="F49" s="1"/>
      <c r="G49" s="1"/>
      <c r="H49" s="1"/>
      <c r="I49" s="88" t="s">
        <v>21</v>
      </c>
      <c r="J49" s="200">
        <f>RSQ(B35:B40,G35:G40)</f>
        <v>0.99892796188156907</v>
      </c>
      <c r="K49" s="89"/>
    </row>
    <row r="50" spans="1:11">
      <c r="A50" s="1"/>
      <c r="B50" s="1"/>
      <c r="C50" s="1"/>
      <c r="D50" s="1"/>
      <c r="E50" s="1"/>
      <c r="F50" s="1"/>
      <c r="G50" s="1"/>
      <c r="H50" s="1"/>
      <c r="I50" s="88" t="s">
        <v>22</v>
      </c>
      <c r="J50" s="200">
        <f>RSQ(C35:C40,G35:G40)</f>
        <v>0.99872045224056494</v>
      </c>
      <c r="K50" s="89"/>
    </row>
    <row r="51" spans="1:11">
      <c r="A51" s="1"/>
      <c r="B51" s="1"/>
      <c r="C51" s="1"/>
      <c r="D51" s="1"/>
      <c r="E51" s="1"/>
      <c r="F51" s="1"/>
      <c r="G51" s="1"/>
      <c r="H51" s="1"/>
      <c r="I51" s="88" t="s">
        <v>23</v>
      </c>
      <c r="J51" s="200">
        <f>RSQ(D35:D40,G35:G40)</f>
        <v>0.99989369722935451</v>
      </c>
      <c r="K51" s="89"/>
    </row>
    <row r="52" spans="1:11">
      <c r="A52" s="1"/>
      <c r="B52" s="1"/>
      <c r="C52" s="1"/>
      <c r="D52" s="1"/>
      <c r="E52" s="1"/>
      <c r="F52" s="1"/>
      <c r="G52" s="1"/>
      <c r="H52" s="1"/>
      <c r="I52" s="88" t="s">
        <v>24</v>
      </c>
      <c r="J52" s="200">
        <f>AVERAGE(J49:J51)</f>
        <v>0.9991807037838295</v>
      </c>
      <c r="K52" s="89"/>
    </row>
    <row r="53" spans="1:11">
      <c r="A53" s="1"/>
      <c r="B53" s="1"/>
      <c r="C53" s="1"/>
      <c r="D53" s="1"/>
      <c r="E53" s="1"/>
      <c r="F53" s="1"/>
      <c r="G53" s="1"/>
      <c r="H53" s="1"/>
      <c r="I53" s="90" t="s">
        <v>25</v>
      </c>
      <c r="J53" s="198">
        <f>STDEV(J49:J51)</f>
        <v>6.2612682644862402E-4</v>
      </c>
      <c r="K53" s="89"/>
    </row>
    <row r="54" spans="1:11">
      <c r="A54" s="1"/>
      <c r="B54" s="1"/>
      <c r="C54" s="1"/>
      <c r="D54" s="1"/>
      <c r="E54" s="1"/>
      <c r="F54" s="1"/>
      <c r="G54" s="1"/>
      <c r="H54" s="1"/>
      <c r="I54" s="88" t="s">
        <v>26</v>
      </c>
      <c r="J54" s="203">
        <f>INTERCEPT(B35:B40,G35:G40)</f>
        <v>36.65955402415571</v>
      </c>
      <c r="K54" s="89"/>
    </row>
    <row r="55" spans="1:11">
      <c r="A55" s="1"/>
      <c r="B55" s="1"/>
      <c r="C55" s="1"/>
      <c r="D55" s="1"/>
      <c r="E55" s="1"/>
      <c r="F55" s="1"/>
      <c r="G55" s="1"/>
      <c r="H55" s="1"/>
      <c r="I55" s="88" t="s">
        <v>27</v>
      </c>
      <c r="J55" s="203">
        <f>INTERCEPT(C35:C40,G35:G40)</f>
        <v>36.52639386024039</v>
      </c>
      <c r="K55" s="89"/>
    </row>
    <row r="56" spans="1:11">
      <c r="A56" s="1"/>
      <c r="B56" s="1"/>
      <c r="C56" s="1"/>
      <c r="D56" s="1"/>
      <c r="E56" s="1"/>
      <c r="F56" s="1"/>
      <c r="G56" s="1"/>
      <c r="H56" s="1"/>
      <c r="I56" s="88" t="s">
        <v>28</v>
      </c>
      <c r="J56" s="203">
        <f>INTERCEPT(D35:D40,G35:G40)</f>
        <v>36.902401826521398</v>
      </c>
      <c r="K56" s="89"/>
    </row>
    <row r="57" spans="1:11">
      <c r="A57" s="1"/>
      <c r="B57" s="1"/>
      <c r="C57" s="1"/>
      <c r="D57" s="1"/>
      <c r="E57" s="1"/>
      <c r="F57" s="1"/>
      <c r="G57" s="1"/>
      <c r="H57" s="1"/>
      <c r="I57" s="88" t="s">
        <v>24</v>
      </c>
      <c r="J57" s="203">
        <f>AVERAGE(J54:J56)</f>
        <v>36.696116570305833</v>
      </c>
      <c r="K57" s="89"/>
    </row>
    <row r="58" spans="1:11">
      <c r="A58" s="1"/>
      <c r="B58" s="1"/>
      <c r="C58" s="1"/>
      <c r="D58" s="1"/>
      <c r="E58" s="1"/>
      <c r="F58" s="1"/>
      <c r="G58" s="1"/>
      <c r="H58" s="1"/>
      <c r="I58" s="90" t="s">
        <v>25</v>
      </c>
      <c r="J58" s="200">
        <f>STDEV(J54:J56)</f>
        <v>0.19065180962275152</v>
      </c>
      <c r="K58" s="89"/>
    </row>
    <row r="59" spans="1:11" ht="17" thickBot="1">
      <c r="A59" s="1"/>
      <c r="B59" s="1"/>
      <c r="C59" s="1"/>
      <c r="D59" s="1"/>
      <c r="E59" s="1"/>
      <c r="F59" s="1"/>
      <c r="G59" s="1"/>
      <c r="H59" s="1"/>
      <c r="I59" s="88" t="s">
        <v>29</v>
      </c>
      <c r="J59" s="201">
        <f>SLOPE(B35:B40,G35:G40)</f>
        <v>-3.2874285714285714</v>
      </c>
      <c r="K59" s="89"/>
    </row>
    <row r="60" spans="1:11">
      <c r="A60" s="106"/>
      <c r="B60" s="107"/>
      <c r="C60" s="110" t="s">
        <v>33</v>
      </c>
      <c r="D60" s="110" t="s">
        <v>34</v>
      </c>
      <c r="E60" s="110" t="s">
        <v>35</v>
      </c>
      <c r="F60" s="111" t="s">
        <v>36</v>
      </c>
      <c r="G60" s="1"/>
      <c r="I60" s="88" t="s">
        <v>30</v>
      </c>
      <c r="J60" s="201">
        <f>SLOPE(C35:C40,G35:G40)</f>
        <v>-3.2794285714285709</v>
      </c>
      <c r="K60" s="89"/>
    </row>
    <row r="61" spans="1:11">
      <c r="A61" s="108" t="s">
        <v>32</v>
      </c>
      <c r="B61" s="105">
        <f>10^(-1/SLOPE(E35:E40,G35:G40))-1</f>
        <v>1.0078591716889727</v>
      </c>
      <c r="C61" s="105">
        <f>10^(-1/SLOPE(B35:B40,G35:G40))-1</f>
        <v>1.0146013411010544</v>
      </c>
      <c r="D61" s="105">
        <f>10^(-1/SLOPE(C35:C40,G35:G40))-1</f>
        <v>1.0180465167811636</v>
      </c>
      <c r="E61" s="105">
        <f>10^(-1/SLOPE(D35:D40,G35:G40))-1</f>
        <v>0.9913394573407337</v>
      </c>
      <c r="F61" s="109">
        <f>STDEV(C61:E61)</f>
        <v>1.4527281780040303E-2</v>
      </c>
      <c r="I61" s="88" t="s">
        <v>31</v>
      </c>
      <c r="J61" s="201">
        <f>SLOPE(D35:D40,G35:G40)</f>
        <v>-3.342857142857143</v>
      </c>
      <c r="K61" s="89"/>
    </row>
    <row r="62" spans="1:11" ht="17" thickBot="1">
      <c r="A62" s="72"/>
      <c r="B62" s="93"/>
      <c r="C62" s="93"/>
      <c r="D62" s="93"/>
      <c r="E62" s="93"/>
      <c r="F62" s="92"/>
      <c r="I62" s="88" t="s">
        <v>24</v>
      </c>
      <c r="J62" s="201">
        <f>AVERAGE(J59:J61)</f>
        <v>-3.3032380952380951</v>
      </c>
      <c r="K62" s="73"/>
    </row>
    <row r="63" spans="1:11" ht="17" thickBot="1">
      <c r="I63" s="91" t="s">
        <v>25</v>
      </c>
      <c r="J63" s="204">
        <f>STDEV(J59:J61)</f>
        <v>3.4543475515360203E-2</v>
      </c>
      <c r="K63" s="92"/>
    </row>
    <row r="65" spans="1:11">
      <c r="A65" s="209" t="s">
        <v>179</v>
      </c>
      <c r="B65" s="209"/>
      <c r="C65" s="209"/>
      <c r="D65" s="209"/>
      <c r="E65" s="209"/>
      <c r="F65" s="209"/>
      <c r="G65" s="209"/>
      <c r="H65" s="209"/>
      <c r="I65" s="209"/>
      <c r="J65" s="209"/>
      <c r="K65" s="209"/>
    </row>
    <row r="66" spans="1:11" ht="37" thickBot="1">
      <c r="A66" s="99" t="s">
        <v>0</v>
      </c>
      <c r="B66" s="99" t="s">
        <v>1</v>
      </c>
      <c r="C66" s="99"/>
      <c r="D66" s="99"/>
      <c r="E66" s="99" t="s">
        <v>2</v>
      </c>
      <c r="F66" s="99" t="s">
        <v>3</v>
      </c>
      <c r="G66" s="100" t="s">
        <v>4</v>
      </c>
      <c r="H66" s="99" t="s">
        <v>5</v>
      </c>
      <c r="I66" s="99" t="s">
        <v>6</v>
      </c>
      <c r="J66" s="99" t="s">
        <v>7</v>
      </c>
      <c r="K66" s="99" t="s">
        <v>8</v>
      </c>
    </row>
    <row r="67" spans="1:11" ht="18" thickTop="1" thickBot="1">
      <c r="A67" s="2" t="s">
        <v>15</v>
      </c>
      <c r="B67" s="205">
        <f>'Plate Layout'!K18</f>
        <v>9.74</v>
      </c>
      <c r="C67" s="205">
        <f>'Plate Layout'!L18</f>
        <v>9.73</v>
      </c>
      <c r="D67" s="205">
        <f>'Plate Layout'!M18</f>
        <v>9.66</v>
      </c>
      <c r="E67" s="207">
        <f t="shared" ref="E67:E74" si="12">AVERAGE(B67:D67)</f>
        <v>9.7099999999999991</v>
      </c>
      <c r="F67" s="102">
        <v>91586774.10103178</v>
      </c>
      <c r="G67" s="103">
        <f>LOG(F67)</f>
        <v>7.9618327624270604</v>
      </c>
      <c r="H67" s="104"/>
      <c r="I67" s="104">
        <f t="shared" ref="I67:I73" si="13">1.96*((STDEV(B67:D67)/SQRT(3)))</f>
        <v>4.9325584977102335E-2</v>
      </c>
      <c r="J67" s="104">
        <f>STDEV(B67:D67)</f>
        <v>4.3588989435406823E-2</v>
      </c>
      <c r="K67" s="104">
        <f>PERCENTILE(B67:D67,0.05)</f>
        <v>9.6669999999999998</v>
      </c>
    </row>
    <row r="68" spans="1:11" ht="18" thickTop="1" thickBot="1">
      <c r="A68" s="2" t="s">
        <v>14</v>
      </c>
      <c r="B68" s="205">
        <f>'Plate Layout'!K17</f>
        <v>13.01</v>
      </c>
      <c r="C68" s="205">
        <f>'Plate Layout'!L17</f>
        <v>12.95</v>
      </c>
      <c r="D68" s="205">
        <f>'Plate Layout'!M17</f>
        <v>13.13</v>
      </c>
      <c r="E68" s="207">
        <f t="shared" si="12"/>
        <v>13.030000000000001</v>
      </c>
      <c r="F68" s="102">
        <v>9158677.4101031777</v>
      </c>
      <c r="G68" s="103">
        <f t="shared" ref="G68:G73" si="14">LOG(F68)</f>
        <v>6.9618327624270604</v>
      </c>
      <c r="H68" s="104">
        <f t="shared" ref="H68:H73" si="15">E68-E67</f>
        <v>3.3200000000000021</v>
      </c>
      <c r="I68" s="104">
        <f t="shared" si="13"/>
        <v>0.10371345139373281</v>
      </c>
      <c r="J68" s="104">
        <f t="shared" ref="J68:J73" si="16">STDEV(B68:D68)</f>
        <v>9.1651513899117562E-2</v>
      </c>
      <c r="K68" s="104">
        <f t="shared" ref="K68:K73" si="17">PERCENTILE(B68:D68,0.05)</f>
        <v>12.956</v>
      </c>
    </row>
    <row r="69" spans="1:11" ht="18" thickTop="1" thickBot="1">
      <c r="A69" s="2" t="s">
        <v>13</v>
      </c>
      <c r="B69" s="205">
        <f>'Plate Layout'!K16</f>
        <v>16.64</v>
      </c>
      <c r="C69" s="205">
        <f>'Plate Layout'!L16</f>
        <v>16.27</v>
      </c>
      <c r="D69" s="205">
        <f>'Plate Layout'!M16</f>
        <v>16.63</v>
      </c>
      <c r="E69" s="207">
        <f t="shared" si="12"/>
        <v>16.513333333333332</v>
      </c>
      <c r="F69" s="102">
        <v>915867.74101031781</v>
      </c>
      <c r="G69" s="103">
        <f t="shared" si="14"/>
        <v>5.9618327624270604</v>
      </c>
      <c r="H69" s="104">
        <f t="shared" si="15"/>
        <v>3.4833333333333307</v>
      </c>
      <c r="I69" s="104">
        <f t="shared" si="13"/>
        <v>0.23853378051010832</v>
      </c>
      <c r="J69" s="104">
        <f t="shared" si="16"/>
        <v>0.21079215671683185</v>
      </c>
      <c r="K69" s="104">
        <f t="shared" si="17"/>
        <v>16.306000000000001</v>
      </c>
    </row>
    <row r="70" spans="1:11" ht="18" thickTop="1" thickBot="1">
      <c r="A70" s="2" t="s">
        <v>12</v>
      </c>
      <c r="B70" s="205"/>
      <c r="C70" s="205"/>
      <c r="D70" s="205"/>
      <c r="E70" s="207"/>
      <c r="F70" s="102">
        <v>91586.774101031784</v>
      </c>
      <c r="G70" s="103"/>
      <c r="H70" s="104">
        <f t="shared" si="15"/>
        <v>-16.513333333333332</v>
      </c>
      <c r="I70" s="104"/>
      <c r="J70" s="104"/>
      <c r="K70" s="104"/>
    </row>
    <row r="71" spans="1:11" ht="18" thickTop="1" thickBot="1">
      <c r="A71" s="2" t="s">
        <v>11</v>
      </c>
      <c r="B71" s="205">
        <f>'Plate Layout'!H22</f>
        <v>24.04</v>
      </c>
      <c r="C71" s="205">
        <f>'Plate Layout'!I22</f>
        <v>24.08</v>
      </c>
      <c r="D71" s="205">
        <f>'Plate Layout'!J22</f>
        <v>24.07</v>
      </c>
      <c r="E71" s="207">
        <f t="shared" si="12"/>
        <v>24.063333333333333</v>
      </c>
      <c r="F71" s="102">
        <v>9158.6774101031788</v>
      </c>
      <c r="G71" s="103">
        <f t="shared" si="14"/>
        <v>3.9618327624270604</v>
      </c>
      <c r="H71" s="104">
        <f t="shared" si="15"/>
        <v>24.063333333333333</v>
      </c>
      <c r="I71" s="104">
        <f t="shared" si="13"/>
        <v>2.3556268333031219E-2</v>
      </c>
      <c r="J71" s="104">
        <f t="shared" si="16"/>
        <v>2.0816659994661167E-2</v>
      </c>
      <c r="K71" s="104">
        <f t="shared" si="17"/>
        <v>24.042999999999999</v>
      </c>
    </row>
    <row r="72" spans="1:11" ht="18" thickTop="1" thickBot="1">
      <c r="A72" s="2" t="s">
        <v>10</v>
      </c>
      <c r="B72" s="205">
        <f>'Plate Layout'!H21</f>
        <v>27.36</v>
      </c>
      <c r="C72" s="205">
        <f>'Plate Layout'!I21</f>
        <v>27.16</v>
      </c>
      <c r="D72" s="205">
        <f>'Plate Layout'!J21</f>
        <v>27.25</v>
      </c>
      <c r="E72" s="207">
        <f t="shared" si="12"/>
        <v>27.256666666666664</v>
      </c>
      <c r="F72" s="102">
        <v>915.8677410103179</v>
      </c>
      <c r="G72" s="103">
        <f t="shared" si="14"/>
        <v>2.9618327624270604</v>
      </c>
      <c r="H72" s="104">
        <f t="shared" si="15"/>
        <v>3.1933333333333316</v>
      </c>
      <c r="I72" s="104">
        <f t="shared" si="13"/>
        <v>0.11334909694292973</v>
      </c>
      <c r="J72" s="104">
        <f t="shared" si="16"/>
        <v>0.10016652800877776</v>
      </c>
      <c r="K72" s="104">
        <f t="shared" si="17"/>
        <v>27.169</v>
      </c>
    </row>
    <row r="73" spans="1:11" ht="18" thickTop="1" thickBot="1">
      <c r="A73" s="2" t="s">
        <v>9</v>
      </c>
      <c r="B73" s="205">
        <f>'Plate Layout'!H20</f>
        <v>26.97</v>
      </c>
      <c r="C73" s="205">
        <f>'Plate Layout'!I20</f>
        <v>30.16</v>
      </c>
      <c r="D73" s="205">
        <f>'Plate Layout'!J20</f>
        <v>31.85</v>
      </c>
      <c r="E73" s="207">
        <f t="shared" si="12"/>
        <v>29.659999999999997</v>
      </c>
      <c r="F73" s="102">
        <v>91.586774101031793</v>
      </c>
      <c r="G73" s="103">
        <f t="shared" si="14"/>
        <v>1.9618327624270606</v>
      </c>
      <c r="H73" s="104">
        <f t="shared" si="15"/>
        <v>2.4033333333333324</v>
      </c>
      <c r="I73" s="104">
        <f t="shared" si="13"/>
        <v>2.8042616235532205</v>
      </c>
      <c r="J73" s="104">
        <f t="shared" si="16"/>
        <v>2.4781242906682479</v>
      </c>
      <c r="K73" s="104">
        <f t="shared" si="17"/>
        <v>27.288999999999998</v>
      </c>
    </row>
    <row r="74" spans="1:11" ht="18" thickTop="1" thickBot="1">
      <c r="A74" s="2" t="s">
        <v>130</v>
      </c>
      <c r="B74" s="197">
        <f>'Plate Layout'!K22</f>
        <v>32.79</v>
      </c>
      <c r="C74" s="197">
        <f>'Plate Layout'!L22</f>
        <v>33.840000000000003</v>
      </c>
      <c r="D74" s="197"/>
      <c r="E74" s="206">
        <f t="shared" si="12"/>
        <v>33.314999999999998</v>
      </c>
      <c r="F74" s="102">
        <v>0</v>
      </c>
      <c r="G74" s="103"/>
      <c r="H74" s="83"/>
      <c r="I74" s="104">
        <f>1.96*((STDEV(B74:D74)/SQRT(3)))</f>
        <v>0.84017498177463346</v>
      </c>
      <c r="J74" s="104">
        <f>STDEV(B74:D74)</f>
        <v>0.74246212024587788</v>
      </c>
      <c r="K74" s="104">
        <f>PERCENTILE(B74:D74,0.05)</f>
        <v>32.842500000000001</v>
      </c>
    </row>
    <row r="75" spans="1:11" ht="17" thickTop="1"/>
    <row r="76" spans="1:11" ht="17" thickBot="1">
      <c r="A76" s="1"/>
      <c r="B76" s="1"/>
      <c r="C76" s="1"/>
      <c r="D76" s="1"/>
      <c r="E76" s="1"/>
      <c r="F76" s="1"/>
      <c r="G76" s="1"/>
      <c r="H76" s="1"/>
    </row>
    <row r="77" spans="1:11">
      <c r="A77" s="1"/>
      <c r="B77" s="1"/>
      <c r="C77" s="1"/>
      <c r="D77" s="1"/>
      <c r="E77" s="1"/>
      <c r="F77" s="1"/>
      <c r="G77" s="1"/>
      <c r="H77" s="1"/>
      <c r="I77" s="81"/>
      <c r="J77" s="86" t="s">
        <v>16</v>
      </c>
      <c r="K77" s="87" t="s">
        <v>17</v>
      </c>
    </row>
    <row r="78" spans="1:11">
      <c r="A78" s="1"/>
      <c r="B78" s="1"/>
      <c r="C78" s="1"/>
      <c r="D78" s="1"/>
      <c r="E78" s="1"/>
      <c r="F78" s="1"/>
      <c r="G78" s="1"/>
      <c r="H78" s="1"/>
      <c r="I78" s="94" t="s">
        <v>18</v>
      </c>
      <c r="J78" s="112">
        <f>10^((K74-J89)/J94)</f>
        <v>16.662192428373565</v>
      </c>
      <c r="K78" s="113">
        <f>J78/40</f>
        <v>0.41655481070933914</v>
      </c>
    </row>
    <row r="79" spans="1:11">
      <c r="A79" s="1"/>
      <c r="B79" s="1"/>
      <c r="C79" s="1"/>
      <c r="D79" s="1"/>
      <c r="E79" s="1"/>
      <c r="F79" s="1"/>
      <c r="G79" s="1"/>
      <c r="H79" s="1"/>
      <c r="I79" s="94" t="s">
        <v>19</v>
      </c>
      <c r="J79" s="112">
        <f>10^((AVERAGE(B72:D72)-J89)/J94)</f>
        <v>713.55327022184929</v>
      </c>
      <c r="K79" s="113">
        <f>J79/40</f>
        <v>17.838831755546231</v>
      </c>
    </row>
    <row r="80" spans="1:11">
      <c r="A80" s="1"/>
      <c r="B80" s="1"/>
      <c r="C80" s="1"/>
      <c r="D80" s="1"/>
      <c r="E80" s="1"/>
      <c r="F80" s="1"/>
      <c r="G80" s="1"/>
      <c r="H80" s="1"/>
      <c r="I80" s="94" t="s">
        <v>20</v>
      </c>
      <c r="J80" s="112">
        <f>10^(((AVERAGE(B72:D72)-2*(J72))-J89)/J94)</f>
        <v>816.48137224654624</v>
      </c>
      <c r="K80" s="113">
        <f>J80/40</f>
        <v>20.412034306163655</v>
      </c>
    </row>
    <row r="81" spans="1:11">
      <c r="A81" s="1"/>
      <c r="B81" s="1"/>
      <c r="C81" s="1"/>
      <c r="D81" s="1"/>
      <c r="E81" s="1"/>
      <c r="F81" s="1"/>
      <c r="G81" s="1"/>
      <c r="H81" s="1"/>
      <c r="I81" s="88" t="s">
        <v>21</v>
      </c>
      <c r="J81" s="200">
        <f>RSQ(B67:B73,G67:G73)</f>
        <v>0.97038590879222408</v>
      </c>
      <c r="K81" s="89"/>
    </row>
    <row r="82" spans="1:11">
      <c r="A82" s="1"/>
      <c r="B82" s="1"/>
      <c r="C82" s="1"/>
      <c r="D82" s="1"/>
      <c r="E82" s="1"/>
      <c r="F82" s="1"/>
      <c r="G82" s="1"/>
      <c r="H82" s="1"/>
      <c r="I82" s="88" t="s">
        <v>22</v>
      </c>
      <c r="J82" s="200">
        <f>RSQ(C67:C73,G67:G73)</f>
        <v>0.99836200534910657</v>
      </c>
      <c r="K82" s="89"/>
    </row>
    <row r="83" spans="1:11">
      <c r="A83" s="1"/>
      <c r="B83" s="1"/>
      <c r="C83" s="1"/>
      <c r="D83" s="1"/>
      <c r="E83" s="1"/>
      <c r="F83" s="1"/>
      <c r="G83" s="1"/>
      <c r="H83" s="1"/>
      <c r="I83" s="88" t="s">
        <v>23</v>
      </c>
      <c r="J83" s="200">
        <f>RSQ(D67:D73,G67:G73)</f>
        <v>0.99864618264182881</v>
      </c>
      <c r="K83" s="89"/>
    </row>
    <row r="84" spans="1:11">
      <c r="A84" s="1"/>
      <c r="B84" s="1"/>
      <c r="C84" s="1"/>
      <c r="D84" s="1"/>
      <c r="E84" s="1"/>
      <c r="F84" s="1"/>
      <c r="G84" s="1"/>
      <c r="H84" s="1"/>
      <c r="I84" s="88" t="s">
        <v>24</v>
      </c>
      <c r="J84" s="200">
        <f>AVERAGE(J81:J83)</f>
        <v>0.98913136559438641</v>
      </c>
      <c r="K84" s="89"/>
    </row>
    <row r="85" spans="1:11">
      <c r="A85" s="1"/>
      <c r="B85" s="1"/>
      <c r="C85" s="1"/>
      <c r="D85" s="1"/>
      <c r="E85" s="1"/>
      <c r="F85" s="1"/>
      <c r="G85" s="1"/>
      <c r="H85" s="1"/>
      <c r="I85" s="90" t="s">
        <v>25</v>
      </c>
      <c r="J85" s="199">
        <f>STDEV(J81:J83)</f>
        <v>1.6234663600602484E-2</v>
      </c>
      <c r="K85" s="89"/>
    </row>
    <row r="86" spans="1:11">
      <c r="A86" s="1"/>
      <c r="B86" s="1"/>
      <c r="C86" s="1"/>
      <c r="D86" s="1"/>
      <c r="E86" s="1"/>
      <c r="F86" s="1"/>
      <c r="G86" s="1"/>
      <c r="H86" s="1"/>
      <c r="I86" s="88" t="s">
        <v>26</v>
      </c>
      <c r="J86" s="203">
        <f>INTERCEPT(B67:B73,G67:G73)</f>
        <v>35.183784460004937</v>
      </c>
      <c r="K86" s="89"/>
    </row>
    <row r="87" spans="1:11">
      <c r="A87" s="1"/>
      <c r="B87" s="1"/>
      <c r="C87" s="1"/>
      <c r="D87" s="1"/>
      <c r="E87" s="1"/>
      <c r="F87" s="1"/>
      <c r="G87" s="1"/>
      <c r="H87" s="1"/>
      <c r="I87" s="88" t="s">
        <v>27</v>
      </c>
      <c r="J87" s="203">
        <f>INTERCEPT(C67:C73,G67:G73)</f>
        <v>37.33968801161501</v>
      </c>
      <c r="K87" s="89"/>
    </row>
    <row r="88" spans="1:11">
      <c r="A88" s="1"/>
      <c r="B88" s="1"/>
      <c r="C88" s="1"/>
      <c r="D88" s="1"/>
      <c r="E88" s="1"/>
      <c r="F88" s="1"/>
      <c r="G88" s="1"/>
      <c r="H88" s="1"/>
      <c r="I88" s="88" t="s">
        <v>28</v>
      </c>
      <c r="J88" s="203">
        <f>INTERCEPT(D67:D73,G67:G73)</f>
        <v>38.551216665172632</v>
      </c>
      <c r="K88" s="89"/>
    </row>
    <row r="89" spans="1:11">
      <c r="A89" s="1"/>
      <c r="B89" s="1"/>
      <c r="C89" s="1"/>
      <c r="D89" s="1"/>
      <c r="E89" s="1"/>
      <c r="F89" s="1"/>
      <c r="G89" s="1"/>
      <c r="H89" s="1"/>
      <c r="I89" s="88" t="s">
        <v>24</v>
      </c>
      <c r="J89" s="203">
        <f>AVERAGE(J86:J88)</f>
        <v>37.024896378930862</v>
      </c>
      <c r="K89" s="89"/>
    </row>
    <row r="90" spans="1:11">
      <c r="A90" s="1"/>
      <c r="B90" s="1"/>
      <c r="C90" s="1"/>
      <c r="D90" s="1"/>
      <c r="E90" s="1"/>
      <c r="F90" s="1"/>
      <c r="G90" s="1"/>
      <c r="H90" s="1"/>
      <c r="I90" s="90" t="s">
        <v>25</v>
      </c>
      <c r="J90" s="201">
        <f>STDEV(J86:J88)</f>
        <v>1.7056436448174357</v>
      </c>
      <c r="K90" s="89"/>
    </row>
    <row r="91" spans="1:11" ht="17" thickBot="1">
      <c r="A91" s="1"/>
      <c r="B91" s="1"/>
      <c r="C91" s="1"/>
      <c r="D91" s="1"/>
      <c r="E91" s="1"/>
      <c r="F91" s="1"/>
      <c r="G91" s="1"/>
      <c r="H91" s="1"/>
      <c r="I91" s="88" t="s">
        <v>29</v>
      </c>
      <c r="J91" s="201">
        <f>SLOPE(B67:B73,G67:G73)</f>
        <v>-3.1353571428571425</v>
      </c>
      <c r="K91" s="89"/>
    </row>
    <row r="92" spans="1:11">
      <c r="A92" s="106"/>
      <c r="B92" s="107"/>
      <c r="C92" s="110" t="s">
        <v>33</v>
      </c>
      <c r="D92" s="110" t="s">
        <v>34</v>
      </c>
      <c r="E92" s="110" t="s">
        <v>35</v>
      </c>
      <c r="F92" s="111" t="s">
        <v>36</v>
      </c>
      <c r="G92" s="1"/>
      <c r="I92" s="88" t="s">
        <v>30</v>
      </c>
      <c r="J92" s="201">
        <f>SLOPE(C67:C73,G67:G73)</f>
        <v>-3.4828571428571431</v>
      </c>
      <c r="K92" s="89"/>
    </row>
    <row r="93" spans="1:11">
      <c r="A93" s="108" t="s">
        <v>32</v>
      </c>
      <c r="B93" s="105">
        <f>10^(-1/SLOPE(E67:E73,G67:G73))-1</f>
        <v>0.95935419171666236</v>
      </c>
      <c r="C93" s="105">
        <f>10^(-1/SLOPE(B67:B73,G67:G73))-1</f>
        <v>1.0842169907917065</v>
      </c>
      <c r="D93" s="105">
        <f>10^(-1/SLOPE(C67:C73,G67:G73))-1</f>
        <v>0.93695972533272132</v>
      </c>
      <c r="E93" s="105">
        <f>10^(-1/SLOPE(D67:D73,G67:G73))-1</f>
        <v>0.87861865572430164</v>
      </c>
      <c r="F93" s="208">
        <f>STDEV(C93:E93)</f>
        <v>0.10595522483263185</v>
      </c>
      <c r="I93" s="88" t="s">
        <v>31</v>
      </c>
      <c r="J93" s="201">
        <f>SLOPE(D67:D73,G67:G73)</f>
        <v>-3.6517857142857144</v>
      </c>
      <c r="K93" s="89"/>
    </row>
    <row r="94" spans="1:11" ht="17" thickBot="1">
      <c r="A94" s="72"/>
      <c r="B94" s="93"/>
      <c r="C94" s="93"/>
      <c r="D94" s="93"/>
      <c r="E94" s="93"/>
      <c r="F94" s="92"/>
      <c r="I94" s="88" t="s">
        <v>24</v>
      </c>
      <c r="J94" s="201">
        <f>AVERAGE(J91:J93)</f>
        <v>-3.4233333333333333</v>
      </c>
      <c r="K94" s="73"/>
    </row>
    <row r="95" spans="1:11" ht="17" thickBot="1">
      <c r="I95" s="91" t="s">
        <v>25</v>
      </c>
      <c r="J95" s="115">
        <f>STDEV(J91:J93)</f>
        <v>0.26330957117451881</v>
      </c>
      <c r="K95" s="92"/>
    </row>
  </sheetData>
  <mergeCells count="3">
    <mergeCell ref="A1:K1"/>
    <mergeCell ref="A33:K33"/>
    <mergeCell ref="A65:K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453C-24AE-6344-B145-531314DE21F4}">
  <dimension ref="A1:T20"/>
  <sheetViews>
    <sheetView tabSelected="1" topLeftCell="A4" workbookViewId="0">
      <selection activeCell="C28" sqref="C28"/>
    </sheetView>
  </sheetViews>
  <sheetFormatPr baseColWidth="10" defaultRowHeight="16"/>
  <cols>
    <col min="1" max="1" width="16.33203125" bestFit="1" customWidth="1"/>
  </cols>
  <sheetData>
    <row r="1" spans="1:20" ht="20">
      <c r="A1" s="10">
        <v>4</v>
      </c>
      <c r="B1" s="11" t="s">
        <v>37</v>
      </c>
      <c r="C1" s="98" t="s">
        <v>38</v>
      </c>
      <c r="D1" s="11"/>
      <c r="E1" s="212" t="s">
        <v>180</v>
      </c>
      <c r="F1" s="212"/>
      <c r="G1" s="212"/>
      <c r="H1" s="12">
        <v>43523</v>
      </c>
      <c r="I1" s="98" t="s">
        <v>40</v>
      </c>
    </row>
    <row r="2" spans="1:20" s="11" customFormat="1">
      <c r="A2" s="211" t="s">
        <v>389</v>
      </c>
      <c r="B2" s="211"/>
      <c r="C2" s="211"/>
      <c r="D2" s="98" t="s">
        <v>39</v>
      </c>
    </row>
    <row r="3" spans="1:20" ht="35" thickBot="1">
      <c r="A3" s="13" t="s">
        <v>52</v>
      </c>
      <c r="B3" s="3" t="s">
        <v>41</v>
      </c>
      <c r="C3" s="3" t="s">
        <v>53</v>
      </c>
      <c r="D3" s="4" t="s">
        <v>42</v>
      </c>
      <c r="E3" s="5" t="s">
        <v>43</v>
      </c>
      <c r="F3" s="210" t="s">
        <v>1</v>
      </c>
      <c r="G3" s="210"/>
      <c r="H3" s="210"/>
      <c r="I3" s="210" t="s">
        <v>44</v>
      </c>
      <c r="J3" s="210"/>
      <c r="K3" s="210"/>
      <c r="L3" s="6" t="s">
        <v>45</v>
      </c>
      <c r="M3" s="7" t="s">
        <v>46</v>
      </c>
      <c r="N3" s="7" t="s">
        <v>47</v>
      </c>
      <c r="O3" s="6" t="s">
        <v>48</v>
      </c>
    </row>
    <row r="4" spans="1:20">
      <c r="A4" s="3" t="s">
        <v>166</v>
      </c>
      <c r="B4" s="3" t="s">
        <v>388</v>
      </c>
      <c r="C4" s="3">
        <v>26</v>
      </c>
      <c r="D4" s="159">
        <v>10</v>
      </c>
      <c r="E4" s="10">
        <v>1</v>
      </c>
      <c r="F4" s="197">
        <f>'Plate Layout'!E15</f>
        <v>15.29</v>
      </c>
      <c r="G4" s="197">
        <f>'Plate Layout'!F15</f>
        <v>15.24</v>
      </c>
      <c r="H4" s="197">
        <f>'Plate Layout'!G15</f>
        <v>15.14</v>
      </c>
      <c r="I4" s="95">
        <f>10^((Calibrations!$J$25-F4)/(-1*Calibrations!$J$30))</f>
        <v>16049973.64608804</v>
      </c>
      <c r="J4" s="95">
        <f>10^((Calibrations!$J$25-G4)/(-1*Calibrations!$J$30))</f>
        <v>16565018.451370928</v>
      </c>
      <c r="K4" s="95">
        <f>10^((Calibrations!$J$25-H4)/(-1*Calibrations!$J$30))</f>
        <v>17645221.915227421</v>
      </c>
      <c r="L4" s="96">
        <f>AVERAGE(I4:K4)</f>
        <v>16753404.670895463</v>
      </c>
      <c r="M4" s="95">
        <f>L4*E4</f>
        <v>16753404.670895463</v>
      </c>
      <c r="N4" s="95">
        <f>(M4/$A$1)/D4</f>
        <v>418835.11677238659</v>
      </c>
      <c r="O4" s="97">
        <f>STDEV(I4:K4)*E4/(4*D4)</f>
        <v>20353.459254941583</v>
      </c>
    </row>
    <row r="5" spans="1:20">
      <c r="A5" s="3" t="s">
        <v>167</v>
      </c>
      <c r="B5" s="3" t="s">
        <v>388</v>
      </c>
      <c r="C5" s="3">
        <v>42</v>
      </c>
      <c r="D5" s="159">
        <v>10</v>
      </c>
      <c r="E5" s="10">
        <v>1</v>
      </c>
      <c r="F5" s="197">
        <f>'Plate Layout'!E16</f>
        <v>15.59</v>
      </c>
      <c r="G5" s="197">
        <f>'Plate Layout'!F16</f>
        <v>15.58</v>
      </c>
      <c r="H5" s="197">
        <f>'Plate Layout'!G16</f>
        <v>15.5</v>
      </c>
      <c r="I5" s="95">
        <f>10^((Calibrations!$J$25-F5)/(-1*Calibrations!$J$30))</f>
        <v>13279102.452231748</v>
      </c>
      <c r="J5" s="95">
        <f>10^((Calibrations!$J$25-G5)/(-1*Calibrations!$J$30))</f>
        <v>13363254.566843988</v>
      </c>
      <c r="K5" s="95">
        <f>10^((Calibrations!$J$25-H5)/(-1*Calibrations!$J$30))</f>
        <v>14055956.428242054</v>
      </c>
      <c r="L5" s="96">
        <f>AVERAGE(I5:K5)</f>
        <v>13566104.482439265</v>
      </c>
      <c r="M5" s="95">
        <f>L5*E5</f>
        <v>13566104.482439265</v>
      </c>
      <c r="N5" s="95">
        <f>(M5/$A$1)/D5</f>
        <v>339152.61206098163</v>
      </c>
      <c r="O5" s="97">
        <f>STDEV(I5:K5)*E5/(4*D5)</f>
        <v>10657.643712481457</v>
      </c>
    </row>
    <row r="6" spans="1:20">
      <c r="A6" s="3" t="s">
        <v>168</v>
      </c>
      <c r="B6" s="3" t="s">
        <v>388</v>
      </c>
      <c r="C6" s="3">
        <v>94</v>
      </c>
      <c r="D6" s="159">
        <v>10</v>
      </c>
      <c r="E6" s="10">
        <v>1</v>
      </c>
      <c r="F6" s="197">
        <f>'Plate Layout'!E17</f>
        <v>15.79</v>
      </c>
      <c r="G6" s="197">
        <f>'Plate Layout'!F17</f>
        <v>15.8</v>
      </c>
      <c r="H6" s="197">
        <f>'Plate Layout'!G17</f>
        <v>15.75</v>
      </c>
      <c r="I6" s="95">
        <f>10^((Calibrations!$J$25-F6)/(-1*Calibrations!$J$30))</f>
        <v>11703030.053064762</v>
      </c>
      <c r="J6" s="95">
        <f>10^((Calibrations!$J$25-G6)/(-1*Calibrations!$J$30))</f>
        <v>11629332.83197167</v>
      </c>
      <c r="K6" s="95">
        <f>10^((Calibrations!$J$25-H6)/(-1*Calibrations!$J$30))</f>
        <v>12002518.956515409</v>
      </c>
      <c r="L6" s="96">
        <f>AVERAGE(I6:K6)</f>
        <v>11778293.947183946</v>
      </c>
      <c r="M6" s="95">
        <f>L6*E6</f>
        <v>11778293.947183946</v>
      </c>
      <c r="N6" s="95">
        <f>(M6/$A$1)/D6</f>
        <v>294457.34867959865</v>
      </c>
      <c r="O6" s="97">
        <f>STDEV(I6:K6)*E6/(4*D6)</f>
        <v>4941.2461236059798</v>
      </c>
    </row>
    <row r="8" spans="1:20" ht="20">
      <c r="A8" s="10">
        <v>4</v>
      </c>
      <c r="B8" s="11" t="s">
        <v>37</v>
      </c>
      <c r="C8" s="98" t="s">
        <v>38</v>
      </c>
      <c r="D8" s="11"/>
      <c r="E8" s="212" t="s">
        <v>181</v>
      </c>
      <c r="F8" s="212"/>
      <c r="G8" s="212"/>
      <c r="H8" s="12">
        <v>43523</v>
      </c>
      <c r="I8" s="98" t="s">
        <v>40</v>
      </c>
    </row>
    <row r="9" spans="1:20">
      <c r="A9" s="211" t="s">
        <v>389</v>
      </c>
      <c r="B9" s="211"/>
      <c r="C9" s="211"/>
      <c r="D9" s="98" t="s">
        <v>39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35" thickBot="1">
      <c r="A10" s="13" t="s">
        <v>52</v>
      </c>
      <c r="B10" s="3" t="s">
        <v>41</v>
      </c>
      <c r="C10" s="3" t="s">
        <v>53</v>
      </c>
      <c r="D10" s="4" t="s">
        <v>42</v>
      </c>
      <c r="E10" s="5" t="s">
        <v>43</v>
      </c>
      <c r="F10" s="210" t="s">
        <v>1</v>
      </c>
      <c r="G10" s="210"/>
      <c r="H10" s="210"/>
      <c r="I10" s="210" t="s">
        <v>44</v>
      </c>
      <c r="J10" s="210"/>
      <c r="K10" s="210"/>
      <c r="L10" s="6" t="s">
        <v>45</v>
      </c>
      <c r="M10" s="7" t="s">
        <v>46</v>
      </c>
      <c r="N10" s="7" t="s">
        <v>47</v>
      </c>
      <c r="O10" s="6" t="s">
        <v>48</v>
      </c>
    </row>
    <row r="11" spans="1:20">
      <c r="A11" s="3" t="s">
        <v>166</v>
      </c>
      <c r="B11" s="3" t="s">
        <v>388</v>
      </c>
      <c r="C11" s="3">
        <v>26</v>
      </c>
      <c r="D11" s="159">
        <v>10</v>
      </c>
      <c r="E11" s="10">
        <v>1</v>
      </c>
      <c r="F11" s="197">
        <f>'Plate Layout'!H17</f>
        <v>18.57</v>
      </c>
      <c r="G11" s="197">
        <f>'Plate Layout'!I17</f>
        <v>18.489999999999998</v>
      </c>
      <c r="H11" s="197">
        <f>'Plate Layout'!J17</f>
        <v>18.53</v>
      </c>
      <c r="I11" s="95">
        <f>10^((Calibrations!$J$57-F11)/(-1*Calibrations!$J$62))</f>
        <v>307169.54664295493</v>
      </c>
      <c r="J11" s="95">
        <f>10^((Calibrations!$J$57-G11)/(-1*Calibrations!$J$62))</f>
        <v>324785.6380871461</v>
      </c>
      <c r="K11" s="95">
        <f>10^((Calibrations!$J$57-H11)/(-1*Calibrations!$J$62))</f>
        <v>315854.80399603129</v>
      </c>
      <c r="L11" s="96">
        <f>AVERAGE(I11:K11)</f>
        <v>315936.66290871077</v>
      </c>
      <c r="M11" s="95">
        <f>L11*E11</f>
        <v>315936.66290871077</v>
      </c>
      <c r="N11" s="95">
        <f>(M11/$A$8)/D11</f>
        <v>7898.4165727177697</v>
      </c>
      <c r="O11" s="97">
        <f>STDEV(I11:K11)*E11/(4*D11)</f>
        <v>220.20827513929166</v>
      </c>
    </row>
    <row r="12" spans="1:20">
      <c r="A12" s="3" t="s">
        <v>167</v>
      </c>
      <c r="B12" s="3" t="s">
        <v>388</v>
      </c>
      <c r="C12" s="3">
        <v>42</v>
      </c>
      <c r="D12" s="159">
        <v>10</v>
      </c>
      <c r="E12" s="10">
        <v>1</v>
      </c>
      <c r="F12" s="197">
        <f>'Plate Layout'!H18</f>
        <v>18.32</v>
      </c>
      <c r="G12" s="197">
        <f>'Plate Layout'!I18</f>
        <v>18.239999999999998</v>
      </c>
      <c r="H12" s="197">
        <f>'Plate Layout'!J18</f>
        <v>18.46</v>
      </c>
      <c r="I12" s="95">
        <f>10^((Calibrations!$J$57-F12)/(-1*Calibrations!$J$62))</f>
        <v>365646.54062301962</v>
      </c>
      <c r="J12" s="95">
        <f>10^((Calibrations!$J$57-G12)/(-1*Calibrations!$J$62))</f>
        <v>386616.27205070638</v>
      </c>
      <c r="K12" s="95">
        <f>10^((Calibrations!$J$57-H12)/(-1*Calibrations!$J$62))</f>
        <v>331649.09313708369</v>
      </c>
      <c r="L12" s="96">
        <f>AVERAGE(I12:K12)</f>
        <v>361303.96860360325</v>
      </c>
      <c r="M12" s="95">
        <f>L12*E12</f>
        <v>361303.96860360325</v>
      </c>
      <c r="N12" s="95">
        <f t="shared" ref="N12:N13" si="0">(M12/$A$8)/D12</f>
        <v>9032.599215090082</v>
      </c>
      <c r="O12" s="97">
        <f>STDEV(I12:K12)*E12/(4*D12)</f>
        <v>693.49258207929631</v>
      </c>
    </row>
    <row r="13" spans="1:20">
      <c r="A13" s="3" t="s">
        <v>168</v>
      </c>
      <c r="B13" s="3" t="s">
        <v>388</v>
      </c>
      <c r="C13" s="3">
        <v>94</v>
      </c>
      <c r="D13" s="159">
        <v>10</v>
      </c>
      <c r="E13" s="10">
        <v>1</v>
      </c>
      <c r="F13" s="197">
        <f>'Plate Layout'!H19</f>
        <v>18.84</v>
      </c>
      <c r="G13" s="197">
        <f>'Plate Layout'!I19</f>
        <v>18.649999999999999</v>
      </c>
      <c r="H13" s="197">
        <f>'Plate Layout'!J19</f>
        <v>18.600000000000001</v>
      </c>
      <c r="I13" s="95">
        <f>10^((Calibrations!$J$57-F13)/(-1*Calibrations!$J$62))</f>
        <v>254472.10339050664</v>
      </c>
      <c r="J13" s="95">
        <f>10^((Calibrations!$J$57-G13)/(-1*Calibrations!$J$62))</f>
        <v>290508.93672682066</v>
      </c>
      <c r="K13" s="95">
        <f>10^((Calibrations!$J$57-H13)/(-1*Calibrations!$J$62))</f>
        <v>300812.69411502598</v>
      </c>
      <c r="L13" s="96">
        <f>AVERAGE(I13:K13)</f>
        <v>281931.24474411778</v>
      </c>
      <c r="M13" s="95">
        <f>L13*E13</f>
        <v>281931.24474411778</v>
      </c>
      <c r="N13" s="95">
        <f t="shared" si="0"/>
        <v>7048.2811186029448</v>
      </c>
      <c r="O13" s="97">
        <f>STDEV(I13:K13)*E13/(4*D13)</f>
        <v>608.29946725839022</v>
      </c>
    </row>
    <row r="15" spans="1:20" ht="20">
      <c r="A15" s="10">
        <v>4</v>
      </c>
      <c r="B15" s="11" t="s">
        <v>37</v>
      </c>
      <c r="C15" s="98" t="s">
        <v>38</v>
      </c>
      <c r="D15" s="11"/>
      <c r="E15" s="212" t="s">
        <v>182</v>
      </c>
      <c r="F15" s="212"/>
      <c r="G15" s="212"/>
      <c r="H15" s="12">
        <v>43523</v>
      </c>
      <c r="I15" s="98" t="s">
        <v>40</v>
      </c>
    </row>
    <row r="16" spans="1:20">
      <c r="A16" s="211" t="s">
        <v>389</v>
      </c>
      <c r="B16" s="211"/>
      <c r="C16" s="211"/>
      <c r="D16" s="98" t="s">
        <v>39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15" ht="35" thickBot="1">
      <c r="A17" s="13" t="s">
        <v>52</v>
      </c>
      <c r="B17" s="3" t="s">
        <v>41</v>
      </c>
      <c r="C17" s="3" t="s">
        <v>53</v>
      </c>
      <c r="D17" s="4" t="s">
        <v>42</v>
      </c>
      <c r="E17" s="5" t="s">
        <v>43</v>
      </c>
      <c r="F17" s="210" t="s">
        <v>1</v>
      </c>
      <c r="G17" s="210"/>
      <c r="H17" s="210"/>
      <c r="I17" s="210" t="s">
        <v>44</v>
      </c>
      <c r="J17" s="210"/>
      <c r="K17" s="210"/>
      <c r="L17" s="6" t="s">
        <v>45</v>
      </c>
      <c r="M17" s="7" t="s">
        <v>46</v>
      </c>
      <c r="N17" s="7" t="s">
        <v>47</v>
      </c>
      <c r="O17" s="6" t="s">
        <v>48</v>
      </c>
    </row>
    <row r="18" spans="1:15">
      <c r="A18" s="3" t="s">
        <v>166</v>
      </c>
      <c r="B18" s="3" t="s">
        <v>388</v>
      </c>
      <c r="C18" s="3">
        <v>26</v>
      </c>
      <c r="D18" s="159">
        <v>10</v>
      </c>
      <c r="E18" s="10">
        <v>1</v>
      </c>
      <c r="F18" s="197">
        <f>'Plate Layout'!K19</f>
        <v>13.87</v>
      </c>
      <c r="G18" s="197">
        <f>'Plate Layout'!L19</f>
        <v>13.62</v>
      </c>
      <c r="H18" s="197">
        <f>'Plate Layout'!M19</f>
        <v>13.68</v>
      </c>
      <c r="I18" s="95">
        <f>10^((Calibrations!$J$89-F18)/(-1*Calibrations!$J$94))</f>
        <v>5805573.0772894304</v>
      </c>
      <c r="J18" s="95">
        <f>10^((Calibrations!$J$89-G18)/(-1*Calibrations!$J$94))</f>
        <v>6868680.788511415</v>
      </c>
      <c r="K18" s="95">
        <f>10^((Calibrations!$J$89-H18)/(-1*Calibrations!$J$94))</f>
        <v>6597001.1023383765</v>
      </c>
      <c r="L18" s="96">
        <f>AVERAGE(I18:K18)</f>
        <v>6423751.6560464082</v>
      </c>
      <c r="M18" s="95">
        <f>L18*E18</f>
        <v>6423751.6560464082</v>
      </c>
      <c r="N18" s="95">
        <f>(M18/$A$15)/D18</f>
        <v>160593.79140116021</v>
      </c>
      <c r="O18" s="97">
        <f>STDEV(I18:K18)*E18/(4*D18)</f>
        <v>13808.082537848692</v>
      </c>
    </row>
    <row r="19" spans="1:15">
      <c r="A19" s="3" t="s">
        <v>167</v>
      </c>
      <c r="B19" s="3" t="s">
        <v>388</v>
      </c>
      <c r="C19" s="3">
        <v>42</v>
      </c>
      <c r="D19" s="159">
        <v>10</v>
      </c>
      <c r="E19" s="10">
        <v>1</v>
      </c>
      <c r="F19" s="197">
        <f>'Plate Layout'!K20</f>
        <v>14.14</v>
      </c>
      <c r="G19" s="197">
        <f>'Plate Layout'!L20</f>
        <v>13.92</v>
      </c>
      <c r="H19" s="197">
        <f>'Plate Layout'!M20</f>
        <v>14.05</v>
      </c>
      <c r="I19" s="95">
        <f>10^((Calibrations!$J$89-F19)/(-1*Calibrations!$J$94))</f>
        <v>4841440.5070577385</v>
      </c>
      <c r="J19" s="95">
        <f>10^((Calibrations!$J$89-G19)/(-1*Calibrations!$J$94))</f>
        <v>5613573.9551998395</v>
      </c>
      <c r="K19" s="95">
        <f>10^((Calibrations!$J$89-H19)/(-1*Calibrations!$J$94))</f>
        <v>5143571.3075420894</v>
      </c>
      <c r="L19" s="96">
        <f>AVERAGE(I19:K19)</f>
        <v>5199528.5899332231</v>
      </c>
      <c r="M19" s="95">
        <f>L19*E19</f>
        <v>5199528.5899332231</v>
      </c>
      <c r="N19" s="95">
        <f t="shared" ref="N19:N20" si="1">(M19/$A$15)/D19</f>
        <v>129988.21474833057</v>
      </c>
      <c r="O19" s="97">
        <f>STDEV(I19:K19)*E19/(4*D19)</f>
        <v>9727.407430952615</v>
      </c>
    </row>
    <row r="20" spans="1:15">
      <c r="A20" s="3" t="s">
        <v>168</v>
      </c>
      <c r="B20" s="3" t="s">
        <v>388</v>
      </c>
      <c r="C20" s="3">
        <v>94</v>
      </c>
      <c r="D20" s="159">
        <v>10</v>
      </c>
      <c r="E20" s="10">
        <v>1</v>
      </c>
      <c r="F20" s="197">
        <f>'Plate Layout'!K21</f>
        <v>14.14</v>
      </c>
      <c r="G20" s="197">
        <f>'Plate Layout'!L21</f>
        <v>14.16</v>
      </c>
      <c r="H20" s="197">
        <f>'Plate Layout'!M21</f>
        <v>14.01</v>
      </c>
      <c r="I20" s="95">
        <f>10^((Calibrations!$J$89-F20)/(-1*Calibrations!$J$94))</f>
        <v>4841440.5070577385</v>
      </c>
      <c r="J20" s="95">
        <f>10^((Calibrations!$J$89-G20)/(-1*Calibrations!$J$94))</f>
        <v>4776748.1104904152</v>
      </c>
      <c r="K20" s="95">
        <f>10^((Calibrations!$J$89-H20)/(-1*Calibrations!$J$94))</f>
        <v>5283835.4347722782</v>
      </c>
      <c r="L20" s="96">
        <f>AVERAGE(I20:K20)</f>
        <v>4967341.350773477</v>
      </c>
      <c r="M20" s="95">
        <f>L20*E20</f>
        <v>4967341.350773477</v>
      </c>
      <c r="N20" s="95">
        <f t="shared" si="1"/>
        <v>124183.53376933692</v>
      </c>
      <c r="O20" s="97">
        <f>STDEV(I20:K20)*E20/(4*D20)</f>
        <v>6899.8485240658529</v>
      </c>
    </row>
  </sheetData>
  <mergeCells count="12">
    <mergeCell ref="F3:H3"/>
    <mergeCell ref="I3:K3"/>
    <mergeCell ref="E1:G1"/>
    <mergeCell ref="A2:C2"/>
    <mergeCell ref="E8:G8"/>
    <mergeCell ref="F17:H17"/>
    <mergeCell ref="I17:K17"/>
    <mergeCell ref="A9:C9"/>
    <mergeCell ref="F10:H10"/>
    <mergeCell ref="I10:K10"/>
    <mergeCell ref="E15:G15"/>
    <mergeCell ref="A16:C1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5448-AC0E-E44E-BF5A-0819B6971A22}">
  <sheetPr>
    <pageSetUpPr fitToPage="1"/>
  </sheetPr>
  <dimension ref="A1:M61"/>
  <sheetViews>
    <sheetView zoomScale="120" zoomScaleNormal="120" zoomScalePageLayoutView="90" workbookViewId="0">
      <selection activeCell="B2" sqref="B2:C2"/>
    </sheetView>
  </sheetViews>
  <sheetFormatPr baseColWidth="10" defaultColWidth="10.6640625" defaultRowHeight="16"/>
  <cols>
    <col min="1" max="1" width="17.5" customWidth="1"/>
    <col min="2" max="15" width="12.83203125" customWidth="1"/>
  </cols>
  <sheetData>
    <row r="1" spans="1:13">
      <c r="A1" s="84" t="s">
        <v>116</v>
      </c>
      <c r="B1" s="214" t="s">
        <v>134</v>
      </c>
      <c r="C1" s="214"/>
      <c r="D1" s="81" t="s">
        <v>115</v>
      </c>
      <c r="E1" s="80">
        <v>96</v>
      </c>
      <c r="F1" s="79" t="s">
        <v>131</v>
      </c>
      <c r="G1" s="78">
        <f>F3+F4+F5</f>
        <v>96</v>
      </c>
    </row>
    <row r="2" spans="1:13" ht="17" thickBot="1">
      <c r="A2" s="84" t="s">
        <v>123</v>
      </c>
      <c r="B2" s="214" t="s">
        <v>133</v>
      </c>
      <c r="C2" s="214"/>
      <c r="D2" s="74" t="s">
        <v>101</v>
      </c>
      <c r="E2" s="77">
        <v>3</v>
      </c>
      <c r="F2" s="76" t="s">
        <v>132</v>
      </c>
      <c r="G2" s="75">
        <f>E1-G1</f>
        <v>0</v>
      </c>
    </row>
    <row r="3" spans="1:13">
      <c r="A3" s="84" t="s">
        <v>114</v>
      </c>
      <c r="B3" s="215">
        <v>43523</v>
      </c>
      <c r="C3" s="215"/>
      <c r="D3" s="74" t="s">
        <v>113</v>
      </c>
      <c r="E3" s="73">
        <v>2</v>
      </c>
      <c r="F3" s="119">
        <f>3*E3</f>
        <v>6</v>
      </c>
    </row>
    <row r="4" spans="1:13">
      <c r="A4" s="84" t="s">
        <v>128</v>
      </c>
      <c r="B4" s="214">
        <v>64</v>
      </c>
      <c r="C4" s="214"/>
      <c r="D4" s="74" t="s">
        <v>112</v>
      </c>
      <c r="E4" s="73">
        <v>7</v>
      </c>
      <c r="F4" s="119">
        <f>E4*3*E2</f>
        <v>63</v>
      </c>
    </row>
    <row r="5" spans="1:13" ht="17" thickBot="1">
      <c r="D5" s="72" t="s">
        <v>111</v>
      </c>
      <c r="E5" s="71">
        <v>3</v>
      </c>
      <c r="F5" s="119">
        <f>E5*3*E2</f>
        <v>27</v>
      </c>
    </row>
    <row r="7" spans="1:13">
      <c r="B7" s="122" t="s">
        <v>110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</row>
    <row r="8" spans="1:13" ht="17" thickBot="1">
      <c r="A8" s="70"/>
      <c r="B8" s="69">
        <v>1</v>
      </c>
      <c r="C8" s="69">
        <v>2</v>
      </c>
      <c r="D8" s="69">
        <v>3</v>
      </c>
      <c r="E8" s="69">
        <v>4</v>
      </c>
      <c r="F8" s="69">
        <v>5</v>
      </c>
      <c r="G8" s="69">
        <v>6</v>
      </c>
      <c r="H8" s="69">
        <v>7</v>
      </c>
      <c r="I8" s="69">
        <v>8</v>
      </c>
      <c r="J8" s="69">
        <v>9</v>
      </c>
      <c r="K8" s="69">
        <v>10</v>
      </c>
      <c r="L8" s="69">
        <v>11</v>
      </c>
      <c r="M8" s="69">
        <v>12</v>
      </c>
    </row>
    <row r="9" spans="1:13" ht="17" thickBot="1">
      <c r="A9" s="58" t="s">
        <v>109</v>
      </c>
      <c r="B9" s="123" t="s">
        <v>129</v>
      </c>
      <c r="C9" s="124" t="s">
        <v>129</v>
      </c>
      <c r="D9" s="125" t="s">
        <v>129</v>
      </c>
      <c r="E9" s="127" t="s">
        <v>135</v>
      </c>
      <c r="F9" s="128" t="s">
        <v>135</v>
      </c>
      <c r="G9" s="129" t="s">
        <v>135</v>
      </c>
      <c r="H9" s="66" t="s">
        <v>156</v>
      </c>
      <c r="I9" s="65" t="s">
        <v>156</v>
      </c>
      <c r="J9" s="64" t="s">
        <v>156</v>
      </c>
      <c r="K9" s="127" t="s">
        <v>161</v>
      </c>
      <c r="L9" s="128" t="s">
        <v>161</v>
      </c>
      <c r="M9" s="129" t="s">
        <v>161</v>
      </c>
    </row>
    <row r="10" spans="1:13">
      <c r="A10" s="58" t="s">
        <v>108</v>
      </c>
      <c r="B10" s="127" t="s">
        <v>144</v>
      </c>
      <c r="C10" s="128" t="s">
        <v>144</v>
      </c>
      <c r="D10" s="136" t="s">
        <v>144</v>
      </c>
      <c r="E10" s="130" t="s">
        <v>136</v>
      </c>
      <c r="F10" s="131" t="s">
        <v>136</v>
      </c>
      <c r="G10" s="132" t="s">
        <v>136</v>
      </c>
      <c r="H10" s="62" t="s">
        <v>157</v>
      </c>
      <c r="I10" s="60" t="s">
        <v>157</v>
      </c>
      <c r="J10" s="59" t="s">
        <v>157</v>
      </c>
      <c r="K10" s="130" t="s">
        <v>162</v>
      </c>
      <c r="L10" s="131" t="s">
        <v>162</v>
      </c>
      <c r="M10" s="132" t="s">
        <v>162</v>
      </c>
    </row>
    <row r="11" spans="1:13" ht="17" thickBot="1">
      <c r="A11" s="58" t="s">
        <v>107</v>
      </c>
      <c r="B11" s="130" t="s">
        <v>145</v>
      </c>
      <c r="C11" s="131" t="s">
        <v>145</v>
      </c>
      <c r="D11" s="137" t="s">
        <v>145</v>
      </c>
      <c r="E11" s="133" t="s">
        <v>137</v>
      </c>
      <c r="F11" s="134" t="s">
        <v>137</v>
      </c>
      <c r="G11" s="135" t="s">
        <v>137</v>
      </c>
      <c r="H11" s="62" t="s">
        <v>138</v>
      </c>
      <c r="I11" s="60" t="s">
        <v>138</v>
      </c>
      <c r="J11" s="59" t="s">
        <v>138</v>
      </c>
      <c r="K11" s="130" t="s">
        <v>163</v>
      </c>
      <c r="L11" s="131" t="s">
        <v>163</v>
      </c>
      <c r="M11" s="132" t="s">
        <v>163</v>
      </c>
    </row>
    <row r="12" spans="1:13">
      <c r="A12" s="58" t="s">
        <v>106</v>
      </c>
      <c r="B12" s="130" t="s">
        <v>146</v>
      </c>
      <c r="C12" s="131" t="s">
        <v>146</v>
      </c>
      <c r="D12" s="132" t="s">
        <v>146</v>
      </c>
      <c r="E12" s="67" t="s">
        <v>151</v>
      </c>
      <c r="F12" s="65" t="s">
        <v>151</v>
      </c>
      <c r="G12" s="68" t="s">
        <v>151</v>
      </c>
      <c r="H12" s="62" t="s">
        <v>139</v>
      </c>
      <c r="I12" s="60" t="s">
        <v>139</v>
      </c>
      <c r="J12" s="59" t="s">
        <v>139</v>
      </c>
      <c r="K12" s="130" t="s">
        <v>164</v>
      </c>
      <c r="L12" s="131" t="s">
        <v>164</v>
      </c>
      <c r="M12" s="132" t="s">
        <v>164</v>
      </c>
    </row>
    <row r="13" spans="1:13" ht="17" thickBot="1">
      <c r="A13" s="58" t="s">
        <v>32</v>
      </c>
      <c r="B13" s="130" t="s">
        <v>147</v>
      </c>
      <c r="C13" s="131" t="s">
        <v>147</v>
      </c>
      <c r="D13" s="132" t="s">
        <v>147</v>
      </c>
      <c r="E13" s="61" t="s">
        <v>152</v>
      </c>
      <c r="F13" s="60" t="s">
        <v>152</v>
      </c>
      <c r="G13" s="63" t="s">
        <v>152</v>
      </c>
      <c r="H13" s="57" t="s">
        <v>140</v>
      </c>
      <c r="I13" s="56" t="s">
        <v>140</v>
      </c>
      <c r="J13" s="55" t="s">
        <v>140</v>
      </c>
      <c r="K13" s="130" t="s">
        <v>141</v>
      </c>
      <c r="L13" s="131" t="s">
        <v>141</v>
      </c>
      <c r="M13" s="132" t="s">
        <v>141</v>
      </c>
    </row>
    <row r="14" spans="1:13">
      <c r="A14" s="58" t="s">
        <v>105</v>
      </c>
      <c r="B14" s="130" t="s">
        <v>148</v>
      </c>
      <c r="C14" s="131" t="s">
        <v>148</v>
      </c>
      <c r="D14" s="132" t="s">
        <v>148</v>
      </c>
      <c r="E14" s="61" t="s">
        <v>153</v>
      </c>
      <c r="F14" s="60" t="s">
        <v>153</v>
      </c>
      <c r="G14" s="59" t="s">
        <v>153</v>
      </c>
      <c r="H14" s="127" t="s">
        <v>158</v>
      </c>
      <c r="I14" s="128" t="s">
        <v>158</v>
      </c>
      <c r="J14" s="129" t="s">
        <v>158</v>
      </c>
      <c r="K14" s="130" t="s">
        <v>142</v>
      </c>
      <c r="L14" s="131" t="s">
        <v>142</v>
      </c>
      <c r="M14" s="132" t="s">
        <v>142</v>
      </c>
    </row>
    <row r="15" spans="1:13" ht="17" thickBot="1">
      <c r="A15" s="58" t="s">
        <v>104</v>
      </c>
      <c r="B15" s="130" t="s">
        <v>149</v>
      </c>
      <c r="C15" s="131" t="s">
        <v>149</v>
      </c>
      <c r="D15" s="132" t="s">
        <v>149</v>
      </c>
      <c r="E15" s="61" t="s">
        <v>154</v>
      </c>
      <c r="F15" s="60" t="s">
        <v>154</v>
      </c>
      <c r="G15" s="59" t="s">
        <v>154</v>
      </c>
      <c r="H15" s="130" t="s">
        <v>159</v>
      </c>
      <c r="I15" s="131" t="s">
        <v>159</v>
      </c>
      <c r="J15" s="132" t="s">
        <v>159</v>
      </c>
      <c r="K15" s="133" t="s">
        <v>143</v>
      </c>
      <c r="L15" s="134" t="s">
        <v>143</v>
      </c>
      <c r="M15" s="135" t="s">
        <v>143</v>
      </c>
    </row>
    <row r="16" spans="1:13" ht="17" thickBot="1">
      <c r="A16" s="58" t="s">
        <v>103</v>
      </c>
      <c r="B16" s="164" t="s">
        <v>150</v>
      </c>
      <c r="C16" s="134" t="s">
        <v>150</v>
      </c>
      <c r="D16" s="135" t="s">
        <v>150</v>
      </c>
      <c r="E16" s="162" t="s">
        <v>155</v>
      </c>
      <c r="F16" s="56" t="s">
        <v>155</v>
      </c>
      <c r="G16" s="55" t="s">
        <v>155</v>
      </c>
      <c r="H16" s="164" t="s">
        <v>160</v>
      </c>
      <c r="I16" s="134" t="s">
        <v>160</v>
      </c>
      <c r="J16" s="135" t="s">
        <v>160</v>
      </c>
      <c r="K16" s="126" t="s">
        <v>129</v>
      </c>
      <c r="L16" s="124" t="s">
        <v>129</v>
      </c>
      <c r="M16" s="125" t="s">
        <v>129</v>
      </c>
    </row>
    <row r="17" spans="1:13">
      <c r="B17" s="165" t="s">
        <v>110</v>
      </c>
      <c r="E17" s="163" t="s">
        <v>384</v>
      </c>
      <c r="H17" s="166" t="s">
        <v>385</v>
      </c>
    </row>
    <row r="18" spans="1:13">
      <c r="B18" s="160"/>
      <c r="E18" s="160"/>
      <c r="H18" s="161"/>
    </row>
    <row r="19" spans="1:13">
      <c r="A19" s="54" t="s">
        <v>102</v>
      </c>
      <c r="C19" s="53"/>
      <c r="D19" s="52"/>
      <c r="H19" s="51"/>
      <c r="I19" s="51"/>
    </row>
    <row r="20" spans="1:13">
      <c r="A20" s="216" t="s">
        <v>100</v>
      </c>
      <c r="B20" s="217"/>
      <c r="C20" s="217"/>
      <c r="D20" s="217"/>
      <c r="E20" s="217"/>
      <c r="F20" s="218"/>
      <c r="G20" s="82"/>
      <c r="H20" s="82"/>
      <c r="I20" s="82"/>
      <c r="L20" s="213"/>
      <c r="M20" s="213"/>
    </row>
    <row r="21" spans="1:13">
      <c r="A21" s="118" t="s">
        <v>99</v>
      </c>
      <c r="B21" s="118" t="s">
        <v>120</v>
      </c>
      <c r="C21" s="118" t="s">
        <v>121</v>
      </c>
      <c r="D21" s="118" t="s">
        <v>119</v>
      </c>
      <c r="E21" s="118" t="s">
        <v>98</v>
      </c>
      <c r="F21" s="117">
        <v>33</v>
      </c>
      <c r="G21" s="85">
        <f>F21+(F21*0.1)</f>
        <v>36.299999999999997</v>
      </c>
      <c r="H21" t="s">
        <v>122</v>
      </c>
      <c r="I21" s="47"/>
    </row>
    <row r="22" spans="1:13">
      <c r="A22" s="118" t="s">
        <v>96</v>
      </c>
      <c r="B22" s="117"/>
      <c r="C22" s="117"/>
      <c r="D22" s="117">
        <v>10</v>
      </c>
      <c r="E22" s="117">
        <f>D22*$G$21</f>
        <v>363</v>
      </c>
      <c r="F22" s="117" t="s">
        <v>91</v>
      </c>
      <c r="H22" s="47"/>
      <c r="I22" s="47"/>
    </row>
    <row r="23" spans="1:13">
      <c r="A23" s="118" t="s">
        <v>117</v>
      </c>
      <c r="B23" s="117">
        <v>10</v>
      </c>
      <c r="C23" s="117">
        <v>0.4</v>
      </c>
      <c r="D23" s="117">
        <f>($C23*($B$37+$B$38))/$B$23</f>
        <v>0.8</v>
      </c>
      <c r="E23" s="138">
        <f>D23*$G$21</f>
        <v>29.04</v>
      </c>
      <c r="F23" s="117" t="s">
        <v>91</v>
      </c>
      <c r="H23" s="82"/>
      <c r="I23" s="82"/>
      <c r="J23" s="82"/>
      <c r="K23" s="82"/>
    </row>
    <row r="24" spans="1:13">
      <c r="A24" s="118" t="s">
        <v>118</v>
      </c>
      <c r="B24" s="117">
        <v>10</v>
      </c>
      <c r="C24" s="117">
        <v>0.4</v>
      </c>
      <c r="D24" s="117">
        <f>($C24*($B$37+$B$38))/$B$24</f>
        <v>0.8</v>
      </c>
      <c r="E24" s="138">
        <f>D24*$G$21</f>
        <v>29.04</v>
      </c>
      <c r="F24" s="117" t="s">
        <v>91</v>
      </c>
    </row>
    <row r="25" spans="1:13" ht="17" thickBot="1">
      <c r="A25" s="118" t="s">
        <v>94</v>
      </c>
      <c r="B25" s="117"/>
      <c r="C25" s="117"/>
      <c r="D25" s="117">
        <v>4.4000000000000004</v>
      </c>
      <c r="E25" s="141">
        <f>D25*$G$21</f>
        <v>159.72</v>
      </c>
      <c r="F25" s="117" t="s">
        <v>91</v>
      </c>
    </row>
    <row r="26" spans="1:13" ht="17" thickBot="1">
      <c r="A26" s="117"/>
      <c r="B26" s="117"/>
      <c r="C26" s="117"/>
      <c r="D26" s="139">
        <v>16</v>
      </c>
      <c r="E26" s="142">
        <f>SUM(E22:E25)</f>
        <v>580.80000000000007</v>
      </c>
      <c r="F26" s="140" t="s">
        <v>91</v>
      </c>
      <c r="G26" s="47"/>
    </row>
    <row r="28" spans="1:13" ht="18">
      <c r="A28" s="50" t="s">
        <v>97</v>
      </c>
      <c r="E28" s="84" t="s">
        <v>176</v>
      </c>
    </row>
    <row r="29" spans="1:13">
      <c r="A29" t="s">
        <v>89</v>
      </c>
      <c r="E29" s="158">
        <f>E25-E24</f>
        <v>130.68</v>
      </c>
    </row>
    <row r="30" spans="1:13">
      <c r="A30" t="s">
        <v>83</v>
      </c>
      <c r="F30" s="43"/>
      <c r="G30" s="43"/>
    </row>
    <row r="31" spans="1:13">
      <c r="A31" t="s">
        <v>82</v>
      </c>
      <c r="F31" s="43"/>
      <c r="G31" s="43"/>
    </row>
    <row r="32" spans="1:13">
      <c r="A32" t="s">
        <v>81</v>
      </c>
      <c r="F32" s="43"/>
      <c r="G32" s="43"/>
    </row>
    <row r="33" spans="1:8">
      <c r="A33" t="s">
        <v>165</v>
      </c>
      <c r="F33" s="43"/>
      <c r="G33" s="43"/>
    </row>
    <row r="34" spans="1:8">
      <c r="F34" s="43"/>
    </row>
    <row r="35" spans="1:8">
      <c r="A35" t="s">
        <v>80</v>
      </c>
      <c r="F35" s="43"/>
    </row>
    <row r="36" spans="1:8">
      <c r="F36" s="43"/>
    </row>
    <row r="37" spans="1:8">
      <c r="A37" s="49" t="s">
        <v>95</v>
      </c>
      <c r="B37" s="48">
        <v>16</v>
      </c>
      <c r="C37" s="48" t="s">
        <v>91</v>
      </c>
      <c r="D37" s="47" t="s">
        <v>92</v>
      </c>
      <c r="F37" s="47"/>
      <c r="G37" s="47"/>
      <c r="H37" s="47"/>
    </row>
    <row r="38" spans="1:8">
      <c r="A38" s="49" t="s">
        <v>93</v>
      </c>
      <c r="B38" s="48">
        <v>4</v>
      </c>
      <c r="C38" s="48" t="s">
        <v>91</v>
      </c>
      <c r="D38" s="47" t="s">
        <v>92</v>
      </c>
      <c r="F38" s="47"/>
      <c r="G38" s="49" t="s">
        <v>126</v>
      </c>
      <c r="H38" s="47">
        <v>3</v>
      </c>
    </row>
    <row r="39" spans="1:8">
      <c r="A39" s="47"/>
      <c r="B39" s="47"/>
      <c r="E39" s="47"/>
      <c r="G39" s="43" t="s">
        <v>127</v>
      </c>
      <c r="H39">
        <v>11.12</v>
      </c>
    </row>
    <row r="40" spans="1:8">
      <c r="G40" s="43" t="s">
        <v>125</v>
      </c>
      <c r="H40">
        <f>(H38*3)+((H38*3)*H39/100)</f>
        <v>10.0008</v>
      </c>
    </row>
    <row r="41" spans="1:8">
      <c r="D41" t="s">
        <v>90</v>
      </c>
    </row>
    <row r="42" spans="1:8" ht="18">
      <c r="A42" s="3" t="s">
        <v>52</v>
      </c>
      <c r="B42" s="3"/>
      <c r="C42" s="3" t="s">
        <v>124</v>
      </c>
      <c r="D42" s="3" t="s">
        <v>88</v>
      </c>
      <c r="E42" s="3" t="s">
        <v>87</v>
      </c>
      <c r="F42" s="3" t="s">
        <v>86</v>
      </c>
      <c r="G42" s="46" t="s">
        <v>85</v>
      </c>
      <c r="H42" s="3" t="s">
        <v>84</v>
      </c>
    </row>
    <row r="43" spans="1:8">
      <c r="A43" s="8" t="s">
        <v>166</v>
      </c>
      <c r="B43" s="144">
        <v>26</v>
      </c>
      <c r="C43" s="39" t="s">
        <v>49</v>
      </c>
      <c r="D43" s="45">
        <v>205</v>
      </c>
      <c r="E43" s="116">
        <f>(G43*H43)/D43</f>
        <v>1.9513756097560975</v>
      </c>
      <c r="F43" s="116">
        <f>H43-E43</f>
        <v>38.051824390243901</v>
      </c>
      <c r="G43" s="40">
        <v>10</v>
      </c>
      <c r="H43" s="143">
        <f>($B$38*$H$40)</f>
        <v>40.0032</v>
      </c>
    </row>
    <row r="44" spans="1:8">
      <c r="A44" s="8" t="s">
        <v>167</v>
      </c>
      <c r="B44" s="145">
        <v>42</v>
      </c>
      <c r="C44" s="3" t="s">
        <v>50</v>
      </c>
      <c r="D44" s="44">
        <v>80.2</v>
      </c>
      <c r="E44" s="116">
        <f>(G44*H44)/D44</f>
        <v>4.9879301745635907</v>
      </c>
      <c r="F44" s="116">
        <f>H44-E44</f>
        <v>35.015269825436405</v>
      </c>
      <c r="G44" s="42">
        <v>10</v>
      </c>
      <c r="H44" s="8">
        <f t="shared" ref="H44:H45" si="0">$B$38*$H$40</f>
        <v>40.0032</v>
      </c>
    </row>
    <row r="45" spans="1:8">
      <c r="A45" s="8" t="s">
        <v>168</v>
      </c>
      <c r="B45" s="144">
        <v>94</v>
      </c>
      <c r="C45" s="39" t="s">
        <v>51</v>
      </c>
      <c r="D45" s="45">
        <v>87.8</v>
      </c>
      <c r="E45" s="116">
        <f>(G45*H45)/D45</f>
        <v>4.5561731207289293</v>
      </c>
      <c r="F45" s="116">
        <f>H45-E45</f>
        <v>35.447026879271071</v>
      </c>
      <c r="G45" s="40">
        <v>10</v>
      </c>
      <c r="H45" s="143">
        <f t="shared" si="0"/>
        <v>40.0032</v>
      </c>
    </row>
    <row r="46" spans="1:8">
      <c r="A46" s="8"/>
      <c r="B46" s="9"/>
      <c r="C46" s="3"/>
      <c r="D46" s="44"/>
      <c r="E46" s="116"/>
      <c r="F46" s="116"/>
      <c r="G46" s="42"/>
      <c r="H46" s="8"/>
    </row>
    <row r="47" spans="1:8">
      <c r="A47" s="8"/>
      <c r="B47" s="9"/>
      <c r="C47" s="3"/>
      <c r="D47" s="3"/>
      <c r="E47" s="116"/>
      <c r="F47" s="116"/>
      <c r="G47" s="42"/>
      <c r="H47" s="8"/>
    </row>
    <row r="48" spans="1:8">
      <c r="A48" s="8"/>
      <c r="B48" s="41"/>
      <c r="C48" s="39"/>
      <c r="D48" s="39"/>
      <c r="E48" s="116"/>
      <c r="F48" s="116"/>
      <c r="G48" s="40"/>
      <c r="H48" s="143"/>
    </row>
    <row r="49" spans="1:13">
      <c r="A49" s="8"/>
      <c r="B49" s="9"/>
      <c r="C49" s="3"/>
      <c r="D49" s="3"/>
      <c r="E49" s="116"/>
      <c r="F49" s="116"/>
      <c r="G49" s="42"/>
      <c r="H49" s="8"/>
      <c r="I49" s="36"/>
      <c r="J49" s="1"/>
      <c r="K49" s="1"/>
      <c r="L49" s="38"/>
      <c r="M49" s="37"/>
    </row>
    <row r="50" spans="1:13">
      <c r="A50" s="8"/>
      <c r="B50" s="41"/>
      <c r="C50" s="39"/>
      <c r="D50" s="39"/>
      <c r="E50" s="116"/>
      <c r="F50" s="116"/>
      <c r="G50" s="40"/>
      <c r="H50" s="143"/>
      <c r="I50" s="36"/>
      <c r="J50" s="1"/>
      <c r="K50" s="1"/>
      <c r="L50" s="34"/>
      <c r="M50" s="35"/>
    </row>
    <row r="51" spans="1:13">
      <c r="A51" s="8"/>
      <c r="B51" s="9"/>
      <c r="C51" s="3"/>
      <c r="D51" s="3"/>
      <c r="E51" s="116"/>
      <c r="F51" s="116"/>
      <c r="G51" s="42"/>
      <c r="H51" s="8"/>
      <c r="I51" s="36"/>
      <c r="J51" s="1"/>
      <c r="K51" s="1"/>
      <c r="L51" s="34"/>
      <c r="M51" s="35"/>
    </row>
    <row r="52" spans="1:13">
      <c r="A52" s="8"/>
      <c r="B52" s="41"/>
      <c r="C52" s="39"/>
      <c r="D52" s="39"/>
      <c r="E52" s="116"/>
      <c r="F52" s="116"/>
      <c r="G52" s="40"/>
      <c r="H52" s="143"/>
      <c r="I52" s="36"/>
      <c r="J52" s="1"/>
      <c r="K52" s="1"/>
      <c r="L52" s="34"/>
      <c r="M52" s="35"/>
    </row>
    <row r="53" spans="1:13">
      <c r="A53" s="8"/>
      <c r="B53" s="9"/>
      <c r="C53" s="3"/>
      <c r="D53" s="3"/>
      <c r="E53" s="116"/>
      <c r="F53" s="116"/>
      <c r="G53" s="42"/>
      <c r="H53" s="8"/>
      <c r="I53" s="36"/>
      <c r="J53" s="1"/>
      <c r="K53" s="1"/>
      <c r="L53" s="34"/>
      <c r="M53" s="35"/>
    </row>
    <row r="54" spans="1:13">
      <c r="A54" s="8"/>
      <c r="B54" s="41"/>
      <c r="C54" s="39"/>
      <c r="D54" s="39"/>
      <c r="E54" s="116"/>
      <c r="F54" s="116"/>
      <c r="G54" s="40"/>
      <c r="H54" s="143"/>
    </row>
    <row r="55" spans="1:13">
      <c r="A55" s="8"/>
      <c r="B55" s="41"/>
      <c r="C55" s="39"/>
      <c r="D55" s="39"/>
      <c r="E55" s="116"/>
      <c r="F55" s="116"/>
      <c r="G55" s="40"/>
      <c r="H55" s="143"/>
    </row>
    <row r="56" spans="1:13">
      <c r="A56" s="8"/>
      <c r="B56" s="9"/>
      <c r="C56" s="3"/>
      <c r="D56" s="3"/>
      <c r="E56" s="116"/>
      <c r="F56" s="116"/>
      <c r="G56" s="42"/>
      <c r="H56" s="8"/>
    </row>
    <row r="57" spans="1:13">
      <c r="A57" s="8"/>
      <c r="B57" s="41"/>
      <c r="C57" s="39"/>
      <c r="D57" s="39"/>
      <c r="E57" s="116"/>
      <c r="F57" s="116"/>
      <c r="G57" s="40"/>
      <c r="H57" s="143"/>
    </row>
    <row r="58" spans="1:13">
      <c r="A58" s="8"/>
      <c r="B58" s="9"/>
      <c r="C58" s="3"/>
      <c r="D58" s="3"/>
      <c r="E58" s="116"/>
      <c r="F58" s="116"/>
      <c r="G58" s="42"/>
      <c r="H58" s="8"/>
    </row>
    <row r="59" spans="1:13">
      <c r="A59" s="8"/>
      <c r="B59" s="41"/>
      <c r="C59" s="39"/>
      <c r="D59" s="39"/>
      <c r="E59" s="116"/>
      <c r="F59" s="116"/>
      <c r="G59" s="40"/>
      <c r="H59" s="143"/>
    </row>
    <row r="60" spans="1:13">
      <c r="A60" s="8"/>
      <c r="B60" s="9"/>
      <c r="C60" s="3"/>
      <c r="D60" s="3"/>
      <c r="E60" s="116"/>
      <c r="F60" s="116"/>
      <c r="G60" s="42"/>
      <c r="H60" s="8"/>
    </row>
    <row r="61" spans="1:13">
      <c r="A61" s="8"/>
      <c r="B61" s="41"/>
      <c r="C61" s="39"/>
      <c r="D61" s="39"/>
      <c r="E61" s="116"/>
      <c r="F61" s="116"/>
      <c r="G61" s="40"/>
      <c r="H61" s="143"/>
    </row>
  </sheetData>
  <mergeCells count="6">
    <mergeCell ref="L20:M20"/>
    <mergeCell ref="B1:C1"/>
    <mergeCell ref="B2:C2"/>
    <mergeCell ref="B3:C3"/>
    <mergeCell ref="B4:C4"/>
    <mergeCell ref="A20:F20"/>
  </mergeCells>
  <pageMargins left="0.75" right="0.75" top="1" bottom="1" header="0.5" footer="0.5"/>
  <pageSetup scale="66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746D-9B09-D940-9BF4-10792B4FBD6B}">
  <dimension ref="A1:M35"/>
  <sheetViews>
    <sheetView workbookViewId="0">
      <selection activeCell="H40" sqref="H40"/>
    </sheetView>
  </sheetViews>
  <sheetFormatPr baseColWidth="10" defaultRowHeight="16"/>
  <sheetData>
    <row r="1" spans="1:13">
      <c r="B1" s="122" t="s">
        <v>110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</row>
    <row r="2" spans="1:13" ht="17" thickBot="1">
      <c r="A2" s="70"/>
      <c r="B2" s="69">
        <v>1</v>
      </c>
      <c r="C2" s="69">
        <v>2</v>
      </c>
      <c r="D2" s="69">
        <v>3</v>
      </c>
      <c r="E2" s="69">
        <v>4</v>
      </c>
      <c r="F2" s="69">
        <v>5</v>
      </c>
      <c r="G2" s="69">
        <v>6</v>
      </c>
      <c r="H2" s="69">
        <v>7</v>
      </c>
      <c r="I2" s="69">
        <v>8</v>
      </c>
      <c r="J2" s="69">
        <v>9</v>
      </c>
      <c r="K2" s="69">
        <v>10</v>
      </c>
      <c r="L2" s="69">
        <v>11</v>
      </c>
      <c r="M2" s="69">
        <v>12</v>
      </c>
    </row>
    <row r="3" spans="1:13" ht="17" thickBot="1">
      <c r="A3" s="58" t="s">
        <v>109</v>
      </c>
      <c r="B3" s="123" t="s">
        <v>129</v>
      </c>
      <c r="C3" s="124" t="s">
        <v>129</v>
      </c>
      <c r="D3" s="125" t="s">
        <v>129</v>
      </c>
      <c r="E3" s="127" t="s">
        <v>135</v>
      </c>
      <c r="F3" s="128" t="s">
        <v>135</v>
      </c>
      <c r="G3" s="129" t="s">
        <v>135</v>
      </c>
      <c r="H3" s="66" t="s">
        <v>156</v>
      </c>
      <c r="I3" s="65" t="s">
        <v>156</v>
      </c>
      <c r="J3" s="64" t="s">
        <v>156</v>
      </c>
      <c r="K3" s="127" t="s">
        <v>161</v>
      </c>
      <c r="L3" s="128" t="s">
        <v>161</v>
      </c>
      <c r="M3" s="129" t="s">
        <v>161</v>
      </c>
    </row>
    <row r="4" spans="1:13">
      <c r="A4" s="58" t="s">
        <v>108</v>
      </c>
      <c r="B4" s="127" t="s">
        <v>144</v>
      </c>
      <c r="C4" s="128" t="s">
        <v>144</v>
      </c>
      <c r="D4" s="136" t="s">
        <v>144</v>
      </c>
      <c r="E4" s="130" t="s">
        <v>136</v>
      </c>
      <c r="F4" s="131" t="s">
        <v>136</v>
      </c>
      <c r="G4" s="132" t="s">
        <v>136</v>
      </c>
      <c r="H4" s="62" t="s">
        <v>157</v>
      </c>
      <c r="I4" s="60" t="s">
        <v>157</v>
      </c>
      <c r="J4" s="59" t="s">
        <v>157</v>
      </c>
      <c r="K4" s="130" t="s">
        <v>162</v>
      </c>
      <c r="L4" s="131" t="s">
        <v>162</v>
      </c>
      <c r="M4" s="132" t="s">
        <v>162</v>
      </c>
    </row>
    <row r="5" spans="1:13" ht="17" thickBot="1">
      <c r="A5" s="58" t="s">
        <v>107</v>
      </c>
      <c r="B5" s="130" t="s">
        <v>145</v>
      </c>
      <c r="C5" s="131" t="s">
        <v>145</v>
      </c>
      <c r="D5" s="137" t="s">
        <v>145</v>
      </c>
      <c r="E5" s="133" t="s">
        <v>137</v>
      </c>
      <c r="F5" s="134" t="s">
        <v>137</v>
      </c>
      <c r="G5" s="135" t="s">
        <v>137</v>
      </c>
      <c r="H5" s="62" t="s">
        <v>138</v>
      </c>
      <c r="I5" s="60" t="s">
        <v>138</v>
      </c>
      <c r="J5" s="59" t="s">
        <v>138</v>
      </c>
      <c r="K5" s="130" t="s">
        <v>163</v>
      </c>
      <c r="L5" s="131" t="s">
        <v>163</v>
      </c>
      <c r="M5" s="132" t="s">
        <v>163</v>
      </c>
    </row>
    <row r="6" spans="1:13">
      <c r="A6" s="58" t="s">
        <v>106</v>
      </c>
      <c r="B6" s="130" t="s">
        <v>146</v>
      </c>
      <c r="C6" s="131" t="s">
        <v>146</v>
      </c>
      <c r="D6" s="132" t="s">
        <v>146</v>
      </c>
      <c r="E6" s="67" t="s">
        <v>151</v>
      </c>
      <c r="F6" s="65" t="s">
        <v>151</v>
      </c>
      <c r="G6" s="68" t="s">
        <v>151</v>
      </c>
      <c r="H6" s="62" t="s">
        <v>139</v>
      </c>
      <c r="I6" s="60" t="s">
        <v>139</v>
      </c>
      <c r="J6" s="59" t="s">
        <v>139</v>
      </c>
      <c r="K6" s="130" t="s">
        <v>164</v>
      </c>
      <c r="L6" s="131" t="s">
        <v>164</v>
      </c>
      <c r="M6" s="132" t="s">
        <v>164</v>
      </c>
    </row>
    <row r="7" spans="1:13" ht="17" thickBot="1">
      <c r="A7" s="58" t="s">
        <v>32</v>
      </c>
      <c r="B7" s="130" t="s">
        <v>147</v>
      </c>
      <c r="C7" s="131" t="s">
        <v>147</v>
      </c>
      <c r="D7" s="132" t="s">
        <v>147</v>
      </c>
      <c r="E7" s="61" t="s">
        <v>152</v>
      </c>
      <c r="F7" s="60" t="s">
        <v>152</v>
      </c>
      <c r="G7" s="63" t="s">
        <v>152</v>
      </c>
      <c r="H7" s="57" t="s">
        <v>140</v>
      </c>
      <c r="I7" s="56" t="s">
        <v>140</v>
      </c>
      <c r="J7" s="55" t="s">
        <v>140</v>
      </c>
      <c r="K7" s="130" t="s">
        <v>141</v>
      </c>
      <c r="L7" s="131" t="s">
        <v>141</v>
      </c>
      <c r="M7" s="132" t="s">
        <v>141</v>
      </c>
    </row>
    <row r="8" spans="1:13">
      <c r="A8" s="58" t="s">
        <v>105</v>
      </c>
      <c r="B8" s="130" t="s">
        <v>148</v>
      </c>
      <c r="C8" s="131" t="s">
        <v>148</v>
      </c>
      <c r="D8" s="132" t="s">
        <v>148</v>
      </c>
      <c r="E8" s="61" t="s">
        <v>153</v>
      </c>
      <c r="F8" s="60" t="s">
        <v>153</v>
      </c>
      <c r="G8" s="59" t="s">
        <v>153</v>
      </c>
      <c r="H8" s="127" t="s">
        <v>158</v>
      </c>
      <c r="I8" s="128" t="s">
        <v>158</v>
      </c>
      <c r="J8" s="129" t="s">
        <v>158</v>
      </c>
      <c r="K8" s="130" t="s">
        <v>142</v>
      </c>
      <c r="L8" s="131" t="s">
        <v>142</v>
      </c>
      <c r="M8" s="132" t="s">
        <v>142</v>
      </c>
    </row>
    <row r="9" spans="1:13" ht="17" thickBot="1">
      <c r="A9" s="58" t="s">
        <v>104</v>
      </c>
      <c r="B9" s="130" t="s">
        <v>149</v>
      </c>
      <c r="C9" s="131" t="s">
        <v>149</v>
      </c>
      <c r="D9" s="132" t="s">
        <v>149</v>
      </c>
      <c r="E9" s="61" t="s">
        <v>154</v>
      </c>
      <c r="F9" s="60" t="s">
        <v>154</v>
      </c>
      <c r="G9" s="59" t="s">
        <v>154</v>
      </c>
      <c r="H9" s="130" t="s">
        <v>159</v>
      </c>
      <c r="I9" s="131" t="s">
        <v>159</v>
      </c>
      <c r="J9" s="132" t="s">
        <v>159</v>
      </c>
      <c r="K9" s="133" t="s">
        <v>143</v>
      </c>
      <c r="L9" s="134" t="s">
        <v>143</v>
      </c>
      <c r="M9" s="135" t="s">
        <v>143</v>
      </c>
    </row>
    <row r="10" spans="1:13" ht="17" thickBot="1">
      <c r="A10" s="58" t="s">
        <v>103</v>
      </c>
      <c r="B10" s="164" t="s">
        <v>150</v>
      </c>
      <c r="C10" s="134" t="s">
        <v>150</v>
      </c>
      <c r="D10" s="135" t="s">
        <v>150</v>
      </c>
      <c r="E10" s="162" t="s">
        <v>155</v>
      </c>
      <c r="F10" s="56" t="s">
        <v>155</v>
      </c>
      <c r="G10" s="55" t="s">
        <v>155</v>
      </c>
      <c r="H10" s="164" t="s">
        <v>160</v>
      </c>
      <c r="I10" s="134" t="s">
        <v>160</v>
      </c>
      <c r="J10" s="135" t="s">
        <v>160</v>
      </c>
      <c r="K10" s="126" t="s">
        <v>129</v>
      </c>
      <c r="L10" s="124" t="s">
        <v>129</v>
      </c>
      <c r="M10" s="125" t="s">
        <v>129</v>
      </c>
    </row>
    <row r="11" spans="1:13">
      <c r="B11" s="165" t="s">
        <v>110</v>
      </c>
      <c r="E11" s="163" t="s">
        <v>384</v>
      </c>
      <c r="H11" s="166" t="s">
        <v>385</v>
      </c>
    </row>
    <row r="13" spans="1:13">
      <c r="B13" s="122" t="s">
        <v>386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1"/>
    </row>
    <row r="14" spans="1:13" ht="17" thickBot="1">
      <c r="A14" s="70"/>
      <c r="B14" s="69">
        <v>1</v>
      </c>
      <c r="C14" s="69">
        <v>2</v>
      </c>
      <c r="D14" s="69">
        <v>3</v>
      </c>
      <c r="E14" s="69">
        <v>4</v>
      </c>
      <c r="F14" s="69">
        <v>5</v>
      </c>
      <c r="G14" s="69">
        <v>6</v>
      </c>
      <c r="H14" s="69">
        <v>7</v>
      </c>
      <c r="I14" s="69">
        <v>8</v>
      </c>
      <c r="J14" s="69">
        <v>9</v>
      </c>
      <c r="K14" s="69">
        <v>10</v>
      </c>
      <c r="L14" s="69">
        <v>11</v>
      </c>
      <c r="M14" s="69">
        <v>12</v>
      </c>
    </row>
    <row r="15" spans="1:13" ht="17" thickBot="1">
      <c r="A15" s="58" t="s">
        <v>109</v>
      </c>
      <c r="B15" s="167"/>
      <c r="C15" s="168"/>
      <c r="D15" s="169"/>
      <c r="E15" s="170">
        <v>15.29</v>
      </c>
      <c r="F15" s="171">
        <v>15.24</v>
      </c>
      <c r="G15" s="172">
        <v>15.14</v>
      </c>
      <c r="H15" s="173">
        <v>16.73</v>
      </c>
      <c r="I15" s="174">
        <v>16.66</v>
      </c>
      <c r="J15" s="175">
        <v>16.63</v>
      </c>
      <c r="K15" s="170">
        <v>23.45</v>
      </c>
      <c r="L15" s="171">
        <v>22.69</v>
      </c>
      <c r="M15" s="172">
        <v>22.69</v>
      </c>
    </row>
    <row r="16" spans="1:13">
      <c r="A16" s="58" t="s">
        <v>108</v>
      </c>
      <c r="B16" s="170">
        <v>34.68</v>
      </c>
      <c r="C16" s="171"/>
      <c r="D16" s="176">
        <v>40</v>
      </c>
      <c r="E16" s="177">
        <v>15.59</v>
      </c>
      <c r="F16" s="178">
        <v>15.58</v>
      </c>
      <c r="G16" s="179">
        <v>15.5</v>
      </c>
      <c r="H16" s="180">
        <v>13.25</v>
      </c>
      <c r="I16" s="181">
        <v>13.16</v>
      </c>
      <c r="J16" s="182">
        <v>13.36</v>
      </c>
      <c r="K16" s="177">
        <v>16.64</v>
      </c>
      <c r="L16" s="178">
        <v>16.27</v>
      </c>
      <c r="M16" s="179">
        <v>16.63</v>
      </c>
    </row>
    <row r="17" spans="1:13" ht="17" thickBot="1">
      <c r="A17" s="58" t="s">
        <v>107</v>
      </c>
      <c r="B17" s="177">
        <v>34.07</v>
      </c>
      <c r="C17" s="178">
        <v>34.840000000000003</v>
      </c>
      <c r="D17" s="183">
        <v>34.58</v>
      </c>
      <c r="E17" s="184">
        <v>15.79</v>
      </c>
      <c r="F17" s="185">
        <v>15.8</v>
      </c>
      <c r="G17" s="186">
        <v>15.75</v>
      </c>
      <c r="H17" s="180">
        <v>18.57</v>
      </c>
      <c r="I17" s="181">
        <v>18.489999999999998</v>
      </c>
      <c r="J17" s="182">
        <v>18.53</v>
      </c>
      <c r="K17" s="177">
        <v>13.01</v>
      </c>
      <c r="L17" s="178">
        <v>12.95</v>
      </c>
      <c r="M17" s="179">
        <v>13.13</v>
      </c>
    </row>
    <row r="18" spans="1:13">
      <c r="A18" s="58" t="s">
        <v>106</v>
      </c>
      <c r="B18" s="177">
        <v>30.35</v>
      </c>
      <c r="C18" s="178">
        <v>30.51</v>
      </c>
      <c r="D18" s="179">
        <v>30.67</v>
      </c>
      <c r="E18" s="187">
        <v>30.77</v>
      </c>
      <c r="F18" s="174">
        <v>30.75</v>
      </c>
      <c r="G18" s="188">
        <v>29.79</v>
      </c>
      <c r="H18" s="180">
        <v>18.32</v>
      </c>
      <c r="I18" s="181">
        <v>18.239999999999998</v>
      </c>
      <c r="J18" s="182">
        <v>18.46</v>
      </c>
      <c r="K18" s="177">
        <v>9.74</v>
      </c>
      <c r="L18" s="178">
        <v>9.73</v>
      </c>
      <c r="M18" s="179">
        <v>9.66</v>
      </c>
    </row>
    <row r="19" spans="1:13" ht="17" thickBot="1">
      <c r="A19" s="58" t="s">
        <v>32</v>
      </c>
      <c r="B19" s="177">
        <v>26.56</v>
      </c>
      <c r="C19" s="178">
        <v>26.71</v>
      </c>
      <c r="D19" s="179">
        <v>26.68</v>
      </c>
      <c r="E19" s="189">
        <v>29.59</v>
      </c>
      <c r="F19" s="181">
        <v>29.49</v>
      </c>
      <c r="G19" s="190">
        <v>30.02</v>
      </c>
      <c r="H19" s="191">
        <v>18.84</v>
      </c>
      <c r="I19" s="192">
        <v>18.649999999999999</v>
      </c>
      <c r="J19" s="193">
        <v>18.600000000000001</v>
      </c>
      <c r="K19" s="177">
        <v>13.87</v>
      </c>
      <c r="L19" s="178">
        <v>13.62</v>
      </c>
      <c r="M19" s="179">
        <v>13.68</v>
      </c>
    </row>
    <row r="20" spans="1:13">
      <c r="A20" s="58" t="s">
        <v>105</v>
      </c>
      <c r="B20" s="177">
        <v>22.98</v>
      </c>
      <c r="C20" s="178">
        <v>22.76</v>
      </c>
      <c r="D20" s="179">
        <v>22.82</v>
      </c>
      <c r="E20" s="189">
        <v>26.75</v>
      </c>
      <c r="F20" s="181">
        <v>26.53</v>
      </c>
      <c r="G20" s="182">
        <v>26.7</v>
      </c>
      <c r="H20" s="170">
        <v>26.97</v>
      </c>
      <c r="I20" s="171">
        <v>30.16</v>
      </c>
      <c r="J20" s="172">
        <v>31.85</v>
      </c>
      <c r="K20" s="177">
        <v>14.14</v>
      </c>
      <c r="L20" s="178">
        <v>13.92</v>
      </c>
      <c r="M20" s="179">
        <v>14.05</v>
      </c>
    </row>
    <row r="21" spans="1:13" ht="17" thickBot="1">
      <c r="A21" s="58" t="s">
        <v>104</v>
      </c>
      <c r="B21" s="177">
        <v>18.88</v>
      </c>
      <c r="C21" s="178">
        <v>18.71</v>
      </c>
      <c r="D21" s="179">
        <v>18.88</v>
      </c>
      <c r="E21" s="189">
        <v>23.48</v>
      </c>
      <c r="F21" s="181">
        <v>23.54</v>
      </c>
      <c r="G21" s="182">
        <v>23.35</v>
      </c>
      <c r="H21" s="177">
        <v>27.36</v>
      </c>
      <c r="I21" s="178">
        <v>27.16</v>
      </c>
      <c r="J21" s="179">
        <v>27.25</v>
      </c>
      <c r="K21" s="184">
        <v>14.14</v>
      </c>
      <c r="L21" s="185">
        <v>14.16</v>
      </c>
      <c r="M21" s="186">
        <v>14.01</v>
      </c>
    </row>
    <row r="22" spans="1:13" ht="17" thickBot="1">
      <c r="A22" s="58" t="s">
        <v>103</v>
      </c>
      <c r="B22" s="194">
        <v>16.93</v>
      </c>
      <c r="C22" s="185">
        <v>16.53</v>
      </c>
      <c r="D22" s="186">
        <v>16.8</v>
      </c>
      <c r="E22" s="195">
        <v>20.18</v>
      </c>
      <c r="F22" s="192">
        <v>20.02</v>
      </c>
      <c r="G22" s="193">
        <v>19.86</v>
      </c>
      <c r="H22" s="194">
        <v>24.04</v>
      </c>
      <c r="I22" s="185">
        <v>24.08</v>
      </c>
      <c r="J22" s="186">
        <v>24.07</v>
      </c>
      <c r="K22" s="196">
        <v>32.79</v>
      </c>
      <c r="L22" s="168">
        <v>33.840000000000003</v>
      </c>
      <c r="M22" s="169"/>
    </row>
    <row r="23" spans="1:13">
      <c r="B23" s="165" t="s">
        <v>110</v>
      </c>
      <c r="E23" s="163" t="s">
        <v>384</v>
      </c>
      <c r="H23" s="166" t="s">
        <v>385</v>
      </c>
    </row>
    <row r="25" spans="1:13">
      <c r="B25" s="122" t="s">
        <v>387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1"/>
    </row>
    <row r="26" spans="1:13" ht="17" thickBot="1">
      <c r="A26" s="70"/>
      <c r="B26" s="69">
        <v>1</v>
      </c>
      <c r="C26" s="69">
        <v>2</v>
      </c>
      <c r="D26" s="69">
        <v>3</v>
      </c>
      <c r="E26" s="69">
        <v>4</v>
      </c>
      <c r="F26" s="69">
        <v>5</v>
      </c>
      <c r="G26" s="69">
        <v>6</v>
      </c>
      <c r="H26" s="69">
        <v>7</v>
      </c>
      <c r="I26" s="69">
        <v>8</v>
      </c>
      <c r="J26" s="69">
        <v>9</v>
      </c>
      <c r="K26" s="69">
        <v>10</v>
      </c>
      <c r="L26" s="69">
        <v>11</v>
      </c>
      <c r="M26" s="69">
        <v>12</v>
      </c>
    </row>
    <row r="27" spans="1:13" ht="17" thickBot="1">
      <c r="A27" s="58" t="s">
        <v>109</v>
      </c>
      <c r="B27" s="167"/>
      <c r="C27" s="168"/>
      <c r="D27" s="169"/>
      <c r="E27" s="170">
        <v>84.44</v>
      </c>
      <c r="F27" s="171">
        <v>84.4</v>
      </c>
      <c r="G27" s="172">
        <v>84.36</v>
      </c>
      <c r="H27" s="173">
        <v>88.27</v>
      </c>
      <c r="I27" s="174">
        <v>88.36</v>
      </c>
      <c r="J27" s="175">
        <v>88.47</v>
      </c>
      <c r="K27" s="170">
        <v>87.31</v>
      </c>
      <c r="L27" s="171">
        <v>86.8</v>
      </c>
      <c r="M27" s="172">
        <v>87.44</v>
      </c>
    </row>
    <row r="28" spans="1:13">
      <c r="A28" s="58" t="s">
        <v>108</v>
      </c>
      <c r="B28" s="170">
        <v>84.28</v>
      </c>
      <c r="C28" s="171">
        <v>69.86</v>
      </c>
      <c r="D28" s="176">
        <v>84.29</v>
      </c>
      <c r="E28" s="177">
        <v>84.39</v>
      </c>
      <c r="F28" s="178">
        <v>84.43</v>
      </c>
      <c r="G28" s="179">
        <v>84.43</v>
      </c>
      <c r="H28" s="180">
        <v>88.3</v>
      </c>
      <c r="I28" s="181">
        <v>88.36</v>
      </c>
      <c r="J28" s="182">
        <v>88.48</v>
      </c>
      <c r="K28" s="177">
        <v>87.32</v>
      </c>
      <c r="L28" s="178">
        <v>87.34</v>
      </c>
      <c r="M28" s="179">
        <v>87.37</v>
      </c>
    </row>
    <row r="29" spans="1:13" ht="17" thickBot="1">
      <c r="A29" s="58" t="s">
        <v>107</v>
      </c>
      <c r="B29" s="177">
        <v>84.24</v>
      </c>
      <c r="C29" s="178">
        <v>84.17</v>
      </c>
      <c r="D29" s="183">
        <v>84.02</v>
      </c>
      <c r="E29" s="184">
        <v>84.44</v>
      </c>
      <c r="F29" s="185">
        <v>84.44</v>
      </c>
      <c r="G29" s="186">
        <v>84.47</v>
      </c>
      <c r="H29" s="180">
        <v>87.14</v>
      </c>
      <c r="I29" s="181">
        <v>87.18</v>
      </c>
      <c r="J29" s="182">
        <v>87.31</v>
      </c>
      <c r="K29" s="177">
        <v>87.33</v>
      </c>
      <c r="L29" s="178">
        <v>87.36</v>
      </c>
      <c r="M29" s="179">
        <v>87.39</v>
      </c>
    </row>
    <row r="30" spans="1:13">
      <c r="A30" s="58" t="s">
        <v>106</v>
      </c>
      <c r="B30" s="177">
        <v>84.17</v>
      </c>
      <c r="C30" s="178">
        <v>84.24</v>
      </c>
      <c r="D30" s="179">
        <v>84.28</v>
      </c>
      <c r="E30" s="187">
        <v>88.12</v>
      </c>
      <c r="F30" s="174">
        <v>88.03</v>
      </c>
      <c r="G30" s="188">
        <v>88.18</v>
      </c>
      <c r="H30" s="180">
        <v>87.33</v>
      </c>
      <c r="I30" s="181">
        <v>87.41</v>
      </c>
      <c r="J30" s="182">
        <v>87.54</v>
      </c>
      <c r="K30" s="177">
        <v>87.37</v>
      </c>
      <c r="L30" s="178">
        <v>87.37</v>
      </c>
      <c r="M30" s="179">
        <v>87.41</v>
      </c>
    </row>
    <row r="31" spans="1:13" ht="17" thickBot="1">
      <c r="A31" s="58" t="s">
        <v>32</v>
      </c>
      <c r="B31" s="177">
        <v>84.27</v>
      </c>
      <c r="C31" s="178">
        <v>84.29</v>
      </c>
      <c r="D31" s="179">
        <v>84.3</v>
      </c>
      <c r="E31" s="189">
        <v>88.25</v>
      </c>
      <c r="F31" s="181">
        <v>88.1</v>
      </c>
      <c r="G31" s="190">
        <v>88.24</v>
      </c>
      <c r="H31" s="191">
        <v>87.33</v>
      </c>
      <c r="I31" s="192">
        <v>87.37</v>
      </c>
      <c r="J31" s="193">
        <v>87.49</v>
      </c>
      <c r="K31" s="177">
        <v>85.73</v>
      </c>
      <c r="L31" s="178">
        <v>85.64</v>
      </c>
      <c r="M31" s="179">
        <v>85.72</v>
      </c>
    </row>
    <row r="32" spans="1:13">
      <c r="A32" s="58" t="s">
        <v>105</v>
      </c>
      <c r="B32" s="177">
        <v>84.3</v>
      </c>
      <c r="C32" s="178">
        <v>84.33</v>
      </c>
      <c r="D32" s="179">
        <v>84.33</v>
      </c>
      <c r="E32" s="189">
        <v>88.22</v>
      </c>
      <c r="F32" s="181">
        <v>88.25</v>
      </c>
      <c r="G32" s="182">
        <v>88.15</v>
      </c>
      <c r="H32" s="170">
        <v>87.11</v>
      </c>
      <c r="I32" s="171">
        <v>87.12</v>
      </c>
      <c r="J32" s="172">
        <v>87.16</v>
      </c>
      <c r="K32" s="177">
        <v>85.69</v>
      </c>
      <c r="L32" s="178">
        <v>85.66</v>
      </c>
      <c r="M32" s="179">
        <v>85.73</v>
      </c>
    </row>
    <row r="33" spans="1:13" ht="17" thickBot="1">
      <c r="A33" s="58" t="s">
        <v>104</v>
      </c>
      <c r="B33" s="177">
        <v>84.34</v>
      </c>
      <c r="C33" s="178">
        <v>84.34</v>
      </c>
      <c r="D33" s="179">
        <v>84.34</v>
      </c>
      <c r="E33" s="189">
        <v>88.26</v>
      </c>
      <c r="F33" s="181">
        <v>88.3</v>
      </c>
      <c r="G33" s="182">
        <v>88.31</v>
      </c>
      <c r="H33" s="177">
        <v>87.04</v>
      </c>
      <c r="I33" s="178">
        <v>87.16</v>
      </c>
      <c r="J33" s="179">
        <v>87.24</v>
      </c>
      <c r="K33" s="184">
        <v>85.72</v>
      </c>
      <c r="L33" s="185">
        <v>85.73</v>
      </c>
      <c r="M33" s="186">
        <v>85.76</v>
      </c>
    </row>
    <row r="34" spans="1:13" ht="17" thickBot="1">
      <c r="A34" s="58" t="s">
        <v>103</v>
      </c>
      <c r="B34" s="194">
        <v>84.36</v>
      </c>
      <c r="C34" s="185">
        <v>84.42</v>
      </c>
      <c r="D34" s="186">
        <v>84.38</v>
      </c>
      <c r="E34" s="195">
        <v>88.2</v>
      </c>
      <c r="F34" s="192">
        <v>88.33</v>
      </c>
      <c r="G34" s="193">
        <v>88.24</v>
      </c>
      <c r="H34" s="194">
        <v>87.14</v>
      </c>
      <c r="I34" s="185">
        <v>87.22</v>
      </c>
      <c r="J34" s="186">
        <v>87.27</v>
      </c>
      <c r="K34" s="196">
        <v>87.31</v>
      </c>
      <c r="L34" s="168">
        <v>87.37</v>
      </c>
      <c r="M34" s="169"/>
    </row>
    <row r="35" spans="1:13">
      <c r="B35" s="165" t="s">
        <v>110</v>
      </c>
      <c r="E35" s="163" t="s">
        <v>384</v>
      </c>
      <c r="H35" s="166" t="s">
        <v>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5CAB-C70A-8747-9121-3357923DB71B}">
  <dimension ref="A1:H98"/>
  <sheetViews>
    <sheetView workbookViewId="0">
      <selection activeCell="H26" sqref="H26"/>
    </sheetView>
  </sheetViews>
  <sheetFormatPr baseColWidth="10" defaultRowHeight="16"/>
  <sheetData>
    <row r="1" spans="1:8">
      <c r="A1" t="s">
        <v>379</v>
      </c>
    </row>
    <row r="2" spans="1:8">
      <c r="A2" t="s">
        <v>378</v>
      </c>
      <c r="B2" t="s">
        <v>377</v>
      </c>
      <c r="C2" t="s">
        <v>376</v>
      </c>
      <c r="D2" t="s">
        <v>375</v>
      </c>
      <c r="E2" t="s">
        <v>383</v>
      </c>
      <c r="F2" t="s">
        <v>382</v>
      </c>
      <c r="G2" t="s">
        <v>381</v>
      </c>
      <c r="H2" t="s">
        <v>372</v>
      </c>
    </row>
    <row r="3" spans="1:8">
      <c r="A3" t="b">
        <v>1</v>
      </c>
      <c r="B3">
        <v>65280</v>
      </c>
      <c r="C3" t="s">
        <v>371</v>
      </c>
      <c r="D3" t="s">
        <v>370</v>
      </c>
      <c r="G3">
        <v>0</v>
      </c>
    </row>
    <row r="4" spans="1:8">
      <c r="A4" t="b">
        <v>1</v>
      </c>
      <c r="B4">
        <v>65280</v>
      </c>
      <c r="C4" t="s">
        <v>369</v>
      </c>
      <c r="D4" t="s">
        <v>368</v>
      </c>
      <c r="G4">
        <v>0</v>
      </c>
    </row>
    <row r="5" spans="1:8">
      <c r="A5" t="b">
        <v>1</v>
      </c>
      <c r="B5">
        <v>65280</v>
      </c>
      <c r="C5" t="s">
        <v>367</v>
      </c>
      <c r="D5" t="s">
        <v>366</v>
      </c>
      <c r="G5">
        <v>0</v>
      </c>
    </row>
    <row r="6" spans="1:8">
      <c r="A6" t="b">
        <v>1</v>
      </c>
      <c r="B6">
        <v>255</v>
      </c>
      <c r="C6" t="s">
        <v>365</v>
      </c>
      <c r="D6" t="s">
        <v>364</v>
      </c>
      <c r="E6">
        <v>15.29</v>
      </c>
      <c r="G6">
        <v>0</v>
      </c>
    </row>
    <row r="7" spans="1:8">
      <c r="A7" t="b">
        <v>1</v>
      </c>
      <c r="B7">
        <v>255</v>
      </c>
      <c r="C7" t="s">
        <v>363</v>
      </c>
      <c r="D7" t="s">
        <v>362</v>
      </c>
      <c r="E7">
        <v>15.24</v>
      </c>
      <c r="G7">
        <v>0</v>
      </c>
    </row>
    <row r="8" spans="1:8">
      <c r="A8" t="b">
        <v>1</v>
      </c>
      <c r="B8">
        <v>255</v>
      </c>
      <c r="C8" t="s">
        <v>361</v>
      </c>
      <c r="D8" t="s">
        <v>360</v>
      </c>
      <c r="E8">
        <v>15.14</v>
      </c>
      <c r="G8">
        <v>0</v>
      </c>
    </row>
    <row r="9" spans="1:8">
      <c r="A9" t="b">
        <v>1</v>
      </c>
      <c r="B9">
        <v>255</v>
      </c>
      <c r="C9" t="s">
        <v>359</v>
      </c>
      <c r="D9" t="s">
        <v>358</v>
      </c>
      <c r="E9">
        <v>16.73</v>
      </c>
      <c r="G9">
        <v>0</v>
      </c>
    </row>
    <row r="10" spans="1:8">
      <c r="A10" t="b">
        <v>1</v>
      </c>
      <c r="B10">
        <v>255</v>
      </c>
      <c r="C10" t="s">
        <v>357</v>
      </c>
      <c r="D10" t="s">
        <v>356</v>
      </c>
      <c r="E10">
        <v>16.66</v>
      </c>
      <c r="G10">
        <v>0</v>
      </c>
    </row>
    <row r="11" spans="1:8">
      <c r="A11" t="b">
        <v>1</v>
      </c>
      <c r="B11">
        <v>255</v>
      </c>
      <c r="C11" t="s">
        <v>355</v>
      </c>
      <c r="D11" t="s">
        <v>354</v>
      </c>
      <c r="E11">
        <v>16.63</v>
      </c>
      <c r="G11">
        <v>0</v>
      </c>
    </row>
    <row r="12" spans="1:8">
      <c r="A12" t="b">
        <v>1</v>
      </c>
      <c r="B12">
        <v>255</v>
      </c>
      <c r="C12" t="s">
        <v>353</v>
      </c>
      <c r="D12" t="s">
        <v>352</v>
      </c>
      <c r="E12">
        <v>23.45</v>
      </c>
      <c r="G12">
        <v>0</v>
      </c>
    </row>
    <row r="13" spans="1:8">
      <c r="A13" t="b">
        <v>1</v>
      </c>
      <c r="B13">
        <v>255</v>
      </c>
      <c r="C13" t="s">
        <v>351</v>
      </c>
      <c r="D13" t="s">
        <v>350</v>
      </c>
      <c r="E13">
        <v>22.69</v>
      </c>
      <c r="G13">
        <v>0</v>
      </c>
    </row>
    <row r="14" spans="1:8">
      <c r="A14" t="b">
        <v>1</v>
      </c>
      <c r="B14">
        <v>255</v>
      </c>
      <c r="C14" t="s">
        <v>349</v>
      </c>
      <c r="D14" t="s">
        <v>348</v>
      </c>
      <c r="E14">
        <v>22.69</v>
      </c>
      <c r="G14">
        <v>0</v>
      </c>
    </row>
    <row r="15" spans="1:8">
      <c r="A15" t="b">
        <v>1</v>
      </c>
      <c r="B15">
        <v>255</v>
      </c>
      <c r="C15" t="s">
        <v>347</v>
      </c>
      <c r="D15" t="s">
        <v>346</v>
      </c>
      <c r="E15">
        <v>34.68</v>
      </c>
      <c r="G15">
        <v>0</v>
      </c>
    </row>
    <row r="16" spans="1:8">
      <c r="A16" t="b">
        <v>1</v>
      </c>
      <c r="B16">
        <v>65280</v>
      </c>
      <c r="C16" t="s">
        <v>345</v>
      </c>
      <c r="D16" t="s">
        <v>344</v>
      </c>
      <c r="G16">
        <v>0</v>
      </c>
    </row>
    <row r="17" spans="1:8">
      <c r="A17" t="b">
        <v>1</v>
      </c>
      <c r="B17">
        <v>255</v>
      </c>
      <c r="C17" t="s">
        <v>343</v>
      </c>
      <c r="D17" t="s">
        <v>342</v>
      </c>
      <c r="E17">
        <v>40</v>
      </c>
      <c r="G17">
        <v>0</v>
      </c>
      <c r="H17" t="s">
        <v>380</v>
      </c>
    </row>
    <row r="18" spans="1:8">
      <c r="A18" t="b">
        <v>1</v>
      </c>
      <c r="B18">
        <v>255</v>
      </c>
      <c r="C18" t="s">
        <v>341</v>
      </c>
      <c r="D18" t="s">
        <v>340</v>
      </c>
      <c r="E18">
        <v>15.59</v>
      </c>
      <c r="G18">
        <v>0</v>
      </c>
    </row>
    <row r="19" spans="1:8">
      <c r="A19" t="b">
        <v>1</v>
      </c>
      <c r="B19">
        <v>255</v>
      </c>
      <c r="C19" t="s">
        <v>339</v>
      </c>
      <c r="D19" t="s">
        <v>338</v>
      </c>
      <c r="E19">
        <v>15.58</v>
      </c>
      <c r="G19">
        <v>0</v>
      </c>
    </row>
    <row r="20" spans="1:8">
      <c r="A20" t="b">
        <v>1</v>
      </c>
      <c r="B20">
        <v>255</v>
      </c>
      <c r="C20" t="s">
        <v>337</v>
      </c>
      <c r="D20" t="s">
        <v>336</v>
      </c>
      <c r="E20">
        <v>15.5</v>
      </c>
      <c r="G20">
        <v>0</v>
      </c>
    </row>
    <row r="21" spans="1:8">
      <c r="A21" t="b">
        <v>1</v>
      </c>
      <c r="B21">
        <v>255</v>
      </c>
      <c r="C21" t="s">
        <v>335</v>
      </c>
      <c r="D21" t="s">
        <v>334</v>
      </c>
      <c r="E21">
        <v>13.25</v>
      </c>
      <c r="G21">
        <v>0</v>
      </c>
    </row>
    <row r="22" spans="1:8">
      <c r="A22" t="b">
        <v>1</v>
      </c>
      <c r="B22">
        <v>255</v>
      </c>
      <c r="C22" t="s">
        <v>333</v>
      </c>
      <c r="D22" t="s">
        <v>332</v>
      </c>
      <c r="E22">
        <v>13.16</v>
      </c>
      <c r="G22">
        <v>0</v>
      </c>
    </row>
    <row r="23" spans="1:8">
      <c r="A23" t="b">
        <v>1</v>
      </c>
      <c r="B23">
        <v>255</v>
      </c>
      <c r="C23" t="s">
        <v>331</v>
      </c>
      <c r="D23" t="s">
        <v>330</v>
      </c>
      <c r="E23">
        <v>13.36</v>
      </c>
      <c r="G23">
        <v>0</v>
      </c>
    </row>
    <row r="24" spans="1:8">
      <c r="A24" t="b">
        <v>1</v>
      </c>
      <c r="B24">
        <v>255</v>
      </c>
      <c r="C24" t="s">
        <v>329</v>
      </c>
      <c r="D24" t="s">
        <v>328</v>
      </c>
      <c r="E24">
        <v>16.64</v>
      </c>
      <c r="G24">
        <v>0</v>
      </c>
    </row>
    <row r="25" spans="1:8">
      <c r="A25" t="b">
        <v>1</v>
      </c>
      <c r="B25">
        <v>255</v>
      </c>
      <c r="C25" t="s">
        <v>327</v>
      </c>
      <c r="D25" t="s">
        <v>326</v>
      </c>
      <c r="E25">
        <v>16.27</v>
      </c>
      <c r="G25">
        <v>0</v>
      </c>
    </row>
    <row r="26" spans="1:8">
      <c r="A26" t="b">
        <v>1</v>
      </c>
      <c r="B26">
        <v>255</v>
      </c>
      <c r="C26" t="s">
        <v>325</v>
      </c>
      <c r="D26" t="s">
        <v>324</v>
      </c>
      <c r="E26">
        <v>16.63</v>
      </c>
      <c r="G26">
        <v>0</v>
      </c>
    </row>
    <row r="27" spans="1:8">
      <c r="A27" t="b">
        <v>1</v>
      </c>
      <c r="B27">
        <v>255</v>
      </c>
      <c r="C27" t="s">
        <v>323</v>
      </c>
      <c r="D27" t="s">
        <v>322</v>
      </c>
      <c r="E27">
        <v>34.07</v>
      </c>
      <c r="G27">
        <v>0</v>
      </c>
    </row>
    <row r="28" spans="1:8">
      <c r="A28" t="b">
        <v>1</v>
      </c>
      <c r="B28">
        <v>255</v>
      </c>
      <c r="C28" t="s">
        <v>321</v>
      </c>
      <c r="D28" t="s">
        <v>320</v>
      </c>
      <c r="E28">
        <v>34.840000000000003</v>
      </c>
      <c r="G28">
        <v>0</v>
      </c>
    </row>
    <row r="29" spans="1:8">
      <c r="A29" t="b">
        <v>1</v>
      </c>
      <c r="B29">
        <v>255</v>
      </c>
      <c r="C29" t="s">
        <v>319</v>
      </c>
      <c r="D29" t="s">
        <v>318</v>
      </c>
      <c r="E29">
        <v>34.58</v>
      </c>
      <c r="G29">
        <v>0</v>
      </c>
    </row>
    <row r="30" spans="1:8">
      <c r="A30" t="b">
        <v>1</v>
      </c>
      <c r="B30">
        <v>255</v>
      </c>
      <c r="C30" t="s">
        <v>317</v>
      </c>
      <c r="D30" t="s">
        <v>316</v>
      </c>
      <c r="E30">
        <v>15.79</v>
      </c>
      <c r="G30">
        <v>0</v>
      </c>
    </row>
    <row r="31" spans="1:8">
      <c r="A31" t="b">
        <v>1</v>
      </c>
      <c r="B31">
        <v>255</v>
      </c>
      <c r="C31" t="s">
        <v>315</v>
      </c>
      <c r="D31" t="s">
        <v>314</v>
      </c>
      <c r="E31">
        <v>15.8</v>
      </c>
      <c r="G31">
        <v>0</v>
      </c>
    </row>
    <row r="32" spans="1:8">
      <c r="A32" t="b">
        <v>1</v>
      </c>
      <c r="B32">
        <v>255</v>
      </c>
      <c r="C32" t="s">
        <v>313</v>
      </c>
      <c r="D32" t="s">
        <v>312</v>
      </c>
      <c r="E32">
        <v>15.75</v>
      </c>
      <c r="G32">
        <v>0</v>
      </c>
    </row>
    <row r="33" spans="1:7">
      <c r="A33" t="b">
        <v>1</v>
      </c>
      <c r="B33">
        <v>255</v>
      </c>
      <c r="C33" t="s">
        <v>311</v>
      </c>
      <c r="D33" t="s">
        <v>310</v>
      </c>
      <c r="E33">
        <v>18.57</v>
      </c>
      <c r="G33">
        <v>0</v>
      </c>
    </row>
    <row r="34" spans="1:7">
      <c r="A34" t="b">
        <v>1</v>
      </c>
      <c r="B34">
        <v>255</v>
      </c>
      <c r="C34" t="s">
        <v>309</v>
      </c>
      <c r="D34" t="s">
        <v>308</v>
      </c>
      <c r="E34">
        <v>18.489999999999998</v>
      </c>
      <c r="G34">
        <v>0</v>
      </c>
    </row>
    <row r="35" spans="1:7">
      <c r="A35" t="b">
        <v>1</v>
      </c>
      <c r="B35">
        <v>255</v>
      </c>
      <c r="C35" t="s">
        <v>307</v>
      </c>
      <c r="D35" t="s">
        <v>306</v>
      </c>
      <c r="E35">
        <v>18.53</v>
      </c>
      <c r="G35">
        <v>0</v>
      </c>
    </row>
    <row r="36" spans="1:7">
      <c r="A36" t="b">
        <v>1</v>
      </c>
      <c r="B36">
        <v>255</v>
      </c>
      <c r="C36" t="s">
        <v>305</v>
      </c>
      <c r="D36" t="s">
        <v>304</v>
      </c>
      <c r="E36">
        <v>13.01</v>
      </c>
      <c r="G36">
        <v>0</v>
      </c>
    </row>
    <row r="37" spans="1:7">
      <c r="A37" t="b">
        <v>1</v>
      </c>
      <c r="B37">
        <v>255</v>
      </c>
      <c r="C37" t="s">
        <v>303</v>
      </c>
      <c r="D37" t="s">
        <v>302</v>
      </c>
      <c r="E37">
        <v>12.95</v>
      </c>
      <c r="G37">
        <v>0</v>
      </c>
    </row>
    <row r="38" spans="1:7">
      <c r="A38" t="b">
        <v>1</v>
      </c>
      <c r="B38">
        <v>255</v>
      </c>
      <c r="C38" t="s">
        <v>301</v>
      </c>
      <c r="D38" t="s">
        <v>300</v>
      </c>
      <c r="E38">
        <v>13.13</v>
      </c>
      <c r="G38">
        <v>0</v>
      </c>
    </row>
    <row r="39" spans="1:7">
      <c r="A39" t="b">
        <v>1</v>
      </c>
      <c r="B39">
        <v>255</v>
      </c>
      <c r="C39" t="s">
        <v>299</v>
      </c>
      <c r="D39" t="s">
        <v>298</v>
      </c>
      <c r="E39">
        <v>30.35</v>
      </c>
      <c r="G39">
        <v>0</v>
      </c>
    </row>
    <row r="40" spans="1:7">
      <c r="A40" t="b">
        <v>1</v>
      </c>
      <c r="B40">
        <v>255</v>
      </c>
      <c r="C40" t="s">
        <v>297</v>
      </c>
      <c r="D40" t="s">
        <v>296</v>
      </c>
      <c r="E40">
        <v>30.51</v>
      </c>
      <c r="G40">
        <v>0</v>
      </c>
    </row>
    <row r="41" spans="1:7">
      <c r="A41" t="b">
        <v>1</v>
      </c>
      <c r="B41">
        <v>255</v>
      </c>
      <c r="C41" t="s">
        <v>295</v>
      </c>
      <c r="D41" t="s">
        <v>294</v>
      </c>
      <c r="E41">
        <v>30.67</v>
      </c>
      <c r="G41">
        <v>0</v>
      </c>
    </row>
    <row r="42" spans="1:7">
      <c r="A42" t="b">
        <v>1</v>
      </c>
      <c r="B42">
        <v>255</v>
      </c>
      <c r="C42" t="s">
        <v>293</v>
      </c>
      <c r="D42" t="s">
        <v>292</v>
      </c>
      <c r="E42">
        <v>30.77</v>
      </c>
      <c r="G42">
        <v>0</v>
      </c>
    </row>
    <row r="43" spans="1:7">
      <c r="A43" t="b">
        <v>1</v>
      </c>
      <c r="B43">
        <v>255</v>
      </c>
      <c r="C43" t="s">
        <v>291</v>
      </c>
      <c r="D43" t="s">
        <v>290</v>
      </c>
      <c r="E43">
        <v>30.75</v>
      </c>
      <c r="G43">
        <v>0</v>
      </c>
    </row>
    <row r="44" spans="1:7">
      <c r="A44" t="b">
        <v>1</v>
      </c>
      <c r="B44">
        <v>255</v>
      </c>
      <c r="C44" t="s">
        <v>289</v>
      </c>
      <c r="D44" t="s">
        <v>288</v>
      </c>
      <c r="E44">
        <v>29.79</v>
      </c>
      <c r="G44">
        <v>0</v>
      </c>
    </row>
    <row r="45" spans="1:7">
      <c r="A45" t="b">
        <v>1</v>
      </c>
      <c r="B45">
        <v>255</v>
      </c>
      <c r="C45" t="s">
        <v>287</v>
      </c>
      <c r="D45" t="s">
        <v>286</v>
      </c>
      <c r="E45">
        <v>18.32</v>
      </c>
      <c r="G45">
        <v>0</v>
      </c>
    </row>
    <row r="46" spans="1:7">
      <c r="A46" t="b">
        <v>1</v>
      </c>
      <c r="B46">
        <v>255</v>
      </c>
      <c r="C46" t="s">
        <v>285</v>
      </c>
      <c r="D46" t="s">
        <v>284</v>
      </c>
      <c r="E46">
        <v>18.239999999999998</v>
      </c>
      <c r="G46">
        <v>0</v>
      </c>
    </row>
    <row r="47" spans="1:7">
      <c r="A47" t="b">
        <v>1</v>
      </c>
      <c r="B47">
        <v>255</v>
      </c>
      <c r="C47" t="s">
        <v>283</v>
      </c>
      <c r="D47" t="s">
        <v>282</v>
      </c>
      <c r="E47">
        <v>18.46</v>
      </c>
      <c r="G47">
        <v>0</v>
      </c>
    </row>
    <row r="48" spans="1:7">
      <c r="A48" t="b">
        <v>1</v>
      </c>
      <c r="B48">
        <v>255</v>
      </c>
      <c r="C48" t="s">
        <v>281</v>
      </c>
      <c r="D48" t="s">
        <v>280</v>
      </c>
      <c r="E48">
        <v>9.74</v>
      </c>
      <c r="G48">
        <v>0</v>
      </c>
    </row>
    <row r="49" spans="1:7">
      <c r="A49" t="b">
        <v>1</v>
      </c>
      <c r="B49">
        <v>255</v>
      </c>
      <c r="C49" t="s">
        <v>279</v>
      </c>
      <c r="D49" t="s">
        <v>278</v>
      </c>
      <c r="E49">
        <v>9.73</v>
      </c>
      <c r="G49">
        <v>0</v>
      </c>
    </row>
    <row r="50" spans="1:7">
      <c r="A50" t="b">
        <v>1</v>
      </c>
      <c r="B50">
        <v>255</v>
      </c>
      <c r="C50" t="s">
        <v>277</v>
      </c>
      <c r="D50" t="s">
        <v>276</v>
      </c>
      <c r="E50">
        <v>9.66</v>
      </c>
      <c r="G50">
        <v>0</v>
      </c>
    </row>
    <row r="51" spans="1:7">
      <c r="A51" t="b">
        <v>1</v>
      </c>
      <c r="B51">
        <v>255</v>
      </c>
      <c r="C51" t="s">
        <v>33</v>
      </c>
      <c r="D51" t="s">
        <v>275</v>
      </c>
      <c r="E51">
        <v>26.56</v>
      </c>
      <c r="G51">
        <v>0</v>
      </c>
    </row>
    <row r="52" spans="1:7">
      <c r="A52" t="b">
        <v>1</v>
      </c>
      <c r="B52">
        <v>255</v>
      </c>
      <c r="C52" t="s">
        <v>34</v>
      </c>
      <c r="D52" t="s">
        <v>274</v>
      </c>
      <c r="E52">
        <v>26.71</v>
      </c>
      <c r="G52">
        <v>0</v>
      </c>
    </row>
    <row r="53" spans="1:7">
      <c r="A53" t="b">
        <v>1</v>
      </c>
      <c r="B53">
        <v>255</v>
      </c>
      <c r="C53" t="s">
        <v>35</v>
      </c>
      <c r="D53" t="s">
        <v>273</v>
      </c>
      <c r="E53">
        <v>26.68</v>
      </c>
      <c r="G53">
        <v>0</v>
      </c>
    </row>
    <row r="54" spans="1:7">
      <c r="A54" t="b">
        <v>1</v>
      </c>
      <c r="B54">
        <v>255</v>
      </c>
      <c r="C54" t="s">
        <v>272</v>
      </c>
      <c r="D54" t="s">
        <v>271</v>
      </c>
      <c r="E54">
        <v>29.59</v>
      </c>
      <c r="G54">
        <v>0</v>
      </c>
    </row>
    <row r="55" spans="1:7">
      <c r="A55" t="b">
        <v>1</v>
      </c>
      <c r="B55">
        <v>255</v>
      </c>
      <c r="C55" t="s">
        <v>270</v>
      </c>
      <c r="D55" t="s">
        <v>269</v>
      </c>
      <c r="E55">
        <v>29.49</v>
      </c>
      <c r="G55">
        <v>0</v>
      </c>
    </row>
    <row r="56" spans="1:7">
      <c r="A56" t="b">
        <v>1</v>
      </c>
      <c r="B56">
        <v>255</v>
      </c>
      <c r="C56" t="s">
        <v>268</v>
      </c>
      <c r="D56" t="s">
        <v>267</v>
      </c>
      <c r="E56">
        <v>30.02</v>
      </c>
      <c r="G56">
        <v>0</v>
      </c>
    </row>
    <row r="57" spans="1:7">
      <c r="A57" t="b">
        <v>1</v>
      </c>
      <c r="B57">
        <v>255</v>
      </c>
      <c r="C57" t="s">
        <v>266</v>
      </c>
      <c r="D57" t="s">
        <v>265</v>
      </c>
      <c r="E57">
        <v>18.84</v>
      </c>
      <c r="G57">
        <v>0</v>
      </c>
    </row>
    <row r="58" spans="1:7">
      <c r="A58" t="b">
        <v>1</v>
      </c>
      <c r="B58">
        <v>255</v>
      </c>
      <c r="C58" t="s">
        <v>264</v>
      </c>
      <c r="D58" t="s">
        <v>263</v>
      </c>
      <c r="E58">
        <v>18.649999999999999</v>
      </c>
      <c r="G58">
        <v>0</v>
      </c>
    </row>
    <row r="59" spans="1:7">
      <c r="A59" t="b">
        <v>1</v>
      </c>
      <c r="B59">
        <v>255</v>
      </c>
      <c r="C59" t="s">
        <v>262</v>
      </c>
      <c r="D59" t="s">
        <v>261</v>
      </c>
      <c r="E59">
        <v>18.600000000000001</v>
      </c>
      <c r="G59">
        <v>0</v>
      </c>
    </row>
    <row r="60" spans="1:7">
      <c r="A60" t="b">
        <v>1</v>
      </c>
      <c r="B60">
        <v>255</v>
      </c>
      <c r="C60" t="s">
        <v>260</v>
      </c>
      <c r="D60" t="s">
        <v>259</v>
      </c>
      <c r="E60">
        <v>13.87</v>
      </c>
      <c r="G60">
        <v>0</v>
      </c>
    </row>
    <row r="61" spans="1:7">
      <c r="A61" t="b">
        <v>1</v>
      </c>
      <c r="B61">
        <v>255</v>
      </c>
      <c r="C61" t="s">
        <v>258</v>
      </c>
      <c r="D61" t="s">
        <v>257</v>
      </c>
      <c r="E61">
        <v>13.62</v>
      </c>
      <c r="G61">
        <v>0</v>
      </c>
    </row>
    <row r="62" spans="1:7">
      <c r="A62" t="b">
        <v>1</v>
      </c>
      <c r="B62">
        <v>255</v>
      </c>
      <c r="C62" t="s">
        <v>256</v>
      </c>
      <c r="D62" t="s">
        <v>255</v>
      </c>
      <c r="E62">
        <v>13.68</v>
      </c>
      <c r="G62">
        <v>0</v>
      </c>
    </row>
    <row r="63" spans="1:7">
      <c r="A63" t="b">
        <v>1</v>
      </c>
      <c r="B63">
        <v>255</v>
      </c>
      <c r="C63" t="s">
        <v>254</v>
      </c>
      <c r="D63" t="s">
        <v>253</v>
      </c>
      <c r="E63">
        <v>22.98</v>
      </c>
      <c r="G63">
        <v>0</v>
      </c>
    </row>
    <row r="64" spans="1:7">
      <c r="A64" t="b">
        <v>1</v>
      </c>
      <c r="B64">
        <v>255</v>
      </c>
      <c r="C64" t="s">
        <v>252</v>
      </c>
      <c r="D64" t="s">
        <v>251</v>
      </c>
      <c r="E64">
        <v>22.76</v>
      </c>
      <c r="G64">
        <v>0</v>
      </c>
    </row>
    <row r="65" spans="1:7">
      <c r="A65" t="b">
        <v>1</v>
      </c>
      <c r="B65">
        <v>255</v>
      </c>
      <c r="C65" t="s">
        <v>250</v>
      </c>
      <c r="D65" t="s">
        <v>249</v>
      </c>
      <c r="E65">
        <v>22.82</v>
      </c>
      <c r="G65">
        <v>0</v>
      </c>
    </row>
    <row r="66" spans="1:7">
      <c r="A66" t="b">
        <v>1</v>
      </c>
      <c r="B66">
        <v>255</v>
      </c>
      <c r="C66" t="s">
        <v>248</v>
      </c>
      <c r="D66" t="s">
        <v>247</v>
      </c>
      <c r="E66">
        <v>26.75</v>
      </c>
      <c r="G66">
        <v>0</v>
      </c>
    </row>
    <row r="67" spans="1:7">
      <c r="A67" t="b">
        <v>1</v>
      </c>
      <c r="B67">
        <v>255</v>
      </c>
      <c r="C67" t="s">
        <v>246</v>
      </c>
      <c r="D67" t="s">
        <v>245</v>
      </c>
      <c r="E67">
        <v>26.53</v>
      </c>
      <c r="G67">
        <v>0</v>
      </c>
    </row>
    <row r="68" spans="1:7">
      <c r="A68" t="b">
        <v>1</v>
      </c>
      <c r="B68">
        <v>255</v>
      </c>
      <c r="C68" t="s">
        <v>244</v>
      </c>
      <c r="D68" t="s">
        <v>243</v>
      </c>
      <c r="E68">
        <v>26.7</v>
      </c>
      <c r="G68">
        <v>0</v>
      </c>
    </row>
    <row r="69" spans="1:7">
      <c r="A69" t="b">
        <v>1</v>
      </c>
      <c r="B69">
        <v>255</v>
      </c>
      <c r="C69" t="s">
        <v>242</v>
      </c>
      <c r="D69" t="s">
        <v>241</v>
      </c>
      <c r="E69">
        <v>26.97</v>
      </c>
      <c r="G69">
        <v>0</v>
      </c>
    </row>
    <row r="70" spans="1:7">
      <c r="A70" t="b">
        <v>1</v>
      </c>
      <c r="B70">
        <v>255</v>
      </c>
      <c r="C70" t="s">
        <v>240</v>
      </c>
      <c r="D70" t="s">
        <v>239</v>
      </c>
      <c r="E70">
        <v>30.16</v>
      </c>
      <c r="G70">
        <v>0</v>
      </c>
    </row>
    <row r="71" spans="1:7">
      <c r="A71" t="b">
        <v>1</v>
      </c>
      <c r="B71">
        <v>255</v>
      </c>
      <c r="C71" t="s">
        <v>238</v>
      </c>
      <c r="D71" t="s">
        <v>237</v>
      </c>
      <c r="E71">
        <v>31.85</v>
      </c>
      <c r="G71">
        <v>0</v>
      </c>
    </row>
    <row r="72" spans="1:7">
      <c r="A72" t="b">
        <v>1</v>
      </c>
      <c r="B72">
        <v>255</v>
      </c>
      <c r="C72" t="s">
        <v>236</v>
      </c>
      <c r="D72" t="s">
        <v>235</v>
      </c>
      <c r="E72">
        <v>14.14</v>
      </c>
      <c r="G72">
        <v>0</v>
      </c>
    </row>
    <row r="73" spans="1:7">
      <c r="A73" t="b">
        <v>1</v>
      </c>
      <c r="B73">
        <v>255</v>
      </c>
      <c r="C73" t="s">
        <v>234</v>
      </c>
      <c r="D73" t="s">
        <v>233</v>
      </c>
      <c r="E73">
        <v>13.92</v>
      </c>
      <c r="G73">
        <v>0</v>
      </c>
    </row>
    <row r="74" spans="1:7">
      <c r="A74" t="b">
        <v>1</v>
      </c>
      <c r="B74">
        <v>255</v>
      </c>
      <c r="C74" t="s">
        <v>232</v>
      </c>
      <c r="D74" t="s">
        <v>231</v>
      </c>
      <c r="E74">
        <v>14.05</v>
      </c>
      <c r="G74">
        <v>0</v>
      </c>
    </row>
    <row r="75" spans="1:7">
      <c r="A75" t="b">
        <v>1</v>
      </c>
      <c r="B75">
        <v>255</v>
      </c>
      <c r="C75" t="s">
        <v>230</v>
      </c>
      <c r="D75" t="s">
        <v>229</v>
      </c>
      <c r="E75">
        <v>18.88</v>
      </c>
      <c r="G75">
        <v>0</v>
      </c>
    </row>
    <row r="76" spans="1:7">
      <c r="A76" t="b">
        <v>1</v>
      </c>
      <c r="B76">
        <v>255</v>
      </c>
      <c r="C76" t="s">
        <v>228</v>
      </c>
      <c r="D76" t="s">
        <v>227</v>
      </c>
      <c r="E76">
        <v>18.71</v>
      </c>
      <c r="G76">
        <v>0</v>
      </c>
    </row>
    <row r="77" spans="1:7">
      <c r="A77" t="b">
        <v>1</v>
      </c>
      <c r="B77">
        <v>255</v>
      </c>
      <c r="C77" t="s">
        <v>226</v>
      </c>
      <c r="D77" t="s">
        <v>225</v>
      </c>
      <c r="E77">
        <v>18.88</v>
      </c>
      <c r="G77">
        <v>0</v>
      </c>
    </row>
    <row r="78" spans="1:7">
      <c r="A78" t="b">
        <v>1</v>
      </c>
      <c r="B78">
        <v>255</v>
      </c>
      <c r="C78" t="s">
        <v>224</v>
      </c>
      <c r="D78" t="s">
        <v>223</v>
      </c>
      <c r="E78">
        <v>23.48</v>
      </c>
      <c r="G78">
        <v>0</v>
      </c>
    </row>
    <row r="79" spans="1:7">
      <c r="A79" t="b">
        <v>1</v>
      </c>
      <c r="B79">
        <v>255</v>
      </c>
      <c r="C79" t="s">
        <v>222</v>
      </c>
      <c r="D79" t="s">
        <v>221</v>
      </c>
      <c r="E79">
        <v>23.54</v>
      </c>
      <c r="G79">
        <v>0</v>
      </c>
    </row>
    <row r="80" spans="1:7">
      <c r="A80" t="b">
        <v>1</v>
      </c>
      <c r="B80">
        <v>255</v>
      </c>
      <c r="C80" t="s">
        <v>220</v>
      </c>
      <c r="D80" t="s">
        <v>219</v>
      </c>
      <c r="E80">
        <v>23.35</v>
      </c>
      <c r="G80">
        <v>0</v>
      </c>
    </row>
    <row r="81" spans="1:7">
      <c r="A81" t="b">
        <v>1</v>
      </c>
      <c r="B81">
        <v>255</v>
      </c>
      <c r="C81" t="s">
        <v>218</v>
      </c>
      <c r="D81" t="s">
        <v>217</v>
      </c>
      <c r="E81">
        <v>27.36</v>
      </c>
      <c r="G81">
        <v>0</v>
      </c>
    </row>
    <row r="82" spans="1:7">
      <c r="A82" t="b">
        <v>1</v>
      </c>
      <c r="B82">
        <v>255</v>
      </c>
      <c r="C82" t="s">
        <v>216</v>
      </c>
      <c r="D82" t="s">
        <v>215</v>
      </c>
      <c r="E82">
        <v>27.16</v>
      </c>
      <c r="G82">
        <v>0</v>
      </c>
    </row>
    <row r="83" spans="1:7">
      <c r="A83" t="b">
        <v>1</v>
      </c>
      <c r="B83">
        <v>255</v>
      </c>
      <c r="C83" t="s">
        <v>214</v>
      </c>
      <c r="D83" t="s">
        <v>213</v>
      </c>
      <c r="E83">
        <v>27.25</v>
      </c>
      <c r="G83">
        <v>0</v>
      </c>
    </row>
    <row r="84" spans="1:7">
      <c r="A84" t="b">
        <v>1</v>
      </c>
      <c r="B84">
        <v>255</v>
      </c>
      <c r="C84" t="s">
        <v>212</v>
      </c>
      <c r="D84" t="s">
        <v>211</v>
      </c>
      <c r="E84">
        <v>14.14</v>
      </c>
      <c r="G84">
        <v>0</v>
      </c>
    </row>
    <row r="85" spans="1:7">
      <c r="A85" t="b">
        <v>1</v>
      </c>
      <c r="B85">
        <v>255</v>
      </c>
      <c r="C85" t="s">
        <v>210</v>
      </c>
      <c r="D85" t="s">
        <v>209</v>
      </c>
      <c r="E85">
        <v>14.16</v>
      </c>
      <c r="G85">
        <v>0</v>
      </c>
    </row>
    <row r="86" spans="1:7">
      <c r="A86" t="b">
        <v>1</v>
      </c>
      <c r="B86">
        <v>255</v>
      </c>
      <c r="C86" t="s">
        <v>208</v>
      </c>
      <c r="D86" t="s">
        <v>207</v>
      </c>
      <c r="E86">
        <v>14.01</v>
      </c>
      <c r="G86">
        <v>0</v>
      </c>
    </row>
    <row r="87" spans="1:7">
      <c r="A87" t="b">
        <v>1</v>
      </c>
      <c r="B87">
        <v>255</v>
      </c>
      <c r="C87" t="s">
        <v>206</v>
      </c>
      <c r="D87" t="s">
        <v>205</v>
      </c>
      <c r="E87">
        <v>16.93</v>
      </c>
      <c r="G87">
        <v>0</v>
      </c>
    </row>
    <row r="88" spans="1:7">
      <c r="A88" t="b">
        <v>1</v>
      </c>
      <c r="B88">
        <v>255</v>
      </c>
      <c r="C88" t="s">
        <v>204</v>
      </c>
      <c r="D88" t="s">
        <v>203</v>
      </c>
      <c r="E88">
        <v>16.53</v>
      </c>
      <c r="G88">
        <v>0</v>
      </c>
    </row>
    <row r="89" spans="1:7">
      <c r="A89" t="b">
        <v>1</v>
      </c>
      <c r="B89">
        <v>255</v>
      </c>
      <c r="C89" t="s">
        <v>202</v>
      </c>
      <c r="D89" t="s">
        <v>201</v>
      </c>
      <c r="E89">
        <v>16.8</v>
      </c>
      <c r="G89">
        <v>0</v>
      </c>
    </row>
    <row r="90" spans="1:7">
      <c r="A90" t="b">
        <v>1</v>
      </c>
      <c r="B90">
        <v>255</v>
      </c>
      <c r="C90" t="s">
        <v>200</v>
      </c>
      <c r="D90" t="s">
        <v>199</v>
      </c>
      <c r="E90">
        <v>20.18</v>
      </c>
      <c r="G90">
        <v>0</v>
      </c>
    </row>
    <row r="91" spans="1:7">
      <c r="A91" t="b">
        <v>1</v>
      </c>
      <c r="B91">
        <v>255</v>
      </c>
      <c r="C91" t="s">
        <v>198</v>
      </c>
      <c r="D91" t="s">
        <v>197</v>
      </c>
      <c r="E91">
        <v>20.02</v>
      </c>
      <c r="G91">
        <v>0</v>
      </c>
    </row>
    <row r="92" spans="1:7">
      <c r="A92" t="b">
        <v>1</v>
      </c>
      <c r="B92">
        <v>255</v>
      </c>
      <c r="C92" t="s">
        <v>196</v>
      </c>
      <c r="D92" t="s">
        <v>195</v>
      </c>
      <c r="E92">
        <v>19.86</v>
      </c>
      <c r="G92">
        <v>0</v>
      </c>
    </row>
    <row r="93" spans="1:7">
      <c r="A93" t="b">
        <v>1</v>
      </c>
      <c r="B93">
        <v>255</v>
      </c>
      <c r="C93" t="s">
        <v>194</v>
      </c>
      <c r="D93" t="s">
        <v>193</v>
      </c>
      <c r="E93">
        <v>24.04</v>
      </c>
      <c r="G93">
        <v>0</v>
      </c>
    </row>
    <row r="94" spans="1:7">
      <c r="A94" t="b">
        <v>1</v>
      </c>
      <c r="B94">
        <v>255</v>
      </c>
      <c r="C94" t="s">
        <v>192</v>
      </c>
      <c r="D94" t="s">
        <v>191</v>
      </c>
      <c r="E94">
        <v>24.08</v>
      </c>
      <c r="G94">
        <v>0</v>
      </c>
    </row>
    <row r="95" spans="1:7">
      <c r="A95" t="b">
        <v>1</v>
      </c>
      <c r="B95">
        <v>255</v>
      </c>
      <c r="C95" t="s">
        <v>190</v>
      </c>
      <c r="D95" t="s">
        <v>189</v>
      </c>
      <c r="E95">
        <v>24.07</v>
      </c>
      <c r="G95">
        <v>0</v>
      </c>
    </row>
    <row r="96" spans="1:7">
      <c r="A96" t="b">
        <v>1</v>
      </c>
      <c r="B96">
        <v>255</v>
      </c>
      <c r="C96" t="s">
        <v>188</v>
      </c>
      <c r="D96" t="s">
        <v>187</v>
      </c>
      <c r="E96">
        <v>32.79</v>
      </c>
      <c r="G96">
        <v>0</v>
      </c>
    </row>
    <row r="97" spans="1:7">
      <c r="A97" t="b">
        <v>1</v>
      </c>
      <c r="B97">
        <v>255</v>
      </c>
      <c r="C97" t="s">
        <v>186</v>
      </c>
      <c r="D97" t="s">
        <v>185</v>
      </c>
      <c r="E97">
        <v>33.840000000000003</v>
      </c>
      <c r="G97">
        <v>0</v>
      </c>
    </row>
    <row r="98" spans="1:7">
      <c r="A98" t="b">
        <v>1</v>
      </c>
      <c r="B98">
        <v>65280</v>
      </c>
      <c r="C98" t="s">
        <v>184</v>
      </c>
      <c r="D98" t="s">
        <v>183</v>
      </c>
      <c r="G9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D364-F92A-4648-AA5F-2BEAEEB54EED}">
  <dimension ref="A1:G98"/>
  <sheetViews>
    <sheetView topLeftCell="A70" workbookViewId="0">
      <selection activeCell="I93" sqref="I93"/>
    </sheetView>
  </sheetViews>
  <sheetFormatPr baseColWidth="10" defaultRowHeight="16"/>
  <sheetData>
    <row r="1" spans="1:7">
      <c r="A1" t="s">
        <v>379</v>
      </c>
    </row>
    <row r="2" spans="1:7">
      <c r="A2" t="s">
        <v>378</v>
      </c>
      <c r="B2" t="s">
        <v>377</v>
      </c>
      <c r="C2" t="s">
        <v>376</v>
      </c>
      <c r="D2" t="s">
        <v>375</v>
      </c>
      <c r="E2" t="s">
        <v>374</v>
      </c>
      <c r="F2" t="s">
        <v>373</v>
      </c>
      <c r="G2" t="s">
        <v>372</v>
      </c>
    </row>
    <row r="3" spans="1:7">
      <c r="A3" t="b">
        <v>1</v>
      </c>
      <c r="B3">
        <v>16744448</v>
      </c>
      <c r="C3" t="s">
        <v>371</v>
      </c>
      <c r="D3" t="s">
        <v>370</v>
      </c>
    </row>
    <row r="4" spans="1:7">
      <c r="A4" t="b">
        <v>1</v>
      </c>
      <c r="B4">
        <v>16744448</v>
      </c>
      <c r="C4" t="s">
        <v>369</v>
      </c>
      <c r="D4" t="s">
        <v>368</v>
      </c>
    </row>
    <row r="5" spans="1:7">
      <c r="A5" t="b">
        <v>1</v>
      </c>
      <c r="B5">
        <v>16744448</v>
      </c>
      <c r="C5" t="s">
        <v>367</v>
      </c>
      <c r="D5" t="s">
        <v>366</v>
      </c>
    </row>
    <row r="6" spans="1:7">
      <c r="A6" t="b">
        <v>1</v>
      </c>
      <c r="B6">
        <v>255</v>
      </c>
      <c r="C6" t="s">
        <v>365</v>
      </c>
      <c r="D6" t="s">
        <v>364</v>
      </c>
      <c r="E6">
        <v>84.44</v>
      </c>
    </row>
    <row r="7" spans="1:7">
      <c r="A7" t="b">
        <v>1</v>
      </c>
      <c r="B7">
        <v>255</v>
      </c>
      <c r="C7" t="s">
        <v>363</v>
      </c>
      <c r="D7" t="s">
        <v>362</v>
      </c>
      <c r="E7">
        <v>84.4</v>
      </c>
    </row>
    <row r="8" spans="1:7">
      <c r="A8" t="b">
        <v>1</v>
      </c>
      <c r="B8">
        <v>255</v>
      </c>
      <c r="C8" t="s">
        <v>361</v>
      </c>
      <c r="D8" t="s">
        <v>360</v>
      </c>
      <c r="E8">
        <v>84.36</v>
      </c>
    </row>
    <row r="9" spans="1:7">
      <c r="A9" t="b">
        <v>1</v>
      </c>
      <c r="B9">
        <v>255</v>
      </c>
      <c r="C9" t="s">
        <v>359</v>
      </c>
      <c r="D9" t="s">
        <v>358</v>
      </c>
      <c r="E9">
        <v>88.27</v>
      </c>
    </row>
    <row r="10" spans="1:7">
      <c r="A10" t="b">
        <v>1</v>
      </c>
      <c r="B10">
        <v>255</v>
      </c>
      <c r="C10" t="s">
        <v>357</v>
      </c>
      <c r="D10" t="s">
        <v>356</v>
      </c>
      <c r="E10">
        <v>88.36</v>
      </c>
    </row>
    <row r="11" spans="1:7">
      <c r="A11" t="b">
        <v>1</v>
      </c>
      <c r="B11">
        <v>255</v>
      </c>
      <c r="C11" t="s">
        <v>355</v>
      </c>
      <c r="D11" t="s">
        <v>354</v>
      </c>
      <c r="E11">
        <v>88.47</v>
      </c>
    </row>
    <row r="12" spans="1:7">
      <c r="A12" t="b">
        <v>1</v>
      </c>
      <c r="B12">
        <v>255</v>
      </c>
      <c r="C12" t="s">
        <v>353</v>
      </c>
      <c r="D12" t="s">
        <v>352</v>
      </c>
      <c r="E12">
        <v>87.31</v>
      </c>
    </row>
    <row r="13" spans="1:7">
      <c r="A13" t="b">
        <v>1</v>
      </c>
      <c r="B13">
        <v>255</v>
      </c>
      <c r="C13" t="s">
        <v>351</v>
      </c>
      <c r="D13" t="s">
        <v>350</v>
      </c>
      <c r="E13">
        <v>86.8</v>
      </c>
    </row>
    <row r="14" spans="1:7">
      <c r="A14" t="b">
        <v>1</v>
      </c>
      <c r="B14">
        <v>255</v>
      </c>
      <c r="C14" t="s">
        <v>349</v>
      </c>
      <c r="D14" t="s">
        <v>348</v>
      </c>
      <c r="E14">
        <v>87.44</v>
      </c>
    </row>
    <row r="15" spans="1:7">
      <c r="A15" t="b">
        <v>1</v>
      </c>
      <c r="B15">
        <v>255</v>
      </c>
      <c r="C15" t="s">
        <v>347</v>
      </c>
      <c r="D15" t="s">
        <v>346</v>
      </c>
      <c r="E15">
        <v>84.28</v>
      </c>
    </row>
    <row r="16" spans="1:7">
      <c r="A16" t="b">
        <v>1</v>
      </c>
      <c r="B16">
        <v>255</v>
      </c>
      <c r="C16" t="s">
        <v>345</v>
      </c>
      <c r="D16" t="s">
        <v>344</v>
      </c>
      <c r="E16">
        <v>69.86</v>
      </c>
    </row>
    <row r="17" spans="1:5">
      <c r="A17" t="b">
        <v>1</v>
      </c>
      <c r="B17">
        <v>255</v>
      </c>
      <c r="C17" t="s">
        <v>343</v>
      </c>
      <c r="D17" t="s">
        <v>342</v>
      </c>
      <c r="E17">
        <v>84.29</v>
      </c>
    </row>
    <row r="18" spans="1:5">
      <c r="A18" t="b">
        <v>1</v>
      </c>
      <c r="B18">
        <v>255</v>
      </c>
      <c r="C18" t="s">
        <v>341</v>
      </c>
      <c r="D18" t="s">
        <v>340</v>
      </c>
      <c r="E18">
        <v>84.39</v>
      </c>
    </row>
    <row r="19" spans="1:5">
      <c r="A19" t="b">
        <v>1</v>
      </c>
      <c r="B19">
        <v>255</v>
      </c>
      <c r="C19" t="s">
        <v>339</v>
      </c>
      <c r="D19" t="s">
        <v>338</v>
      </c>
      <c r="E19">
        <v>84.43</v>
      </c>
    </row>
    <row r="20" spans="1:5">
      <c r="A20" t="b">
        <v>1</v>
      </c>
      <c r="B20">
        <v>255</v>
      </c>
      <c r="C20" t="s">
        <v>337</v>
      </c>
      <c r="D20" t="s">
        <v>336</v>
      </c>
      <c r="E20">
        <v>84.43</v>
      </c>
    </row>
    <row r="21" spans="1:5">
      <c r="A21" t="b">
        <v>1</v>
      </c>
      <c r="B21">
        <v>255</v>
      </c>
      <c r="C21" t="s">
        <v>335</v>
      </c>
      <c r="D21" t="s">
        <v>334</v>
      </c>
      <c r="E21">
        <v>88.3</v>
      </c>
    </row>
    <row r="22" spans="1:5">
      <c r="A22" t="b">
        <v>1</v>
      </c>
      <c r="B22">
        <v>255</v>
      </c>
      <c r="C22" t="s">
        <v>333</v>
      </c>
      <c r="D22" t="s">
        <v>332</v>
      </c>
      <c r="E22">
        <v>88.36</v>
      </c>
    </row>
    <row r="23" spans="1:5">
      <c r="A23" t="b">
        <v>1</v>
      </c>
      <c r="B23">
        <v>255</v>
      </c>
      <c r="C23" t="s">
        <v>331</v>
      </c>
      <c r="D23" t="s">
        <v>330</v>
      </c>
      <c r="E23">
        <v>88.48</v>
      </c>
    </row>
    <row r="24" spans="1:5">
      <c r="A24" t="b">
        <v>1</v>
      </c>
      <c r="B24">
        <v>255</v>
      </c>
      <c r="C24" t="s">
        <v>329</v>
      </c>
      <c r="D24" t="s">
        <v>328</v>
      </c>
      <c r="E24">
        <v>87.32</v>
      </c>
    </row>
    <row r="25" spans="1:5">
      <c r="A25" t="b">
        <v>1</v>
      </c>
      <c r="B25">
        <v>255</v>
      </c>
      <c r="C25" t="s">
        <v>327</v>
      </c>
      <c r="D25" t="s">
        <v>326</v>
      </c>
      <c r="E25">
        <v>87.34</v>
      </c>
    </row>
    <row r="26" spans="1:5">
      <c r="A26" t="b">
        <v>1</v>
      </c>
      <c r="B26">
        <v>255</v>
      </c>
      <c r="C26" t="s">
        <v>325</v>
      </c>
      <c r="D26" t="s">
        <v>324</v>
      </c>
      <c r="E26">
        <v>87.37</v>
      </c>
    </row>
    <row r="27" spans="1:5">
      <c r="A27" t="b">
        <v>1</v>
      </c>
      <c r="B27">
        <v>255</v>
      </c>
      <c r="C27" t="s">
        <v>323</v>
      </c>
      <c r="D27" t="s">
        <v>322</v>
      </c>
      <c r="E27">
        <v>84.24</v>
      </c>
    </row>
    <row r="28" spans="1:5">
      <c r="A28" t="b">
        <v>1</v>
      </c>
      <c r="B28">
        <v>255</v>
      </c>
      <c r="C28" t="s">
        <v>321</v>
      </c>
      <c r="D28" t="s">
        <v>320</v>
      </c>
      <c r="E28">
        <v>84.17</v>
      </c>
    </row>
    <row r="29" spans="1:5">
      <c r="A29" t="b">
        <v>1</v>
      </c>
      <c r="B29">
        <v>255</v>
      </c>
      <c r="C29" t="s">
        <v>319</v>
      </c>
      <c r="D29" t="s">
        <v>318</v>
      </c>
      <c r="E29">
        <v>84.02</v>
      </c>
    </row>
    <row r="30" spans="1:5">
      <c r="A30" t="b">
        <v>1</v>
      </c>
      <c r="B30">
        <v>255</v>
      </c>
      <c r="C30" t="s">
        <v>317</v>
      </c>
      <c r="D30" t="s">
        <v>316</v>
      </c>
      <c r="E30">
        <v>84.44</v>
      </c>
    </row>
    <row r="31" spans="1:5">
      <c r="A31" t="b">
        <v>1</v>
      </c>
      <c r="B31">
        <v>255</v>
      </c>
      <c r="C31" t="s">
        <v>315</v>
      </c>
      <c r="D31" t="s">
        <v>314</v>
      </c>
      <c r="E31">
        <v>84.44</v>
      </c>
    </row>
    <row r="32" spans="1:5">
      <c r="A32" t="b">
        <v>1</v>
      </c>
      <c r="B32">
        <v>255</v>
      </c>
      <c r="C32" t="s">
        <v>313</v>
      </c>
      <c r="D32" t="s">
        <v>312</v>
      </c>
      <c r="E32">
        <v>84.47</v>
      </c>
    </row>
    <row r="33" spans="1:5">
      <c r="A33" t="b">
        <v>1</v>
      </c>
      <c r="B33">
        <v>255</v>
      </c>
      <c r="C33" t="s">
        <v>311</v>
      </c>
      <c r="D33" t="s">
        <v>310</v>
      </c>
      <c r="E33">
        <v>87.14</v>
      </c>
    </row>
    <row r="34" spans="1:5">
      <c r="A34" t="b">
        <v>1</v>
      </c>
      <c r="B34">
        <v>255</v>
      </c>
      <c r="C34" t="s">
        <v>309</v>
      </c>
      <c r="D34" t="s">
        <v>308</v>
      </c>
      <c r="E34">
        <v>87.18</v>
      </c>
    </row>
    <row r="35" spans="1:5">
      <c r="A35" t="b">
        <v>1</v>
      </c>
      <c r="B35">
        <v>255</v>
      </c>
      <c r="C35" t="s">
        <v>307</v>
      </c>
      <c r="D35" t="s">
        <v>306</v>
      </c>
      <c r="E35">
        <v>87.31</v>
      </c>
    </row>
    <row r="36" spans="1:5">
      <c r="A36" t="b">
        <v>1</v>
      </c>
      <c r="B36">
        <v>255</v>
      </c>
      <c r="C36" t="s">
        <v>305</v>
      </c>
      <c r="D36" t="s">
        <v>304</v>
      </c>
      <c r="E36">
        <v>87.33</v>
      </c>
    </row>
    <row r="37" spans="1:5">
      <c r="A37" t="b">
        <v>1</v>
      </c>
      <c r="B37">
        <v>255</v>
      </c>
      <c r="C37" t="s">
        <v>303</v>
      </c>
      <c r="D37" t="s">
        <v>302</v>
      </c>
      <c r="E37">
        <v>87.36</v>
      </c>
    </row>
    <row r="38" spans="1:5">
      <c r="A38" t="b">
        <v>1</v>
      </c>
      <c r="B38">
        <v>255</v>
      </c>
      <c r="C38" t="s">
        <v>301</v>
      </c>
      <c r="D38" t="s">
        <v>300</v>
      </c>
      <c r="E38">
        <v>87.39</v>
      </c>
    </row>
    <row r="39" spans="1:5">
      <c r="A39" t="b">
        <v>1</v>
      </c>
      <c r="B39">
        <v>255</v>
      </c>
      <c r="C39" t="s">
        <v>299</v>
      </c>
      <c r="D39" t="s">
        <v>298</v>
      </c>
      <c r="E39">
        <v>84.17</v>
      </c>
    </row>
    <row r="40" spans="1:5">
      <c r="A40" t="b">
        <v>1</v>
      </c>
      <c r="B40">
        <v>255</v>
      </c>
      <c r="C40" t="s">
        <v>297</v>
      </c>
      <c r="D40" t="s">
        <v>296</v>
      </c>
      <c r="E40">
        <v>84.24</v>
      </c>
    </row>
    <row r="41" spans="1:5">
      <c r="A41" t="b">
        <v>1</v>
      </c>
      <c r="B41">
        <v>255</v>
      </c>
      <c r="C41" t="s">
        <v>295</v>
      </c>
      <c r="D41" t="s">
        <v>294</v>
      </c>
      <c r="E41">
        <v>84.28</v>
      </c>
    </row>
    <row r="42" spans="1:5">
      <c r="A42" t="b">
        <v>1</v>
      </c>
      <c r="B42">
        <v>255</v>
      </c>
      <c r="C42" t="s">
        <v>293</v>
      </c>
      <c r="D42" t="s">
        <v>292</v>
      </c>
      <c r="E42">
        <v>88.12</v>
      </c>
    </row>
    <row r="43" spans="1:5">
      <c r="A43" t="b">
        <v>1</v>
      </c>
      <c r="B43">
        <v>255</v>
      </c>
      <c r="C43" t="s">
        <v>291</v>
      </c>
      <c r="D43" t="s">
        <v>290</v>
      </c>
      <c r="E43">
        <v>88.03</v>
      </c>
    </row>
    <row r="44" spans="1:5">
      <c r="A44" t="b">
        <v>1</v>
      </c>
      <c r="B44">
        <v>255</v>
      </c>
      <c r="C44" t="s">
        <v>289</v>
      </c>
      <c r="D44" t="s">
        <v>288</v>
      </c>
      <c r="E44">
        <v>88.18</v>
      </c>
    </row>
    <row r="45" spans="1:5">
      <c r="A45" t="b">
        <v>1</v>
      </c>
      <c r="B45">
        <v>255</v>
      </c>
      <c r="C45" t="s">
        <v>287</v>
      </c>
      <c r="D45" t="s">
        <v>286</v>
      </c>
      <c r="E45">
        <v>87.33</v>
      </c>
    </row>
    <row r="46" spans="1:5">
      <c r="A46" t="b">
        <v>1</v>
      </c>
      <c r="B46">
        <v>255</v>
      </c>
      <c r="C46" t="s">
        <v>285</v>
      </c>
      <c r="D46" t="s">
        <v>284</v>
      </c>
      <c r="E46">
        <v>87.41</v>
      </c>
    </row>
    <row r="47" spans="1:5">
      <c r="A47" t="b">
        <v>1</v>
      </c>
      <c r="B47">
        <v>255</v>
      </c>
      <c r="C47" t="s">
        <v>283</v>
      </c>
      <c r="D47" t="s">
        <v>282</v>
      </c>
      <c r="E47">
        <v>87.54</v>
      </c>
    </row>
    <row r="48" spans="1:5">
      <c r="A48" t="b">
        <v>1</v>
      </c>
      <c r="B48">
        <v>255</v>
      </c>
      <c r="C48" t="s">
        <v>281</v>
      </c>
      <c r="D48" t="s">
        <v>280</v>
      </c>
      <c r="E48">
        <v>87.37</v>
      </c>
    </row>
    <row r="49" spans="1:5">
      <c r="A49" t="b">
        <v>1</v>
      </c>
      <c r="B49">
        <v>255</v>
      </c>
      <c r="C49" t="s">
        <v>279</v>
      </c>
      <c r="D49" t="s">
        <v>278</v>
      </c>
      <c r="E49">
        <v>87.37</v>
      </c>
    </row>
    <row r="50" spans="1:5">
      <c r="A50" t="b">
        <v>1</v>
      </c>
      <c r="B50">
        <v>255</v>
      </c>
      <c r="C50" t="s">
        <v>277</v>
      </c>
      <c r="D50" t="s">
        <v>276</v>
      </c>
      <c r="E50">
        <v>87.41</v>
      </c>
    </row>
    <row r="51" spans="1:5">
      <c r="A51" t="b">
        <v>1</v>
      </c>
      <c r="B51">
        <v>255</v>
      </c>
      <c r="C51" t="s">
        <v>33</v>
      </c>
      <c r="D51" t="s">
        <v>275</v>
      </c>
      <c r="E51">
        <v>84.27</v>
      </c>
    </row>
    <row r="52" spans="1:5">
      <c r="A52" t="b">
        <v>1</v>
      </c>
      <c r="B52">
        <v>255</v>
      </c>
      <c r="C52" t="s">
        <v>34</v>
      </c>
      <c r="D52" t="s">
        <v>274</v>
      </c>
      <c r="E52">
        <v>84.29</v>
      </c>
    </row>
    <row r="53" spans="1:5">
      <c r="A53" t="b">
        <v>1</v>
      </c>
      <c r="B53">
        <v>255</v>
      </c>
      <c r="C53" t="s">
        <v>35</v>
      </c>
      <c r="D53" t="s">
        <v>273</v>
      </c>
      <c r="E53">
        <v>84.3</v>
      </c>
    </row>
    <row r="54" spans="1:5">
      <c r="A54" t="b">
        <v>1</v>
      </c>
      <c r="B54">
        <v>255</v>
      </c>
      <c r="C54" t="s">
        <v>272</v>
      </c>
      <c r="D54" t="s">
        <v>271</v>
      </c>
      <c r="E54">
        <v>88.25</v>
      </c>
    </row>
    <row r="55" spans="1:5">
      <c r="A55" t="b">
        <v>1</v>
      </c>
      <c r="B55">
        <v>255</v>
      </c>
      <c r="C55" t="s">
        <v>270</v>
      </c>
      <c r="D55" t="s">
        <v>269</v>
      </c>
      <c r="E55">
        <v>88.1</v>
      </c>
    </row>
    <row r="56" spans="1:5">
      <c r="A56" t="b">
        <v>1</v>
      </c>
      <c r="B56">
        <v>255</v>
      </c>
      <c r="C56" t="s">
        <v>268</v>
      </c>
      <c r="D56" t="s">
        <v>267</v>
      </c>
      <c r="E56">
        <v>88.24</v>
      </c>
    </row>
    <row r="57" spans="1:5">
      <c r="A57" t="b">
        <v>1</v>
      </c>
      <c r="B57">
        <v>255</v>
      </c>
      <c r="C57" t="s">
        <v>266</v>
      </c>
      <c r="D57" t="s">
        <v>265</v>
      </c>
      <c r="E57">
        <v>87.33</v>
      </c>
    </row>
    <row r="58" spans="1:5">
      <c r="A58" t="b">
        <v>1</v>
      </c>
      <c r="B58">
        <v>255</v>
      </c>
      <c r="C58" t="s">
        <v>264</v>
      </c>
      <c r="D58" t="s">
        <v>263</v>
      </c>
      <c r="E58">
        <v>87.37</v>
      </c>
    </row>
    <row r="59" spans="1:5">
      <c r="A59" t="b">
        <v>1</v>
      </c>
      <c r="B59">
        <v>255</v>
      </c>
      <c r="C59" t="s">
        <v>262</v>
      </c>
      <c r="D59" t="s">
        <v>261</v>
      </c>
      <c r="E59">
        <v>87.49</v>
      </c>
    </row>
    <row r="60" spans="1:5">
      <c r="A60" t="b">
        <v>1</v>
      </c>
      <c r="B60">
        <v>255</v>
      </c>
      <c r="C60" t="s">
        <v>260</v>
      </c>
      <c r="D60" t="s">
        <v>259</v>
      </c>
      <c r="E60">
        <v>85.73</v>
      </c>
    </row>
    <row r="61" spans="1:5">
      <c r="A61" t="b">
        <v>1</v>
      </c>
      <c r="B61">
        <v>255</v>
      </c>
      <c r="C61" t="s">
        <v>258</v>
      </c>
      <c r="D61" t="s">
        <v>257</v>
      </c>
      <c r="E61">
        <v>85.64</v>
      </c>
    </row>
    <row r="62" spans="1:5">
      <c r="A62" t="b">
        <v>1</v>
      </c>
      <c r="B62">
        <v>255</v>
      </c>
      <c r="C62" t="s">
        <v>256</v>
      </c>
      <c r="D62" t="s">
        <v>255</v>
      </c>
      <c r="E62">
        <v>85.72</v>
      </c>
    </row>
    <row r="63" spans="1:5">
      <c r="A63" t="b">
        <v>1</v>
      </c>
      <c r="B63">
        <v>255</v>
      </c>
      <c r="C63" t="s">
        <v>254</v>
      </c>
      <c r="D63" t="s">
        <v>253</v>
      </c>
      <c r="E63">
        <v>84.3</v>
      </c>
    </row>
    <row r="64" spans="1:5">
      <c r="A64" t="b">
        <v>1</v>
      </c>
      <c r="B64">
        <v>255</v>
      </c>
      <c r="C64" t="s">
        <v>252</v>
      </c>
      <c r="D64" t="s">
        <v>251</v>
      </c>
      <c r="E64">
        <v>84.33</v>
      </c>
    </row>
    <row r="65" spans="1:5">
      <c r="A65" t="b">
        <v>1</v>
      </c>
      <c r="B65">
        <v>255</v>
      </c>
      <c r="C65" t="s">
        <v>250</v>
      </c>
      <c r="D65" t="s">
        <v>249</v>
      </c>
      <c r="E65">
        <v>84.33</v>
      </c>
    </row>
    <row r="66" spans="1:5">
      <c r="A66" t="b">
        <v>1</v>
      </c>
      <c r="B66">
        <v>255</v>
      </c>
      <c r="C66" t="s">
        <v>248</v>
      </c>
      <c r="D66" t="s">
        <v>247</v>
      </c>
      <c r="E66">
        <v>88.22</v>
      </c>
    </row>
    <row r="67" spans="1:5">
      <c r="A67" t="b">
        <v>1</v>
      </c>
      <c r="B67">
        <v>255</v>
      </c>
      <c r="C67" t="s">
        <v>246</v>
      </c>
      <c r="D67" t="s">
        <v>245</v>
      </c>
      <c r="E67">
        <v>88.25</v>
      </c>
    </row>
    <row r="68" spans="1:5">
      <c r="A68" t="b">
        <v>1</v>
      </c>
      <c r="B68">
        <v>255</v>
      </c>
      <c r="C68" t="s">
        <v>244</v>
      </c>
      <c r="D68" t="s">
        <v>243</v>
      </c>
      <c r="E68">
        <v>88.15</v>
      </c>
    </row>
    <row r="69" spans="1:5">
      <c r="A69" t="b">
        <v>1</v>
      </c>
      <c r="B69">
        <v>255</v>
      </c>
      <c r="C69" t="s">
        <v>242</v>
      </c>
      <c r="D69" t="s">
        <v>241</v>
      </c>
      <c r="E69">
        <v>87.11</v>
      </c>
    </row>
    <row r="70" spans="1:5">
      <c r="A70" t="b">
        <v>1</v>
      </c>
      <c r="B70">
        <v>255</v>
      </c>
      <c r="C70" t="s">
        <v>240</v>
      </c>
      <c r="D70" t="s">
        <v>239</v>
      </c>
      <c r="E70">
        <v>87.12</v>
      </c>
    </row>
    <row r="71" spans="1:5">
      <c r="A71" t="b">
        <v>1</v>
      </c>
      <c r="B71">
        <v>255</v>
      </c>
      <c r="C71" t="s">
        <v>238</v>
      </c>
      <c r="D71" t="s">
        <v>237</v>
      </c>
      <c r="E71">
        <v>87.16</v>
      </c>
    </row>
    <row r="72" spans="1:5">
      <c r="A72" t="b">
        <v>1</v>
      </c>
      <c r="B72">
        <v>255</v>
      </c>
      <c r="C72" t="s">
        <v>236</v>
      </c>
      <c r="D72" t="s">
        <v>235</v>
      </c>
      <c r="E72">
        <v>85.69</v>
      </c>
    </row>
    <row r="73" spans="1:5">
      <c r="A73" t="b">
        <v>1</v>
      </c>
      <c r="B73">
        <v>255</v>
      </c>
      <c r="C73" t="s">
        <v>234</v>
      </c>
      <c r="D73" t="s">
        <v>233</v>
      </c>
      <c r="E73">
        <v>85.66</v>
      </c>
    </row>
    <row r="74" spans="1:5">
      <c r="A74" t="b">
        <v>1</v>
      </c>
      <c r="B74">
        <v>255</v>
      </c>
      <c r="C74" t="s">
        <v>232</v>
      </c>
      <c r="D74" t="s">
        <v>231</v>
      </c>
      <c r="E74">
        <v>85.73</v>
      </c>
    </row>
    <row r="75" spans="1:5">
      <c r="A75" t="b">
        <v>1</v>
      </c>
      <c r="B75">
        <v>255</v>
      </c>
      <c r="C75" t="s">
        <v>230</v>
      </c>
      <c r="D75" t="s">
        <v>229</v>
      </c>
      <c r="E75">
        <v>84.34</v>
      </c>
    </row>
    <row r="76" spans="1:5">
      <c r="A76" t="b">
        <v>1</v>
      </c>
      <c r="B76">
        <v>255</v>
      </c>
      <c r="C76" t="s">
        <v>228</v>
      </c>
      <c r="D76" t="s">
        <v>227</v>
      </c>
      <c r="E76">
        <v>84.34</v>
      </c>
    </row>
    <row r="77" spans="1:5">
      <c r="A77" t="b">
        <v>1</v>
      </c>
      <c r="B77">
        <v>255</v>
      </c>
      <c r="C77" t="s">
        <v>226</v>
      </c>
      <c r="D77" t="s">
        <v>225</v>
      </c>
      <c r="E77">
        <v>84.34</v>
      </c>
    </row>
    <row r="78" spans="1:5">
      <c r="A78" t="b">
        <v>1</v>
      </c>
      <c r="B78">
        <v>255</v>
      </c>
      <c r="C78" t="s">
        <v>224</v>
      </c>
      <c r="D78" t="s">
        <v>223</v>
      </c>
      <c r="E78">
        <v>88.26</v>
      </c>
    </row>
    <row r="79" spans="1:5">
      <c r="A79" t="b">
        <v>1</v>
      </c>
      <c r="B79">
        <v>255</v>
      </c>
      <c r="C79" t="s">
        <v>222</v>
      </c>
      <c r="D79" t="s">
        <v>221</v>
      </c>
      <c r="E79">
        <v>88.3</v>
      </c>
    </row>
    <row r="80" spans="1:5">
      <c r="A80" t="b">
        <v>1</v>
      </c>
      <c r="B80">
        <v>255</v>
      </c>
      <c r="C80" t="s">
        <v>220</v>
      </c>
      <c r="D80" t="s">
        <v>219</v>
      </c>
      <c r="E80">
        <v>88.31</v>
      </c>
    </row>
    <row r="81" spans="1:5">
      <c r="A81" t="b">
        <v>1</v>
      </c>
      <c r="B81">
        <v>255</v>
      </c>
      <c r="C81" t="s">
        <v>218</v>
      </c>
      <c r="D81" t="s">
        <v>217</v>
      </c>
      <c r="E81">
        <v>87.04</v>
      </c>
    </row>
    <row r="82" spans="1:5">
      <c r="A82" t="b">
        <v>1</v>
      </c>
      <c r="B82">
        <v>255</v>
      </c>
      <c r="C82" t="s">
        <v>216</v>
      </c>
      <c r="D82" t="s">
        <v>215</v>
      </c>
      <c r="E82">
        <v>87.16</v>
      </c>
    </row>
    <row r="83" spans="1:5">
      <c r="A83" t="b">
        <v>1</v>
      </c>
      <c r="B83">
        <v>255</v>
      </c>
      <c r="C83" t="s">
        <v>214</v>
      </c>
      <c r="D83" t="s">
        <v>213</v>
      </c>
      <c r="E83">
        <v>87.24</v>
      </c>
    </row>
    <row r="84" spans="1:5">
      <c r="A84" t="b">
        <v>1</v>
      </c>
      <c r="B84">
        <v>255</v>
      </c>
      <c r="C84" t="s">
        <v>212</v>
      </c>
      <c r="D84" t="s">
        <v>211</v>
      </c>
      <c r="E84">
        <v>85.72</v>
      </c>
    </row>
    <row r="85" spans="1:5">
      <c r="A85" t="b">
        <v>1</v>
      </c>
      <c r="B85">
        <v>255</v>
      </c>
      <c r="C85" t="s">
        <v>210</v>
      </c>
      <c r="D85" t="s">
        <v>209</v>
      </c>
      <c r="E85">
        <v>85.73</v>
      </c>
    </row>
    <row r="86" spans="1:5">
      <c r="A86" t="b">
        <v>1</v>
      </c>
      <c r="B86">
        <v>255</v>
      </c>
      <c r="C86" t="s">
        <v>208</v>
      </c>
      <c r="D86" t="s">
        <v>207</v>
      </c>
      <c r="E86">
        <v>85.76</v>
      </c>
    </row>
    <row r="87" spans="1:5">
      <c r="A87" t="b">
        <v>1</v>
      </c>
      <c r="B87">
        <v>255</v>
      </c>
      <c r="C87" t="s">
        <v>206</v>
      </c>
      <c r="D87" t="s">
        <v>205</v>
      </c>
      <c r="E87">
        <v>84.36</v>
      </c>
    </row>
    <row r="88" spans="1:5">
      <c r="A88" t="b">
        <v>1</v>
      </c>
      <c r="B88">
        <v>255</v>
      </c>
      <c r="C88" t="s">
        <v>204</v>
      </c>
      <c r="D88" t="s">
        <v>203</v>
      </c>
      <c r="E88">
        <v>84.42</v>
      </c>
    </row>
    <row r="89" spans="1:5">
      <c r="A89" t="b">
        <v>1</v>
      </c>
      <c r="B89">
        <v>255</v>
      </c>
      <c r="C89" t="s">
        <v>202</v>
      </c>
      <c r="D89" t="s">
        <v>201</v>
      </c>
      <c r="E89">
        <v>84.38</v>
      </c>
    </row>
    <row r="90" spans="1:5">
      <c r="A90" t="b">
        <v>1</v>
      </c>
      <c r="B90">
        <v>255</v>
      </c>
      <c r="C90" t="s">
        <v>200</v>
      </c>
      <c r="D90" t="s">
        <v>199</v>
      </c>
      <c r="E90">
        <v>88.2</v>
      </c>
    </row>
    <row r="91" spans="1:5">
      <c r="A91" t="b">
        <v>1</v>
      </c>
      <c r="B91">
        <v>255</v>
      </c>
      <c r="C91" t="s">
        <v>198</v>
      </c>
      <c r="D91" t="s">
        <v>197</v>
      </c>
      <c r="E91">
        <v>88.33</v>
      </c>
    </row>
    <row r="92" spans="1:5">
      <c r="A92" t="b">
        <v>1</v>
      </c>
      <c r="B92">
        <v>255</v>
      </c>
      <c r="C92" t="s">
        <v>196</v>
      </c>
      <c r="D92" t="s">
        <v>195</v>
      </c>
      <c r="E92">
        <v>88.24</v>
      </c>
    </row>
    <row r="93" spans="1:5">
      <c r="A93" t="b">
        <v>1</v>
      </c>
      <c r="B93">
        <v>255</v>
      </c>
      <c r="C93" t="s">
        <v>194</v>
      </c>
      <c r="D93" t="s">
        <v>193</v>
      </c>
      <c r="E93">
        <v>87.14</v>
      </c>
    </row>
    <row r="94" spans="1:5">
      <c r="A94" t="b">
        <v>1</v>
      </c>
      <c r="B94">
        <v>255</v>
      </c>
      <c r="C94" t="s">
        <v>192</v>
      </c>
      <c r="D94" t="s">
        <v>191</v>
      </c>
      <c r="E94">
        <v>87.22</v>
      </c>
    </row>
    <row r="95" spans="1:5">
      <c r="A95" t="b">
        <v>1</v>
      </c>
      <c r="B95">
        <v>255</v>
      </c>
      <c r="C95" t="s">
        <v>190</v>
      </c>
      <c r="D95" t="s">
        <v>189</v>
      </c>
      <c r="E95">
        <v>87.27</v>
      </c>
    </row>
    <row r="96" spans="1:5">
      <c r="A96" t="b">
        <v>1</v>
      </c>
      <c r="B96">
        <v>255</v>
      </c>
      <c r="C96" t="s">
        <v>188</v>
      </c>
      <c r="D96" t="s">
        <v>187</v>
      </c>
      <c r="E96">
        <v>87.31</v>
      </c>
    </row>
    <row r="97" spans="1:5">
      <c r="A97" t="b">
        <v>1</v>
      </c>
      <c r="B97">
        <v>255</v>
      </c>
      <c r="C97" t="s">
        <v>186</v>
      </c>
      <c r="D97" t="s">
        <v>185</v>
      </c>
      <c r="E97">
        <v>87.37</v>
      </c>
    </row>
    <row r="98" spans="1:5">
      <c r="A98" t="b">
        <v>1</v>
      </c>
      <c r="B98">
        <v>16744448</v>
      </c>
      <c r="C98" t="s">
        <v>184</v>
      </c>
      <c r="D98" t="s">
        <v>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Standards</vt:lpstr>
      <vt:lpstr>Calibrations</vt:lpstr>
      <vt:lpstr>Cq data</vt:lpstr>
      <vt:lpstr>Moya-20190227</vt:lpstr>
      <vt:lpstr>Plate Layout</vt:lpstr>
      <vt:lpstr>Cq</vt:lpstr>
      <vt:lpstr>Tm</vt:lpstr>
      <vt:lpstr>'Moya-20190227'!Print_Area</vt:lpstr>
      <vt:lpstr>Standards!Print_Area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Keene</dc:creator>
  <cp:lastModifiedBy>Natalie Keene</cp:lastModifiedBy>
  <cp:lastPrinted>2019-02-27T15:21:51Z</cp:lastPrinted>
  <dcterms:created xsi:type="dcterms:W3CDTF">2019-01-24T19:15:12Z</dcterms:created>
  <dcterms:modified xsi:type="dcterms:W3CDTF">2019-03-04T23:00:32Z</dcterms:modified>
</cp:coreProperties>
</file>