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projects\Cohorts\web\"/>
    </mc:Choice>
  </mc:AlternateContent>
  <workbookProtection workbookAlgorithmName="SHA-512" workbookHashValue="8m/p43neJiOsq/KGI1/iqzlqruCDG2E5T6GFQL8y79oAV6j0O0/M0teS9EZZHckYlC1e9uDylQMUmXoJPMN2HQ==" workbookSaltValue="lw5ba0aiNinchFnrIzGU4A==" workbookSpinCount="100000" lockStructure="1"/>
  <bookViews>
    <workbookView xWindow="-105" yWindow="-105" windowWidth="19395" windowHeight="10395" activeTab="1"/>
  </bookViews>
  <sheets>
    <sheet name="Instructions" sheetId="4" r:id="rId1"/>
    <sheet name="Feb" sheetId="1" r:id="rId2"/>
  </sheets>
  <definedNames>
    <definedName name="_xlnm._FilterDatabase" localSheetId="0" hidden="1">Instructions!$B$2:$F$4</definedName>
    <definedName name="_xlnm.Print_Area" localSheetId="1">Feb!$A$1:$AB$358</definedName>
    <definedName name="_xlnm.Print_Area" localSheetId="0">Instructions!$B$1:$F$4</definedName>
    <definedName name="_xlnm.Print_Titles" localSheetId="1">Feb!$1:$6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8" i="1" l="1"/>
  <c r="N28" i="1"/>
  <c r="O28" i="1"/>
  <c r="P28" i="1"/>
  <c r="Q28" i="1"/>
  <c r="R28" i="1"/>
  <c r="S28" i="1"/>
  <c r="T28" i="1"/>
  <c r="U28" i="1"/>
  <c r="V28" i="1"/>
  <c r="W28" i="1"/>
  <c r="X28" i="1"/>
  <c r="Y28" i="1"/>
  <c r="Z28" i="1"/>
  <c r="AA28" i="1"/>
  <c r="Z25" i="1"/>
  <c r="X25" i="1"/>
  <c r="V25" i="1"/>
  <c r="T25" i="1"/>
  <c r="R25" i="1"/>
  <c r="P25" i="1"/>
  <c r="N25" i="1"/>
  <c r="M24" i="1"/>
  <c r="N24" i="1"/>
  <c r="O24" i="1"/>
  <c r="P24" i="1"/>
  <c r="Q24" i="1"/>
  <c r="R24" i="1"/>
  <c r="S24" i="1"/>
  <c r="T24" i="1"/>
  <c r="U24" i="1"/>
  <c r="V24" i="1"/>
  <c r="W24" i="1"/>
  <c r="X24" i="1"/>
  <c r="Y24" i="1"/>
  <c r="Z24" i="1"/>
  <c r="AA24" i="1"/>
  <c r="L28" i="1"/>
  <c r="AA27" i="1"/>
  <c r="Y27" i="1"/>
  <c r="W27" i="1"/>
  <c r="U27" i="1"/>
  <c r="S27" i="1"/>
  <c r="Q27" i="1"/>
  <c r="O27" i="1"/>
  <c r="M27" i="1"/>
  <c r="AB26" i="1"/>
  <c r="L25" i="1"/>
  <c r="L24" i="1"/>
  <c r="AC195" i="1" l="1"/>
  <c r="AC59" i="1"/>
  <c r="AC58" i="1"/>
  <c r="AC57" i="1"/>
  <c r="AC56" i="1"/>
  <c r="AC55" i="1"/>
  <c r="AC66" i="1"/>
  <c r="AC77" i="1"/>
  <c r="AC53" i="1"/>
  <c r="AC52" i="1"/>
  <c r="AC51" i="1"/>
  <c r="AC50" i="1"/>
  <c r="AC49" i="1"/>
  <c r="AC48" i="1"/>
  <c r="AC47" i="1"/>
  <c r="AC46" i="1"/>
  <c r="AC45" i="1"/>
  <c r="AC69" i="1"/>
  <c r="AC70" i="1"/>
  <c r="AB77" i="1"/>
  <c r="AC250" i="1" l="1"/>
  <c r="AC251" i="1"/>
  <c r="AC252" i="1"/>
  <c r="AC253" i="1"/>
  <c r="AC249" i="1"/>
  <c r="AD249" i="1" l="1"/>
  <c r="AD280" i="1" l="1"/>
  <c r="AD270" i="1"/>
  <c r="AB282" i="1"/>
  <c r="AB283" i="1"/>
  <c r="AB284" i="1"/>
  <c r="AB285" i="1"/>
  <c r="AB286" i="1"/>
  <c r="AB272" i="1"/>
  <c r="AB273" i="1"/>
  <c r="AB274" i="1"/>
  <c r="AB275" i="1"/>
  <c r="AB276" i="1"/>
  <c r="AD79" i="1"/>
  <c r="AD45" i="1"/>
  <c r="AC282" i="1" l="1"/>
  <c r="AC283" i="1"/>
  <c r="AC284" i="1"/>
  <c r="AC285" i="1"/>
  <c r="AC286" i="1"/>
  <c r="AC287" i="1"/>
  <c r="AC288" i="1"/>
  <c r="AC281" i="1"/>
  <c r="AC280" i="1"/>
  <c r="AC194" i="1"/>
  <c r="AC124" i="1"/>
  <c r="AC123" i="1"/>
  <c r="AC122" i="1"/>
  <c r="AC27" i="1"/>
  <c r="AB288" i="1"/>
  <c r="AB287" i="1"/>
  <c r="AF286" i="1"/>
  <c r="AF283" i="1"/>
  <c r="AB281" i="1"/>
  <c r="AF280" i="1"/>
  <c r="AB280" i="1"/>
  <c r="AB270" i="1"/>
  <c r="AF270" i="1"/>
  <c r="AB271" i="1"/>
  <c r="AF273" i="1"/>
  <c r="AF276" i="1"/>
  <c r="AB277" i="1"/>
  <c r="AB278" i="1"/>
  <c r="AD55" i="1" l="1"/>
  <c r="AB356" i="1"/>
  <c r="AB355" i="1"/>
  <c r="AB354" i="1"/>
  <c r="AB353" i="1"/>
  <c r="AB351" i="1" s="1"/>
  <c r="AB352" i="1"/>
  <c r="AF351" i="1"/>
  <c r="AD351" i="1"/>
  <c r="AA351" i="1"/>
  <c r="Z351" i="1"/>
  <c r="Y351" i="1"/>
  <c r="X351" i="1"/>
  <c r="W351" i="1"/>
  <c r="V351" i="1"/>
  <c r="U351" i="1"/>
  <c r="T351" i="1"/>
  <c r="S351" i="1"/>
  <c r="R351" i="1"/>
  <c r="Q351" i="1"/>
  <c r="P351" i="1"/>
  <c r="O351" i="1"/>
  <c r="N351" i="1"/>
  <c r="M351" i="1"/>
  <c r="L351" i="1"/>
  <c r="K351" i="1"/>
  <c r="J351" i="1"/>
  <c r="I351" i="1"/>
  <c r="H351" i="1"/>
  <c r="G351" i="1"/>
  <c r="F351" i="1"/>
  <c r="E351" i="1"/>
  <c r="D351" i="1"/>
  <c r="AB348" i="1"/>
  <c r="AB347" i="1"/>
  <c r="AB346" i="1"/>
  <c r="AB345" i="1"/>
  <c r="AB344" i="1"/>
  <c r="AB342" i="1"/>
  <c r="AB341" i="1"/>
  <c r="AB340" i="1"/>
  <c r="AB339" i="1"/>
  <c r="AB338" i="1"/>
  <c r="AB337" i="1" s="1"/>
  <c r="AF337" i="1"/>
  <c r="AD337" i="1"/>
  <c r="AA337" i="1"/>
  <c r="Z337" i="1"/>
  <c r="Y337" i="1"/>
  <c r="X337" i="1"/>
  <c r="W337" i="1"/>
  <c r="V337" i="1"/>
  <c r="U337" i="1"/>
  <c r="T337" i="1"/>
  <c r="S337" i="1"/>
  <c r="R337" i="1"/>
  <c r="Q337" i="1"/>
  <c r="P337" i="1"/>
  <c r="O337" i="1"/>
  <c r="N337" i="1"/>
  <c r="M337" i="1"/>
  <c r="L337" i="1"/>
  <c r="K337" i="1"/>
  <c r="J337" i="1"/>
  <c r="I337" i="1"/>
  <c r="H337" i="1"/>
  <c r="G337" i="1"/>
  <c r="F337" i="1"/>
  <c r="E337" i="1"/>
  <c r="D337" i="1"/>
  <c r="AB334" i="1"/>
  <c r="AB333" i="1"/>
  <c r="AB332" i="1"/>
  <c r="AB331" i="1"/>
  <c r="AB330" i="1"/>
  <c r="AB328" i="1"/>
  <c r="AB327" i="1"/>
  <c r="AB326" i="1"/>
  <c r="AB325" i="1"/>
  <c r="AB324" i="1"/>
  <c r="AB323" i="1" s="1"/>
  <c r="AF323" i="1"/>
  <c r="AD323" i="1"/>
  <c r="AA323" i="1"/>
  <c r="Z323" i="1"/>
  <c r="Y323" i="1"/>
  <c r="X323" i="1"/>
  <c r="W323" i="1"/>
  <c r="V323" i="1"/>
  <c r="U323" i="1"/>
  <c r="T323" i="1"/>
  <c r="S323" i="1"/>
  <c r="R323" i="1"/>
  <c r="Q323" i="1"/>
  <c r="P323" i="1"/>
  <c r="O323" i="1"/>
  <c r="N323" i="1"/>
  <c r="M323" i="1"/>
  <c r="L323" i="1"/>
  <c r="K323" i="1"/>
  <c r="J323" i="1"/>
  <c r="I323" i="1"/>
  <c r="H323" i="1"/>
  <c r="G323" i="1"/>
  <c r="F323" i="1"/>
  <c r="E323" i="1"/>
  <c r="D323" i="1"/>
  <c r="AB320" i="1"/>
  <c r="AB319" i="1"/>
  <c r="AB318" i="1"/>
  <c r="AB317" i="1"/>
  <c r="AB316" i="1"/>
  <c r="AB314" i="1"/>
  <c r="AB313" i="1"/>
  <c r="AB312" i="1"/>
  <c r="AB311" i="1"/>
  <c r="AB310" i="1"/>
  <c r="AB309" i="1" s="1"/>
  <c r="AF309" i="1"/>
  <c r="AA309" i="1"/>
  <c r="Z309" i="1"/>
  <c r="Y309" i="1"/>
  <c r="X309" i="1"/>
  <c r="W309" i="1"/>
  <c r="V309" i="1"/>
  <c r="U309" i="1"/>
  <c r="T309" i="1"/>
  <c r="S309" i="1"/>
  <c r="R309" i="1"/>
  <c r="Q309" i="1"/>
  <c r="P309" i="1"/>
  <c r="O309" i="1"/>
  <c r="N309" i="1"/>
  <c r="M309" i="1"/>
  <c r="L309" i="1"/>
  <c r="K309" i="1"/>
  <c r="J309" i="1"/>
  <c r="I309" i="1"/>
  <c r="H309" i="1"/>
  <c r="G309" i="1"/>
  <c r="F309" i="1"/>
  <c r="E309" i="1"/>
  <c r="D309" i="1"/>
  <c r="AB306" i="1"/>
  <c r="AB305" i="1"/>
  <c r="AB304" i="1"/>
  <c r="AB303" i="1"/>
  <c r="AB302" i="1"/>
  <c r="AB300" i="1"/>
  <c r="AB299" i="1"/>
  <c r="AB298" i="1"/>
  <c r="AB297" i="1"/>
  <c r="AB296" i="1"/>
  <c r="AB292" i="1" s="1"/>
  <c r="AB295" i="1"/>
  <c r="AB294" i="1"/>
  <c r="AB293" i="1"/>
  <c r="AF292" i="1"/>
  <c r="AA292" i="1"/>
  <c r="Z292" i="1"/>
  <c r="Y292" i="1"/>
  <c r="X292" i="1"/>
  <c r="W292" i="1"/>
  <c r="V292" i="1"/>
  <c r="U292" i="1"/>
  <c r="T292" i="1"/>
  <c r="S292" i="1"/>
  <c r="R292" i="1"/>
  <c r="Q292" i="1"/>
  <c r="P292" i="1"/>
  <c r="O292" i="1"/>
  <c r="N292" i="1"/>
  <c r="M292" i="1"/>
  <c r="L292" i="1"/>
  <c r="K292" i="1"/>
  <c r="J292" i="1"/>
  <c r="I292" i="1"/>
  <c r="H292" i="1"/>
  <c r="G292" i="1"/>
  <c r="F292" i="1"/>
  <c r="E292" i="1"/>
  <c r="AC292" i="1" s="1"/>
  <c r="AD292" i="1" s="1"/>
  <c r="D292" i="1"/>
  <c r="AB267" i="1"/>
  <c r="AB266" i="1"/>
  <c r="AB265" i="1"/>
  <c r="AB264" i="1"/>
  <c r="AB262" i="1"/>
  <c r="AB261" i="1"/>
  <c r="AB260" i="1"/>
  <c r="AB259" i="1"/>
  <c r="AB257" i="1"/>
  <c r="AB256" i="1"/>
  <c r="AB255" i="1"/>
  <c r="AB254" i="1"/>
  <c r="AB252" i="1"/>
  <c r="AB251" i="1"/>
  <c r="AB250" i="1"/>
  <c r="AB249" i="1"/>
  <c r="AB246" i="1"/>
  <c r="AB245" i="1"/>
  <c r="AB244" i="1"/>
  <c r="AB243" i="1"/>
  <c r="AB242" i="1"/>
  <c r="AB241" i="1"/>
  <c r="AB240" i="1"/>
  <c r="AB239" i="1"/>
  <c r="AB238" i="1"/>
  <c r="AB237" i="1"/>
  <c r="AB236" i="1"/>
  <c r="AB235" i="1"/>
  <c r="AF234" i="1"/>
  <c r="AD234" i="1"/>
  <c r="AA234" i="1"/>
  <c r="Z234" i="1"/>
  <c r="Y234" i="1"/>
  <c r="X234" i="1"/>
  <c r="W234" i="1"/>
  <c r="V234" i="1"/>
  <c r="U234" i="1"/>
  <c r="T234" i="1"/>
  <c r="S234" i="1"/>
  <c r="R234" i="1"/>
  <c r="Q234" i="1"/>
  <c r="P234" i="1"/>
  <c r="O234" i="1"/>
  <c r="N234" i="1"/>
  <c r="M234" i="1"/>
  <c r="L234" i="1"/>
  <c r="K234" i="1"/>
  <c r="J234" i="1"/>
  <c r="I234" i="1"/>
  <c r="H234" i="1"/>
  <c r="G234" i="1"/>
  <c r="F234" i="1"/>
  <c r="E234" i="1"/>
  <c r="D234" i="1"/>
  <c r="AB231" i="1"/>
  <c r="AB230" i="1"/>
  <c r="AB229" i="1"/>
  <c r="AC216" i="1" s="1"/>
  <c r="AB228" i="1"/>
  <c r="AA227" i="1"/>
  <c r="Z227" i="1"/>
  <c r="Y227" i="1"/>
  <c r="X227" i="1"/>
  <c r="W227" i="1"/>
  <c r="V227" i="1"/>
  <c r="U227" i="1"/>
  <c r="T227" i="1"/>
  <c r="S227" i="1"/>
  <c r="R227" i="1"/>
  <c r="Q227" i="1"/>
  <c r="P227" i="1"/>
  <c r="O227" i="1"/>
  <c r="N227" i="1"/>
  <c r="M227" i="1"/>
  <c r="L227" i="1"/>
  <c r="K227" i="1"/>
  <c r="J227" i="1"/>
  <c r="I227" i="1"/>
  <c r="H227" i="1"/>
  <c r="G227" i="1"/>
  <c r="F227" i="1"/>
  <c r="E227" i="1"/>
  <c r="D227" i="1"/>
  <c r="AB225" i="1"/>
  <c r="AB224" i="1"/>
  <c r="AB223" i="1"/>
  <c r="AB222" i="1"/>
  <c r="AA221" i="1"/>
  <c r="Z221" i="1"/>
  <c r="Z220" i="1" s="1"/>
  <c r="Y221" i="1"/>
  <c r="X221" i="1"/>
  <c r="X220" i="1" s="1"/>
  <c r="W221" i="1"/>
  <c r="V221" i="1"/>
  <c r="V220" i="1" s="1"/>
  <c r="U221" i="1"/>
  <c r="T221" i="1"/>
  <c r="S221" i="1"/>
  <c r="R221" i="1"/>
  <c r="R220" i="1" s="1"/>
  <c r="Q221" i="1"/>
  <c r="P221" i="1"/>
  <c r="O221" i="1"/>
  <c r="N221" i="1"/>
  <c r="N220" i="1" s="1"/>
  <c r="M221" i="1"/>
  <c r="L221" i="1"/>
  <c r="K221" i="1"/>
  <c r="J221" i="1"/>
  <c r="J220" i="1" s="1"/>
  <c r="I221" i="1"/>
  <c r="H221" i="1"/>
  <c r="G221" i="1"/>
  <c r="F221" i="1"/>
  <c r="F220" i="1" s="1"/>
  <c r="E221" i="1"/>
  <c r="D221" i="1"/>
  <c r="AA220" i="1"/>
  <c r="W220" i="1"/>
  <c r="T220" i="1"/>
  <c r="S220" i="1"/>
  <c r="P220" i="1"/>
  <c r="O220" i="1"/>
  <c r="L220" i="1"/>
  <c r="K220" i="1"/>
  <c r="H220" i="1"/>
  <c r="G220" i="1"/>
  <c r="D220" i="1"/>
  <c r="AE219" i="1"/>
  <c r="AC219" i="1"/>
  <c r="AB218" i="1"/>
  <c r="AC218" i="1" s="1"/>
  <c r="AB217" i="1"/>
  <c r="AB216" i="1"/>
  <c r="AE216" i="1" s="1"/>
  <c r="AB215" i="1"/>
  <c r="AE215" i="1" s="1"/>
  <c r="AA214" i="1"/>
  <c r="Z214" i="1"/>
  <c r="Y214" i="1"/>
  <c r="X214" i="1"/>
  <c r="X207" i="1" s="1"/>
  <c r="W214" i="1"/>
  <c r="V214" i="1"/>
  <c r="U214" i="1"/>
  <c r="T214" i="1"/>
  <c r="T207" i="1" s="1"/>
  <c r="S214" i="1"/>
  <c r="R214" i="1"/>
  <c r="Q214" i="1"/>
  <c r="P214" i="1"/>
  <c r="P207" i="1" s="1"/>
  <c r="O214" i="1"/>
  <c r="N214" i="1"/>
  <c r="M214" i="1"/>
  <c r="L214" i="1"/>
  <c r="L207" i="1" s="1"/>
  <c r="K214" i="1"/>
  <c r="J214" i="1"/>
  <c r="I214" i="1"/>
  <c r="H214" i="1"/>
  <c r="H207" i="1" s="1"/>
  <c r="G214" i="1"/>
  <c r="F214" i="1"/>
  <c r="E214" i="1"/>
  <c r="D214" i="1"/>
  <c r="D207" i="1" s="1"/>
  <c r="AC213" i="1"/>
  <c r="AB212" i="1"/>
  <c r="AB211" i="1"/>
  <c r="AC211" i="1" s="1"/>
  <c r="AB210" i="1"/>
  <c r="AB209" i="1"/>
  <c r="AA208" i="1"/>
  <c r="Z208" i="1"/>
  <c r="Z207" i="1" s="1"/>
  <c r="Y208" i="1"/>
  <c r="Y207" i="1" s="1"/>
  <c r="X208" i="1"/>
  <c r="W208" i="1"/>
  <c r="V208" i="1"/>
  <c r="V207" i="1" s="1"/>
  <c r="U208" i="1"/>
  <c r="U207" i="1" s="1"/>
  <c r="T208" i="1"/>
  <c r="S208" i="1"/>
  <c r="R208" i="1"/>
  <c r="R207" i="1" s="1"/>
  <c r="Q208" i="1"/>
  <c r="Q207" i="1" s="1"/>
  <c r="P208" i="1"/>
  <c r="O208" i="1"/>
  <c r="N208" i="1"/>
  <c r="N207" i="1" s="1"/>
  <c r="M208" i="1"/>
  <c r="M207" i="1" s="1"/>
  <c r="L208" i="1"/>
  <c r="K208" i="1"/>
  <c r="J208" i="1"/>
  <c r="J207" i="1" s="1"/>
  <c r="I208" i="1"/>
  <c r="I207" i="1" s="1"/>
  <c r="H208" i="1"/>
  <c r="G208" i="1"/>
  <c r="F208" i="1"/>
  <c r="F207" i="1" s="1"/>
  <c r="E208" i="1"/>
  <c r="D208" i="1"/>
  <c r="AA207" i="1"/>
  <c r="W207" i="1"/>
  <c r="S207" i="1"/>
  <c r="O207" i="1"/>
  <c r="K207" i="1"/>
  <c r="G207" i="1"/>
  <c r="AB204" i="1"/>
  <c r="AB203" i="1"/>
  <c r="AB202" i="1"/>
  <c r="AB201" i="1"/>
  <c r="AF200" i="1"/>
  <c r="AD200" i="1"/>
  <c r="AA200" i="1"/>
  <c r="Z200" i="1"/>
  <c r="Y200" i="1"/>
  <c r="X200" i="1"/>
  <c r="W200" i="1"/>
  <c r="V200" i="1"/>
  <c r="U200" i="1"/>
  <c r="T200" i="1"/>
  <c r="S200" i="1"/>
  <c r="R200" i="1"/>
  <c r="Q200" i="1"/>
  <c r="P200" i="1"/>
  <c r="O200" i="1"/>
  <c r="N200" i="1"/>
  <c r="M200" i="1"/>
  <c r="L200" i="1"/>
  <c r="K200" i="1"/>
  <c r="J200" i="1"/>
  <c r="I200" i="1"/>
  <c r="H200" i="1"/>
  <c r="G200" i="1"/>
  <c r="F200" i="1"/>
  <c r="E200" i="1"/>
  <c r="D200" i="1"/>
  <c r="AC198" i="1"/>
  <c r="AC197" i="1"/>
  <c r="AB197" i="1"/>
  <c r="AC196" i="1"/>
  <c r="AB196" i="1"/>
  <c r="AB195" i="1"/>
  <c r="AB193" i="1" s="1"/>
  <c r="AB194" i="1"/>
  <c r="AA193" i="1"/>
  <c r="Z193" i="1"/>
  <c r="Y193" i="1"/>
  <c r="X193" i="1"/>
  <c r="W193" i="1"/>
  <c r="V193" i="1"/>
  <c r="U193" i="1"/>
  <c r="T193" i="1"/>
  <c r="S193" i="1"/>
  <c r="R193" i="1"/>
  <c r="Q193" i="1"/>
  <c r="P193" i="1"/>
  <c r="O193" i="1"/>
  <c r="N193" i="1"/>
  <c r="M193" i="1"/>
  <c r="L193" i="1"/>
  <c r="K193" i="1"/>
  <c r="J193" i="1"/>
  <c r="I193" i="1"/>
  <c r="H193" i="1"/>
  <c r="G193" i="1"/>
  <c r="F193" i="1"/>
  <c r="E193" i="1"/>
  <c r="D193" i="1"/>
  <c r="AB190" i="1"/>
  <c r="AB189" i="1"/>
  <c r="AB188" i="1"/>
  <c r="AB187" i="1"/>
  <c r="AA186" i="1"/>
  <c r="Z186" i="1"/>
  <c r="Y186" i="1"/>
  <c r="X186" i="1"/>
  <c r="W186" i="1"/>
  <c r="V186" i="1"/>
  <c r="U186" i="1"/>
  <c r="T186" i="1"/>
  <c r="S186" i="1"/>
  <c r="R186" i="1"/>
  <c r="Q186" i="1"/>
  <c r="P186" i="1"/>
  <c r="O186" i="1"/>
  <c r="N186" i="1"/>
  <c r="M186" i="1"/>
  <c r="L186" i="1"/>
  <c r="K186" i="1"/>
  <c r="J186" i="1"/>
  <c r="I186" i="1"/>
  <c r="H186" i="1"/>
  <c r="G186" i="1"/>
  <c r="F186" i="1"/>
  <c r="E186" i="1"/>
  <c r="D186" i="1"/>
  <c r="AB184" i="1"/>
  <c r="AB183" i="1"/>
  <c r="AB182" i="1"/>
  <c r="AB181" i="1"/>
  <c r="AB180" i="1"/>
  <c r="AB178" i="1"/>
  <c r="AB177" i="1"/>
  <c r="AB176" i="1"/>
  <c r="AB175" i="1"/>
  <c r="AB173" i="1"/>
  <c r="AB172" i="1"/>
  <c r="AA171" i="1"/>
  <c r="Z171" i="1"/>
  <c r="Y171" i="1"/>
  <c r="X171" i="1"/>
  <c r="W171" i="1"/>
  <c r="V171" i="1"/>
  <c r="U171" i="1"/>
  <c r="T171" i="1"/>
  <c r="S171" i="1"/>
  <c r="R171" i="1"/>
  <c r="Q171" i="1"/>
  <c r="P171" i="1"/>
  <c r="O171" i="1"/>
  <c r="N171" i="1"/>
  <c r="M171" i="1"/>
  <c r="L171" i="1"/>
  <c r="K171" i="1"/>
  <c r="J171" i="1"/>
  <c r="I171" i="1"/>
  <c r="H171" i="1"/>
  <c r="G171" i="1"/>
  <c r="F171" i="1"/>
  <c r="E171" i="1"/>
  <c r="D171" i="1"/>
  <c r="AF170" i="1"/>
  <c r="AA170" i="1"/>
  <c r="Z170" i="1"/>
  <c r="Y170" i="1"/>
  <c r="X170" i="1"/>
  <c r="W170" i="1"/>
  <c r="V170" i="1"/>
  <c r="U170" i="1"/>
  <c r="T170" i="1"/>
  <c r="S170" i="1"/>
  <c r="R170" i="1"/>
  <c r="Q170" i="1"/>
  <c r="P170" i="1"/>
  <c r="O170" i="1"/>
  <c r="N170" i="1"/>
  <c r="M170" i="1"/>
  <c r="L170" i="1"/>
  <c r="K170" i="1"/>
  <c r="J170" i="1"/>
  <c r="I170" i="1"/>
  <c r="H170" i="1"/>
  <c r="G170" i="1"/>
  <c r="F170" i="1"/>
  <c r="E170" i="1"/>
  <c r="D170" i="1"/>
  <c r="AB166" i="1"/>
  <c r="AC165" i="1"/>
  <c r="AB165" i="1"/>
  <c r="AB164" i="1"/>
  <c r="AB163" i="1"/>
  <c r="AB162" i="1"/>
  <c r="AF161" i="1"/>
  <c r="AC161" i="1"/>
  <c r="AD161" i="1" s="1"/>
  <c r="AB161" i="1"/>
  <c r="AA157" i="1"/>
  <c r="Z157" i="1"/>
  <c r="Y157" i="1"/>
  <c r="X157" i="1"/>
  <c r="W157" i="1"/>
  <c r="V157" i="1"/>
  <c r="U157" i="1"/>
  <c r="T157" i="1"/>
  <c r="S157" i="1"/>
  <c r="R157" i="1"/>
  <c r="Q157" i="1"/>
  <c r="P157" i="1"/>
  <c r="O157" i="1"/>
  <c r="N157" i="1"/>
  <c r="M157" i="1"/>
  <c r="L157" i="1"/>
  <c r="K157" i="1"/>
  <c r="J157" i="1"/>
  <c r="I157" i="1"/>
  <c r="H157" i="1"/>
  <c r="G157" i="1"/>
  <c r="F157" i="1"/>
  <c r="E157" i="1"/>
  <c r="D157" i="1"/>
  <c r="AA156" i="1"/>
  <c r="Z156" i="1"/>
  <c r="Y156" i="1"/>
  <c r="X156" i="1"/>
  <c r="W156" i="1"/>
  <c r="V156" i="1"/>
  <c r="U156" i="1"/>
  <c r="T156" i="1"/>
  <c r="S156" i="1"/>
  <c r="R156" i="1"/>
  <c r="Q156" i="1"/>
  <c r="P156" i="1"/>
  <c r="O156" i="1"/>
  <c r="N156" i="1"/>
  <c r="M156" i="1"/>
  <c r="L156" i="1"/>
  <c r="K156" i="1"/>
  <c r="J156" i="1"/>
  <c r="I156" i="1"/>
  <c r="H156" i="1"/>
  <c r="G156" i="1"/>
  <c r="F156" i="1"/>
  <c r="E156" i="1"/>
  <c r="D156" i="1"/>
  <c r="AA155" i="1"/>
  <c r="Z155" i="1"/>
  <c r="Y155" i="1"/>
  <c r="X155" i="1"/>
  <c r="W155" i="1"/>
  <c r="V155" i="1"/>
  <c r="U155" i="1"/>
  <c r="T155" i="1"/>
  <c r="S155" i="1"/>
  <c r="R155" i="1"/>
  <c r="Q155" i="1"/>
  <c r="P155" i="1"/>
  <c r="O155" i="1"/>
  <c r="N155" i="1"/>
  <c r="M155" i="1"/>
  <c r="L155" i="1"/>
  <c r="K155" i="1"/>
  <c r="J155" i="1"/>
  <c r="I155" i="1"/>
  <c r="H155" i="1"/>
  <c r="G155" i="1"/>
  <c r="F155" i="1"/>
  <c r="E155" i="1"/>
  <c r="D155" i="1"/>
  <c r="AA154" i="1"/>
  <c r="Z154" i="1"/>
  <c r="Y154" i="1"/>
  <c r="X154" i="1"/>
  <c r="W154" i="1"/>
  <c r="V154" i="1"/>
  <c r="U154" i="1"/>
  <c r="T154" i="1"/>
  <c r="S154" i="1"/>
  <c r="R154" i="1"/>
  <c r="Q154" i="1"/>
  <c r="P154" i="1"/>
  <c r="O154" i="1"/>
  <c r="N154" i="1"/>
  <c r="M154" i="1"/>
  <c r="L154" i="1"/>
  <c r="K154" i="1"/>
  <c r="J154" i="1"/>
  <c r="I154" i="1"/>
  <c r="H154" i="1"/>
  <c r="G154" i="1"/>
  <c r="F154" i="1"/>
  <c r="E154" i="1"/>
  <c r="AC154" i="1" s="1"/>
  <c r="D154" i="1"/>
  <c r="AA153" i="1"/>
  <c r="Z153" i="1"/>
  <c r="Y153" i="1"/>
  <c r="X153" i="1"/>
  <c r="W153" i="1"/>
  <c r="V153" i="1"/>
  <c r="U153" i="1"/>
  <c r="T153" i="1"/>
  <c r="S153" i="1"/>
  <c r="R153" i="1"/>
  <c r="Q153" i="1"/>
  <c r="P153" i="1"/>
  <c r="O153" i="1"/>
  <c r="N153" i="1"/>
  <c r="M153" i="1"/>
  <c r="L153" i="1"/>
  <c r="K153" i="1"/>
  <c r="J153" i="1"/>
  <c r="I153" i="1"/>
  <c r="H153" i="1"/>
  <c r="G153" i="1"/>
  <c r="F153" i="1"/>
  <c r="E153" i="1"/>
  <c r="D153" i="1"/>
  <c r="AA152" i="1"/>
  <c r="Z152" i="1"/>
  <c r="Y152" i="1"/>
  <c r="X152" i="1"/>
  <c r="W152" i="1"/>
  <c r="V152" i="1"/>
  <c r="U152" i="1"/>
  <c r="T152" i="1"/>
  <c r="S152" i="1"/>
  <c r="R152" i="1"/>
  <c r="Q152" i="1"/>
  <c r="P152" i="1"/>
  <c r="O152" i="1"/>
  <c r="N152" i="1"/>
  <c r="M152" i="1"/>
  <c r="L152" i="1"/>
  <c r="K152" i="1"/>
  <c r="J152" i="1"/>
  <c r="I152" i="1"/>
  <c r="H152" i="1"/>
  <c r="G152" i="1"/>
  <c r="F152" i="1"/>
  <c r="E152" i="1"/>
  <c r="AC152" i="1" s="1"/>
  <c r="D152" i="1"/>
  <c r="AA151" i="1"/>
  <c r="Z151" i="1"/>
  <c r="Y151" i="1"/>
  <c r="X151" i="1"/>
  <c r="W151" i="1"/>
  <c r="V151" i="1"/>
  <c r="U151" i="1"/>
  <c r="T151" i="1"/>
  <c r="S151" i="1"/>
  <c r="R151" i="1"/>
  <c r="Q151" i="1"/>
  <c r="P151" i="1"/>
  <c r="O151" i="1"/>
  <c r="N151" i="1"/>
  <c r="M151" i="1"/>
  <c r="L151" i="1"/>
  <c r="K151" i="1"/>
  <c r="J151" i="1"/>
  <c r="I151" i="1"/>
  <c r="H151" i="1"/>
  <c r="G151" i="1"/>
  <c r="F151" i="1"/>
  <c r="E151" i="1"/>
  <c r="D151" i="1"/>
  <c r="AA150" i="1"/>
  <c r="Z150" i="1"/>
  <c r="Y150" i="1"/>
  <c r="X150" i="1"/>
  <c r="W150" i="1"/>
  <c r="V150" i="1"/>
  <c r="U150" i="1"/>
  <c r="T150" i="1"/>
  <c r="S150" i="1"/>
  <c r="R150" i="1"/>
  <c r="Q150" i="1"/>
  <c r="P150" i="1"/>
  <c r="O150" i="1"/>
  <c r="N150" i="1"/>
  <c r="M150" i="1"/>
  <c r="L150" i="1"/>
  <c r="K150" i="1"/>
  <c r="J150" i="1"/>
  <c r="I150" i="1"/>
  <c r="H150" i="1"/>
  <c r="G150" i="1"/>
  <c r="F150" i="1"/>
  <c r="E150" i="1"/>
  <c r="AC150" i="1" s="1"/>
  <c r="D150" i="1"/>
  <c r="AB149" i="1"/>
  <c r="AC148" i="1"/>
  <c r="AB148" i="1"/>
  <c r="AB147" i="1"/>
  <c r="AC146" i="1"/>
  <c r="AB146" i="1"/>
  <c r="AB145" i="1"/>
  <c r="AC144" i="1"/>
  <c r="AB144" i="1"/>
  <c r="AB143" i="1"/>
  <c r="AC142" i="1"/>
  <c r="AB142" i="1"/>
  <c r="AB141" i="1"/>
  <c r="AC140" i="1"/>
  <c r="AB140" i="1"/>
  <c r="AB139" i="1"/>
  <c r="AC138" i="1"/>
  <c r="AB138" i="1"/>
  <c r="AB137" i="1"/>
  <c r="AC136" i="1"/>
  <c r="AB136" i="1"/>
  <c r="AB135" i="1"/>
  <c r="AC134" i="1"/>
  <c r="AB134" i="1"/>
  <c r="AC133" i="1"/>
  <c r="AB133" i="1"/>
  <c r="AC132" i="1"/>
  <c r="AB132" i="1"/>
  <c r="AB131" i="1"/>
  <c r="AC130" i="1"/>
  <c r="AB130" i="1"/>
  <c r="AB150" i="1" s="1"/>
  <c r="AB129" i="1"/>
  <c r="AC128" i="1"/>
  <c r="AB128" i="1"/>
  <c r="AC127" i="1"/>
  <c r="AB127" i="1"/>
  <c r="AC126" i="1"/>
  <c r="AB126" i="1"/>
  <c r="AB125" i="1"/>
  <c r="AB124" i="1"/>
  <c r="AB123" i="1"/>
  <c r="AB122" i="1"/>
  <c r="AC120" i="1"/>
  <c r="AC119" i="1"/>
  <c r="AC118" i="1"/>
  <c r="AB117" i="1"/>
  <c r="AC116" i="1"/>
  <c r="AB116" i="1"/>
  <c r="AC115" i="1"/>
  <c r="AB115" i="1"/>
  <c r="AF114" i="1"/>
  <c r="AC114" i="1"/>
  <c r="AB114" i="1"/>
  <c r="AB110" i="1"/>
  <c r="AC108" i="1" s="1"/>
  <c r="AB109" i="1"/>
  <c r="AE108" i="1"/>
  <c r="AF108" i="1" s="1"/>
  <c r="AB108" i="1"/>
  <c r="AB100" i="1"/>
  <c r="AB99" i="1"/>
  <c r="AB97" i="1"/>
  <c r="AB96" i="1"/>
  <c r="AB94" i="1"/>
  <c r="AB93" i="1"/>
  <c r="AB91" i="1"/>
  <c r="AB90" i="1"/>
  <c r="AF89" i="1"/>
  <c r="AD89" i="1"/>
  <c r="AA89" i="1"/>
  <c r="Z89" i="1"/>
  <c r="Y89" i="1"/>
  <c r="X89" i="1"/>
  <c r="W89" i="1"/>
  <c r="V89" i="1"/>
  <c r="U89" i="1"/>
  <c r="T89" i="1"/>
  <c r="S89" i="1"/>
  <c r="R89" i="1"/>
  <c r="Q89" i="1"/>
  <c r="P89" i="1"/>
  <c r="O89" i="1"/>
  <c r="N89" i="1"/>
  <c r="M89" i="1"/>
  <c r="L89" i="1"/>
  <c r="K89" i="1"/>
  <c r="J89" i="1"/>
  <c r="I89" i="1"/>
  <c r="H89" i="1"/>
  <c r="G89" i="1"/>
  <c r="F89" i="1"/>
  <c r="E89" i="1"/>
  <c r="D89" i="1"/>
  <c r="AB87" i="1"/>
  <c r="AB86" i="1"/>
  <c r="AB85" i="1"/>
  <c r="AB84" i="1"/>
  <c r="AB82" i="1"/>
  <c r="AB81" i="1"/>
  <c r="AB80" i="1"/>
  <c r="AB79" i="1"/>
  <c r="AB76" i="1"/>
  <c r="AB75" i="1"/>
  <c r="AB74" i="1"/>
  <c r="AB73" i="1"/>
  <c r="AF72" i="1"/>
  <c r="AD72" i="1"/>
  <c r="AA72" i="1"/>
  <c r="Z72" i="1"/>
  <c r="Y72" i="1"/>
  <c r="X72" i="1"/>
  <c r="W72" i="1"/>
  <c r="V72" i="1"/>
  <c r="U72" i="1"/>
  <c r="T72" i="1"/>
  <c r="S72" i="1"/>
  <c r="R72" i="1"/>
  <c r="Q72" i="1"/>
  <c r="P72" i="1"/>
  <c r="O72" i="1"/>
  <c r="N72" i="1"/>
  <c r="M72" i="1"/>
  <c r="L72" i="1"/>
  <c r="K72" i="1"/>
  <c r="J72" i="1"/>
  <c r="I72" i="1"/>
  <c r="H72" i="1"/>
  <c r="G72" i="1"/>
  <c r="F72" i="1"/>
  <c r="E72" i="1"/>
  <c r="D72" i="1"/>
  <c r="AB69" i="1"/>
  <c r="AC68" i="1"/>
  <c r="AB68" i="1"/>
  <c r="AC67" i="1"/>
  <c r="AB67" i="1"/>
  <c r="AB66" i="1"/>
  <c r="AA65" i="1"/>
  <c r="Z65" i="1"/>
  <c r="Y65" i="1"/>
  <c r="X65" i="1"/>
  <c r="W65" i="1"/>
  <c r="V65" i="1"/>
  <c r="U65" i="1"/>
  <c r="T65" i="1"/>
  <c r="S65" i="1"/>
  <c r="R65" i="1"/>
  <c r="Q65" i="1"/>
  <c r="P65" i="1"/>
  <c r="O65" i="1"/>
  <c r="N65" i="1"/>
  <c r="M65" i="1"/>
  <c r="L65" i="1"/>
  <c r="K65" i="1"/>
  <c r="J65" i="1"/>
  <c r="I65" i="1"/>
  <c r="H65" i="1"/>
  <c r="G65" i="1"/>
  <c r="F65" i="1"/>
  <c r="E65" i="1"/>
  <c r="D65" i="1"/>
  <c r="AB63" i="1"/>
  <c r="AB62" i="1"/>
  <c r="AB61" i="1"/>
  <c r="AB60" i="1"/>
  <c r="AB58" i="1"/>
  <c r="AB57" i="1"/>
  <c r="AB56" i="1"/>
  <c r="AB55" i="1"/>
  <c r="AB53" i="1"/>
  <c r="AB52" i="1"/>
  <c r="AB51" i="1"/>
  <c r="AB50" i="1"/>
  <c r="AB48" i="1"/>
  <c r="AB47" i="1"/>
  <c r="AB46" i="1"/>
  <c r="AB45" i="1"/>
  <c r="AB43" i="1"/>
  <c r="AE43" i="1" s="1"/>
  <c r="AB42" i="1"/>
  <c r="AB41" i="1"/>
  <c r="AB40" i="1"/>
  <c r="AE40" i="1" s="1"/>
  <c r="AB39" i="1"/>
  <c r="AB38" i="1"/>
  <c r="AE37" i="1"/>
  <c r="AB34" i="1"/>
  <c r="AE34" i="1" s="1"/>
  <c r="AB33" i="1"/>
  <c r="AB32" i="1"/>
  <c r="AB31" i="1"/>
  <c r="AE31" i="1" s="1"/>
  <c r="AB30" i="1"/>
  <c r="AB29" i="1"/>
  <c r="AC28" i="1"/>
  <c r="AB28" i="1"/>
  <c r="AB27" i="1"/>
  <c r="AB23" i="1" s="1"/>
  <c r="AC26" i="1"/>
  <c r="AC25" i="1"/>
  <c r="AB25" i="1"/>
  <c r="AC24" i="1"/>
  <c r="AB24" i="1"/>
  <c r="AA23" i="1"/>
  <c r="Z23" i="1"/>
  <c r="Y23" i="1"/>
  <c r="X23" i="1"/>
  <c r="W23" i="1"/>
  <c r="V23" i="1"/>
  <c r="U23" i="1"/>
  <c r="T23" i="1"/>
  <c r="S23" i="1"/>
  <c r="R23" i="1"/>
  <c r="Q23" i="1"/>
  <c r="P23" i="1"/>
  <c r="O23" i="1"/>
  <c r="N23" i="1"/>
  <c r="M23" i="1"/>
  <c r="L23" i="1"/>
  <c r="K23" i="1"/>
  <c r="J23" i="1"/>
  <c r="I23" i="1"/>
  <c r="H23" i="1"/>
  <c r="G23" i="1"/>
  <c r="F23" i="1"/>
  <c r="E23" i="1"/>
  <c r="D23" i="1"/>
  <c r="AA18" i="1"/>
  <c r="Z18" i="1"/>
  <c r="Y18" i="1"/>
  <c r="X18" i="1"/>
  <c r="W18" i="1"/>
  <c r="V18" i="1"/>
  <c r="U18" i="1"/>
  <c r="T18" i="1"/>
  <c r="S18" i="1"/>
  <c r="R18" i="1"/>
  <c r="Q18" i="1"/>
  <c r="P18" i="1"/>
  <c r="O18" i="1"/>
  <c r="N18" i="1"/>
  <c r="M18" i="1"/>
  <c r="L18" i="1"/>
  <c r="K18" i="1"/>
  <c r="J18" i="1"/>
  <c r="I18" i="1"/>
  <c r="H18" i="1"/>
  <c r="G18" i="1"/>
  <c r="F18" i="1"/>
  <c r="E18" i="1"/>
  <c r="D18" i="1"/>
  <c r="AB17" i="1"/>
  <c r="AB18" i="1" s="1"/>
  <c r="AC16" i="1"/>
  <c r="AB16" i="1"/>
  <c r="AC15" i="1"/>
  <c r="AB15" i="1"/>
  <c r="AA14" i="1"/>
  <c r="Z14" i="1"/>
  <c r="Y14" i="1"/>
  <c r="X14" i="1"/>
  <c r="W14" i="1"/>
  <c r="V14" i="1"/>
  <c r="U14" i="1"/>
  <c r="T14" i="1"/>
  <c r="S14" i="1"/>
  <c r="R14" i="1"/>
  <c r="Q14" i="1"/>
  <c r="P14" i="1"/>
  <c r="O14" i="1"/>
  <c r="N14" i="1"/>
  <c r="M14" i="1"/>
  <c r="L14" i="1"/>
  <c r="K14" i="1"/>
  <c r="J14" i="1"/>
  <c r="I14" i="1"/>
  <c r="H14" i="1"/>
  <c r="G14" i="1"/>
  <c r="F14" i="1"/>
  <c r="E14" i="1"/>
  <c r="D14" i="1"/>
  <c r="AB14" i="1" s="1"/>
  <c r="AB13" i="1"/>
  <c r="AC12" i="1"/>
  <c r="AB12" i="1"/>
  <c r="AC11" i="1"/>
  <c r="AB10" i="1"/>
  <c r="AB9" i="1"/>
  <c r="AC9" i="1" s="1"/>
  <c r="AF8" i="1"/>
  <c r="AB8" i="1"/>
  <c r="F71" i="4"/>
  <c r="E71" i="4"/>
  <c r="AD24" i="1" l="1"/>
  <c r="AB65" i="1"/>
  <c r="Y220" i="1"/>
  <c r="AB157" i="1"/>
  <c r="AB156" i="1"/>
  <c r="AB186" i="1"/>
  <c r="AC309" i="1" s="1"/>
  <c r="AD309" i="1" s="1"/>
  <c r="AC210" i="1"/>
  <c r="E220" i="1"/>
  <c r="I220" i="1"/>
  <c r="M220" i="1"/>
  <c r="Q220" i="1"/>
  <c r="U220" i="1"/>
  <c r="AB153" i="1"/>
  <c r="AB155" i="1"/>
  <c r="AB154" i="1"/>
  <c r="AE65" i="1"/>
  <c r="AF65" i="1" s="1"/>
  <c r="A384" i="1" s="1"/>
  <c r="AC109" i="1"/>
  <c r="AD108" i="1" s="1"/>
  <c r="AB151" i="1"/>
  <c r="AB170" i="1"/>
  <c r="AB171" i="1"/>
  <c r="AC212" i="1"/>
  <c r="AB234" i="1"/>
  <c r="AD65" i="1"/>
  <c r="AB72" i="1"/>
  <c r="AB152" i="1"/>
  <c r="AE186" i="1"/>
  <c r="AF186" i="1" s="1"/>
  <c r="AC156" i="1"/>
  <c r="AC182" i="1"/>
  <c r="AD170" i="1" s="1"/>
  <c r="AB200" i="1"/>
  <c r="AB208" i="1"/>
  <c r="AE217" i="1"/>
  <c r="AC209" i="1"/>
  <c r="AB227" i="1"/>
  <c r="AC214" i="1" s="1"/>
  <c r="AC215" i="1"/>
  <c r="AC8" i="1"/>
  <c r="AD8" i="1" s="1"/>
  <c r="AC186" i="1"/>
  <c r="AD186" i="1" s="1"/>
  <c r="AC151" i="1"/>
  <c r="AC153" i="1"/>
  <c r="E207" i="1"/>
  <c r="AC217" i="1"/>
  <c r="AE218" i="1"/>
  <c r="AB221" i="1"/>
  <c r="AB214" i="1"/>
  <c r="AB207" i="1" s="1"/>
  <c r="AB89" i="1"/>
  <c r="AF24" i="1"/>
  <c r="AB220" i="1" l="1"/>
  <c r="AC207" i="1"/>
  <c r="AD114" i="1"/>
  <c r="AE193" i="1"/>
  <c r="AF193" i="1" s="1"/>
  <c r="AE208" i="1"/>
  <c r="AF208" i="1" s="1"/>
  <c r="AF6" i="1" s="1"/>
  <c r="AC208" i="1"/>
  <c r="AD208" i="1" s="1"/>
  <c r="A362" i="1" s="1"/>
  <c r="AC193" i="1"/>
  <c r="AD193" i="1" s="1"/>
  <c r="M362" i="1" l="1"/>
  <c r="AD6" i="1" l="1"/>
</calcChain>
</file>

<file path=xl/sharedStrings.xml><?xml version="1.0" encoding="utf-8"?>
<sst xmlns="http://schemas.openxmlformats.org/spreadsheetml/2006/main" count="2462" uniqueCount="1056">
  <si>
    <t>&lt; 1</t>
  </si>
  <si>
    <t>1-4</t>
  </si>
  <si>
    <t>5-9</t>
  </si>
  <si>
    <t>10-14</t>
  </si>
  <si>
    <t>15-19</t>
  </si>
  <si>
    <t>20-24</t>
  </si>
  <si>
    <t>25-29</t>
  </si>
  <si>
    <t>30-34</t>
  </si>
  <si>
    <t>35-39</t>
  </si>
  <si>
    <t>50+</t>
  </si>
  <si>
    <t>M</t>
  </si>
  <si>
    <t>F</t>
  </si>
  <si>
    <t>Sub Total</t>
  </si>
  <si>
    <t>Other</t>
  </si>
  <si>
    <t>40-44</t>
  </si>
  <si>
    <t>45-49</t>
  </si>
  <si>
    <t>Data Element Description</t>
  </si>
  <si>
    <t>Indicator</t>
  </si>
  <si>
    <t>Data Element</t>
  </si>
  <si>
    <t>FINER AGE AND SEX DISAGGREGATION REPORTING FORM (FORM1A)</t>
  </si>
  <si>
    <t>codes</t>
  </si>
  <si>
    <t>Known Positive</t>
  </si>
  <si>
    <t>Positive</t>
  </si>
  <si>
    <t>Tested</t>
  </si>
  <si>
    <t>Code</t>
  </si>
  <si>
    <t>Sub-Indicator</t>
  </si>
  <si>
    <t>Errors</t>
  </si>
  <si>
    <t>Sub County</t>
  </si>
  <si>
    <t>Month</t>
  </si>
  <si>
    <t>Year</t>
  </si>
  <si>
    <t>WARNINGS &amp; ERRORS</t>
  </si>
  <si>
    <t>Errors per Section</t>
  </si>
  <si>
    <t>Early Warning Service Quality</t>
  </si>
  <si>
    <t>County</t>
  </si>
  <si>
    <t>People in prison and other closed settings</t>
  </si>
  <si>
    <t>Likii Dispensary</t>
  </si>
  <si>
    <t>15035</t>
  </si>
  <si>
    <t>Laikipia East</t>
  </si>
  <si>
    <t>Laikipia</t>
  </si>
  <si>
    <t>02</t>
  </si>
  <si>
    <t>Prepared By:</t>
  </si>
  <si>
    <t>1.0 HTS eligibility screening at OPD, IPD &amp; MCH</t>
  </si>
  <si>
    <t>No. eligible for HTS testing</t>
  </si>
  <si>
    <t xml:space="preserve">No. of clients seen at OPD (monthly workload)         </t>
  </si>
  <si>
    <t>No. screened for HTS eligibility</t>
  </si>
  <si>
    <t>Facility Details</t>
  </si>
  <si>
    <t>ART</t>
  </si>
  <si>
    <t>HTS</t>
  </si>
  <si>
    <t>PMTCT</t>
  </si>
  <si>
    <t>HTS eligibility screening at OPD</t>
  </si>
  <si>
    <t>HTS eligibility screening at IPD</t>
  </si>
  <si>
    <t>HTS eligibility screening at MCH</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</si>
  <si>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</si>
  <si>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</si>
  <si>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</si>
  <si>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</si>
  <si>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</si>
  <si>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</si>
  <si>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</si>
  <si>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</si>
  <si>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</si>
  <si>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Eligible IPD and OPD</t>
  </si>
  <si>
    <t>Warnings Summaries</t>
  </si>
  <si>
    <t>Errors Justifications</t>
  </si>
  <si>
    <t xml:space="preserve">Type any Justifications on the section below to explain reason for the warnings on the left </t>
  </si>
  <si>
    <t>Data Gaps Warnings</t>
  </si>
  <si>
    <t>Errors Summaries</t>
  </si>
  <si>
    <t>_F00-01</t>
  </si>
  <si>
    <t>_F00-02</t>
  </si>
  <si>
    <t>_F00-03</t>
  </si>
  <si>
    <t>_F00-04</t>
  </si>
  <si>
    <t>_F00-11</t>
  </si>
  <si>
    <t>INSTRUCTIONS FOR FILLING THE FINER AGE &amp; SEX DISGGREGATION KP FORM 1A</t>
  </si>
  <si>
    <t>DIC Name</t>
  </si>
  <si>
    <t>KP_PREV</t>
  </si>
  <si>
    <t>PWID</t>
  </si>
  <si>
    <t>MSM</t>
  </si>
  <si>
    <t>TransGender People</t>
  </si>
  <si>
    <t>FSW</t>
  </si>
  <si>
    <t>KP1-01</t>
  </si>
  <si>
    <t>KP1-02</t>
  </si>
  <si>
    <t>KP1-03</t>
  </si>
  <si>
    <t>KP1-04</t>
  </si>
  <si>
    <t>KP1-05</t>
  </si>
  <si>
    <t>KP1-06</t>
  </si>
  <si>
    <t>KP1-07</t>
  </si>
  <si>
    <t>KP1-08</t>
  </si>
  <si>
    <t>KP1-09</t>
  </si>
  <si>
    <t>KP1-10</t>
  </si>
  <si>
    <t>KP1-11</t>
  </si>
  <si>
    <t>KP1-12</t>
  </si>
  <si>
    <t>KP1-13</t>
  </si>
  <si>
    <t>KP1-14</t>
  </si>
  <si>
    <t>KP1-15</t>
  </si>
  <si>
    <t>KP1-16</t>
  </si>
  <si>
    <t>KP1-17</t>
  </si>
  <si>
    <t>KP1-18</t>
  </si>
  <si>
    <t>KP1-19</t>
  </si>
  <si>
    <t>KP1-20</t>
  </si>
  <si>
    <t>GBV</t>
  </si>
  <si>
    <t>Sexual Violence</t>
  </si>
  <si>
    <t>Physical or Emotional Violence</t>
  </si>
  <si>
    <t>Number of people receiving PEP Service </t>
  </si>
  <si>
    <t>Mobile Service Modality</t>
  </si>
  <si>
    <t>VCT Service Modality</t>
  </si>
  <si>
    <t>Other Service Modality</t>
  </si>
  <si>
    <t>HTS_INDEX (Community)</t>
  </si>
  <si>
    <t>Known Positives</t>
  </si>
  <si>
    <t>Number of contacts elicited</t>
  </si>
  <si>
    <t>HTS_SELF</t>
  </si>
  <si>
    <t>Unassisted self-testing kit used by</t>
  </si>
  <si>
    <t>Directly Assisted</t>
  </si>
  <si>
    <t>Unassisted</t>
  </si>
  <si>
    <t>Self</t>
  </si>
  <si>
    <t>Sex Partner</t>
  </si>
  <si>
    <t>Accepted index testing services</t>
  </si>
  <si>
    <t>Offered index testing services</t>
  </si>
  <si>
    <t>Self-test kits distributed for directly assisted testing</t>
  </si>
  <si>
    <t>Self-test kits distributed for unassisted testing</t>
  </si>
  <si>
    <t>DIC Code</t>
  </si>
  <si>
    <t>TX_CURR_VERIFY</t>
  </si>
  <si>
    <t>TX_CURR_VERIFY Dispensing Quantity</t>
  </si>
  <si>
    <t>Non-KP (general population)</t>
  </si>
  <si>
    <t>TX_CURR_VERIFY ALL</t>
  </si>
  <si>
    <t>ARV Dispensing Quantity &lt;3 months</t>
  </si>
  <si>
    <t>ARV Dispensing Quantity 3-5 months</t>
  </si>
  <si>
    <t>ARV Dispensing Quantity 6 months or more</t>
  </si>
  <si>
    <t>PEPFAR Supported</t>
  </si>
  <si>
    <t>Non-PEPFAR Supported</t>
  </si>
  <si>
    <t>TX_CURR_VERIFY General population</t>
  </si>
  <si>
    <t>TX_CURR_VERIFY MSM</t>
  </si>
  <si>
    <t>TX_CURR_VERIFY FSW</t>
  </si>
  <si>
    <t>TX_CURR_VERIFY People in prison and other closed settings</t>
  </si>
  <si>
    <t>TX_CURR_VERIFY TG</t>
  </si>
  <si>
    <t>TX_CURR_VERIFY PWID</t>
  </si>
  <si>
    <t>Non-Pepfar Supported</t>
  </si>
  <si>
    <t xml:space="preserve">TX_NEW_VERIFY </t>
  </si>
  <si>
    <t>TX_NEW_VERIFY ALL</t>
  </si>
  <si>
    <t>TX_NEW_VERIFY MSM</t>
  </si>
  <si>
    <t>TX_NEW_VERIFY General population</t>
  </si>
  <si>
    <t>TX_NEW_VERIFY People in prison and other closed settings</t>
  </si>
  <si>
    <t>TX_NEW_VERIFY PWID</t>
  </si>
  <si>
    <t>TX_NEW_VERIFY TG</t>
  </si>
  <si>
    <t>TX_NEW_VERIFY FSW</t>
  </si>
  <si>
    <t>TX_PVLS_VERIFY</t>
  </si>
  <si>
    <t>TX_RTT_VERIFY</t>
  </si>
  <si>
    <t>TX_PVLS_VERIFY Denominator</t>
  </si>
  <si>
    <t>TX_PVLS_Denominator_VERIFY FSW</t>
  </si>
  <si>
    <t>TX_PVLS_Denominator_VERIFY MSM</t>
  </si>
  <si>
    <t>TX_PVLS_Denominator_VERIFY Non-KP (general population)</t>
  </si>
  <si>
    <t>TX_PVLS_Denominator_VERIFY People in prison and other closed settings</t>
  </si>
  <si>
    <t>TX_PVLS_Denominator_VERIFY PWID</t>
  </si>
  <si>
    <t>TX_PVLS_Denominator_VERIFY TG</t>
  </si>
  <si>
    <t>TX_PVLS_VERIFY Numerator</t>
  </si>
  <si>
    <t>TX_PVLS_Numerator_VERIFY FSW</t>
  </si>
  <si>
    <t>TX_PVLS_Numerator_VERIFY MSM</t>
  </si>
  <si>
    <t>TX_PVLS_Numerator_VERIFY Non-KP (general population)</t>
  </si>
  <si>
    <t>TX_PVLS_Numerator_VERIFY People in prison and other closed settings</t>
  </si>
  <si>
    <t>TX_PVLS_Numerator_VERIFY PWID</t>
  </si>
  <si>
    <t>TX_PVLS_Numerator_VERIFY TG</t>
  </si>
  <si>
    <t>TX_RTT_VERIFY FSW</t>
  </si>
  <si>
    <t>TX_RTT_VERIFY MSM</t>
  </si>
  <si>
    <t>TX_RTT_VERIFY Non-KP (general population)</t>
  </si>
  <si>
    <t>TX_RTT_VERIFY People in prison and other closed settings</t>
  </si>
  <si>
    <t>TX_RTT_VERIFY PWID</t>
  </si>
  <si>
    <t>TX_RTT_VERIFY TG</t>
  </si>
  <si>
    <t>People in prison &amp; other closed settings</t>
  </si>
  <si>
    <t>Note: Please DON'T cut paste any cell, this will interfere with the formulas.</t>
  </si>
  <si>
    <t>Initial Tests</t>
  </si>
  <si>
    <t>Repeat Tests</t>
  </si>
  <si>
    <t>Initial Tests and Turned Positive</t>
  </si>
  <si>
    <t>Repeat Tests and Turned Positive</t>
  </si>
  <si>
    <t>Prep New</t>
  </si>
  <si>
    <t>Intiated on Prep FSW</t>
  </si>
  <si>
    <t>Initiated on Prep MSM</t>
  </si>
  <si>
    <t>Initiated on Prep People in prison and other closed settings</t>
  </si>
  <si>
    <t>Initiated on Prep PWID</t>
  </si>
  <si>
    <t>Initiated on Prep TG</t>
  </si>
  <si>
    <t>Prep Curr</t>
  </si>
  <si>
    <t>Current on Prep FSW</t>
  </si>
  <si>
    <t>Current on Prep MSM</t>
  </si>
  <si>
    <t>Current on Prep People in prison and other closed settings</t>
  </si>
  <si>
    <t>Current on Prep PWID</t>
  </si>
  <si>
    <t>Current on Prep TG</t>
  </si>
  <si>
    <t>Starting ART</t>
  </si>
  <si>
    <t>Starting ART MSM</t>
  </si>
  <si>
    <t>Starting ART People in prison and other closed settings</t>
  </si>
  <si>
    <t>Starting ART PWID</t>
  </si>
  <si>
    <t>Starting ART TG</t>
  </si>
  <si>
    <t>Starting ART FSW</t>
  </si>
  <si>
    <t>Current On ART</t>
  </si>
  <si>
    <t>Current on ART MSM</t>
  </si>
  <si>
    <t>Current on ART People in prison and other closed settings</t>
  </si>
  <si>
    <t>Current on ART PWID</t>
  </si>
  <si>
    <t>Current on ART TG</t>
  </si>
  <si>
    <t>Current on ART FSW</t>
  </si>
  <si>
    <t>TX_RTT</t>
  </si>
  <si>
    <t>TX_RTT MSM</t>
  </si>
  <si>
    <t>TX_RTT People in prison and other closed settings</t>
  </si>
  <si>
    <t>TX_RTT PWID</t>
  </si>
  <si>
    <t>TX_RTT TG</t>
  </si>
  <si>
    <t>TX_RTT FSW</t>
  </si>
  <si>
    <t>VL Done</t>
  </si>
  <si>
    <t>VL Done Routine</t>
  </si>
  <si>
    <t>VL Done Routine FSW</t>
  </si>
  <si>
    <t>VL Done Routine MSM</t>
  </si>
  <si>
    <t>VL Done Routine People in prison and other closed settings</t>
  </si>
  <si>
    <t>VL Done Routine PWID</t>
  </si>
  <si>
    <t>VL Done Routine TG</t>
  </si>
  <si>
    <t>VL Done Targeted</t>
  </si>
  <si>
    <t>VL Done Targeted FSW</t>
  </si>
  <si>
    <t>VL Done Targeted MSM</t>
  </si>
  <si>
    <t>VL Done Targeted People in prison and other closed settings</t>
  </si>
  <si>
    <t>VL Done Targeted PWID</t>
  </si>
  <si>
    <t>VL Done Targeted TG</t>
  </si>
  <si>
    <t>VL Done Total</t>
  </si>
  <si>
    <t>VL Suppressed Routine</t>
  </si>
  <si>
    <t>VL Suppressed Targeted</t>
  </si>
  <si>
    <t>VL Suppressed Total</t>
  </si>
  <si>
    <t>VL Suppressed Routine FSW</t>
  </si>
  <si>
    <t>VL Suppressed Routine MSM</t>
  </si>
  <si>
    <t>VL Suppressed Routine People in prison and other closed settings</t>
  </si>
  <si>
    <t>VL Suppressed Routine PWID</t>
  </si>
  <si>
    <t>VL Suppressed Routine TG</t>
  </si>
  <si>
    <t>VL Suppressed Targeted FSW</t>
  </si>
  <si>
    <t>VL Suppressed Targeted MSM</t>
  </si>
  <si>
    <t>VL Suppressed Targeted People in prison and other closed settings</t>
  </si>
  <si>
    <t>VL Suppressed Targeted PWID</t>
  </si>
  <si>
    <t>VL Suppressed Targeted TG</t>
  </si>
  <si>
    <t>VL Suppressed</t>
  </si>
  <si>
    <t>USAID CUSTOM INDICATORS</t>
  </si>
  <si>
    <t>12.0 TX_CURR_VERIFY</t>
  </si>
  <si>
    <t>13.0 TX_NEW_VERIFY</t>
  </si>
  <si>
    <t>14.0 TX_PVLS_VERIFY ( Denominator)</t>
  </si>
  <si>
    <t>15.0 TX_PVLS_VERIFY ( Numerator)</t>
  </si>
  <si>
    <t>16.0 TX_RTT_VERIFY</t>
  </si>
  <si>
    <t>KP2-01</t>
  </si>
  <si>
    <t>KP2-02</t>
  </si>
  <si>
    <t>KP2-03</t>
  </si>
  <si>
    <t>KP2-04</t>
  </si>
  <si>
    <t>KP2-05</t>
  </si>
  <si>
    <t>KP2-06</t>
  </si>
  <si>
    <t>KP3-01</t>
  </si>
  <si>
    <t>KP3-02</t>
  </si>
  <si>
    <t>KP3-03</t>
  </si>
  <si>
    <t>KP3-04</t>
  </si>
  <si>
    <t>KP3-05</t>
  </si>
  <si>
    <t>KP3-06</t>
  </si>
  <si>
    <t>KP4-01</t>
  </si>
  <si>
    <t>KP4-02</t>
  </si>
  <si>
    <t>KP4-03</t>
  </si>
  <si>
    <t>KP5-01</t>
  </si>
  <si>
    <t>KP5-02</t>
  </si>
  <si>
    <t>KP5-03</t>
  </si>
  <si>
    <t>KP5-04</t>
  </si>
  <si>
    <t>KP5-05</t>
  </si>
  <si>
    <t>KP5-06</t>
  </si>
  <si>
    <t>KP5-07</t>
  </si>
  <si>
    <t>KP5-08</t>
  </si>
  <si>
    <t>KP5-09</t>
  </si>
  <si>
    <t>KP5-10</t>
  </si>
  <si>
    <t>KP5-11</t>
  </si>
  <si>
    <t>KP5-12</t>
  </si>
  <si>
    <t>KP5-13</t>
  </si>
  <si>
    <t>KP5-14</t>
  </si>
  <si>
    <t>KP5-15</t>
  </si>
  <si>
    <t>KP5-16</t>
  </si>
  <si>
    <t>KP5-17</t>
  </si>
  <si>
    <t>KP5-18</t>
  </si>
  <si>
    <t>KP5-19</t>
  </si>
  <si>
    <t>KP5-20</t>
  </si>
  <si>
    <t>KP5-21</t>
  </si>
  <si>
    <t>KP5-22</t>
  </si>
  <si>
    <t>KP5-23</t>
  </si>
  <si>
    <t>KP5-24</t>
  </si>
  <si>
    <t>KP5-25</t>
  </si>
  <si>
    <t>KP5-26</t>
  </si>
  <si>
    <t>KP5-27</t>
  </si>
  <si>
    <t>KP5-28</t>
  </si>
  <si>
    <t>KP5-29</t>
  </si>
  <si>
    <t>KP5-30</t>
  </si>
  <si>
    <t>KP5-31</t>
  </si>
  <si>
    <t>KP5-32</t>
  </si>
  <si>
    <t>KP5-33</t>
  </si>
  <si>
    <t>KP5-34</t>
  </si>
  <si>
    <t>KP5-35</t>
  </si>
  <si>
    <t>KP5-36</t>
  </si>
  <si>
    <t>Total Tests &amp; Test Results</t>
  </si>
  <si>
    <t>KP6-01</t>
  </si>
  <si>
    <t>KP6-02</t>
  </si>
  <si>
    <t>KP6-03</t>
  </si>
  <si>
    <t>KP6-04</t>
  </si>
  <si>
    <t>KP6-05</t>
  </si>
  <si>
    <t>KP6-06</t>
  </si>
  <si>
    <t>KP7-01</t>
  </si>
  <si>
    <t>KP7-02</t>
  </si>
  <si>
    <t>KP7-03</t>
  </si>
  <si>
    <t>KP7-04</t>
  </si>
  <si>
    <t>KP7-05</t>
  </si>
  <si>
    <t>KP7-06</t>
  </si>
  <si>
    <t>KP7-07</t>
  </si>
  <si>
    <t>KP7-08</t>
  </si>
  <si>
    <t>KP7-09</t>
  </si>
  <si>
    <t>KP7-10</t>
  </si>
  <si>
    <t>KP7-11</t>
  </si>
  <si>
    <t>KP7-12</t>
  </si>
  <si>
    <t>KP7-13</t>
  </si>
  <si>
    <t>KP7-14</t>
  </si>
  <si>
    <t>KP7-15</t>
  </si>
  <si>
    <t>KP8-01</t>
  </si>
  <si>
    <t>KP8-02</t>
  </si>
  <si>
    <t>KP8-03</t>
  </si>
  <si>
    <t>KP8-04</t>
  </si>
  <si>
    <t>KP8-05</t>
  </si>
  <si>
    <t>KP8-06</t>
  </si>
  <si>
    <t>KP9-01</t>
  </si>
  <si>
    <t>KP9-02</t>
  </si>
  <si>
    <t>KP9-03</t>
  </si>
  <si>
    <t>KP9-04</t>
  </si>
  <si>
    <t>KP9-05</t>
  </si>
  <si>
    <t>KP9-06</t>
  </si>
  <si>
    <t>KP10-01</t>
  </si>
  <si>
    <t>KP10-02</t>
  </si>
  <si>
    <t>KP10-03</t>
  </si>
  <si>
    <t>KP10-04</t>
  </si>
  <si>
    <t>KP10-05</t>
  </si>
  <si>
    <t>KP10-06</t>
  </si>
  <si>
    <t>KP11-01</t>
  </si>
  <si>
    <t>KP11-02</t>
  </si>
  <si>
    <t>KP11-03</t>
  </si>
  <si>
    <t>KP11-04</t>
  </si>
  <si>
    <t>KP11-05</t>
  </si>
  <si>
    <t>KP11-06</t>
  </si>
  <si>
    <t>KP11-07</t>
  </si>
  <si>
    <t>KP11-08</t>
  </si>
  <si>
    <t>KP11-09</t>
  </si>
  <si>
    <t>KP11-10</t>
  </si>
  <si>
    <t>KP11-11</t>
  </si>
  <si>
    <t>KP11-12</t>
  </si>
  <si>
    <t>KP11-13</t>
  </si>
  <si>
    <t>KP11-14</t>
  </si>
  <si>
    <t>KP11-15</t>
  </si>
  <si>
    <t>KP11-16</t>
  </si>
  <si>
    <t>KP11-17</t>
  </si>
  <si>
    <t>KP11-18</t>
  </si>
  <si>
    <t>KP11-19</t>
  </si>
  <si>
    <t>KP11-20</t>
  </si>
  <si>
    <t>KP11-21</t>
  </si>
  <si>
    <t>KP11-22</t>
  </si>
  <si>
    <t>KP11-23</t>
  </si>
  <si>
    <t>KP11-24</t>
  </si>
  <si>
    <t>KP11-25</t>
  </si>
  <si>
    <t>KP11-26</t>
  </si>
  <si>
    <t>KP12-01</t>
  </si>
  <si>
    <t>KP12-02</t>
  </si>
  <si>
    <t>KP12-03</t>
  </si>
  <si>
    <t>KP12-04</t>
  </si>
  <si>
    <t>KP12-05</t>
  </si>
  <si>
    <t>KP12-06</t>
  </si>
  <si>
    <t>KP12-07</t>
  </si>
  <si>
    <t>KP12-08</t>
  </si>
  <si>
    <t>KP12-09</t>
  </si>
  <si>
    <t>KP12-10</t>
  </si>
  <si>
    <t>KP12-11</t>
  </si>
  <si>
    <t>KP12-12</t>
  </si>
  <si>
    <t>KP12-13</t>
  </si>
  <si>
    <t>KP12-14</t>
  </si>
  <si>
    <t>KP12-15</t>
  </si>
  <si>
    <t>KP12-16</t>
  </si>
  <si>
    <t>KP13-01</t>
  </si>
  <si>
    <t>KP13-02</t>
  </si>
  <si>
    <t>KP13-03</t>
  </si>
  <si>
    <t>KP13-04</t>
  </si>
  <si>
    <t>KP13-05</t>
  </si>
  <si>
    <t>KP13-06</t>
  </si>
  <si>
    <t>KP13-07</t>
  </si>
  <si>
    <t>KP13-08</t>
  </si>
  <si>
    <t>KP13-09</t>
  </si>
  <si>
    <t>KP13-10</t>
  </si>
  <si>
    <t>KP13-11</t>
  </si>
  <si>
    <t>KP13-12</t>
  </si>
  <si>
    <t>KP13-13</t>
  </si>
  <si>
    <t>KP14-01</t>
  </si>
  <si>
    <t>KP14-02</t>
  </si>
  <si>
    <t>KP14-03</t>
  </si>
  <si>
    <t>KP14-04</t>
  </si>
  <si>
    <t>KP14-05</t>
  </si>
  <si>
    <t>KP14-06</t>
  </si>
  <si>
    <t>KP14-07</t>
  </si>
  <si>
    <t>KP14-08</t>
  </si>
  <si>
    <t>KP14-09</t>
  </si>
  <si>
    <t>KP14-10</t>
  </si>
  <si>
    <t>KP14-11</t>
  </si>
  <si>
    <t>KP14-12</t>
  </si>
  <si>
    <t>KP14-13</t>
  </si>
  <si>
    <t>KP15-01</t>
  </si>
  <si>
    <t>KP15-02</t>
  </si>
  <si>
    <t>KP15-03</t>
  </si>
  <si>
    <t>KP15-04</t>
  </si>
  <si>
    <t>KP15-05</t>
  </si>
  <si>
    <t>KP15-06</t>
  </si>
  <si>
    <t>KP15-07</t>
  </si>
  <si>
    <t>KP15-08</t>
  </si>
  <si>
    <t>KP15-09</t>
  </si>
  <si>
    <t>KP15-10</t>
  </si>
  <si>
    <t>KP15-11</t>
  </si>
  <si>
    <t>KP15-12</t>
  </si>
  <si>
    <t>KP15-13</t>
  </si>
  <si>
    <t>KP16-01</t>
  </si>
  <si>
    <t>KP16-02</t>
  </si>
  <si>
    <t>KP16-03</t>
  </si>
  <si>
    <t>KP16-04</t>
  </si>
  <si>
    <t>KP16-05</t>
  </si>
  <si>
    <t>KP16-06</t>
  </si>
  <si>
    <t>KP16-07</t>
  </si>
  <si>
    <t>DATIM INDICATORS</t>
  </si>
  <si>
    <t>Data source - indicate the code if available</t>
  </si>
  <si>
    <t xml:space="preserve">This is a count of People who Inject Drugs (PWID) who  reached with individual and/or small group-level HIV prevention interventions </t>
  </si>
  <si>
    <t>Cohort Register H8 and Q17/AZ52</t>
  </si>
  <si>
    <t xml:space="preserve">This is a count of Men who have sex with other men reached with individual and/or small group-level HIV prevention interventions </t>
  </si>
  <si>
    <t>Cohort register H8 and Q17/AT46/AW49</t>
  </si>
  <si>
    <t>Transgender People</t>
  </si>
  <si>
    <t xml:space="preserve">This is a count of Transgender People reached with individual and/or small group-level HIV prevention interventions </t>
  </si>
  <si>
    <t>Cohort register H8 and  Q17/AT46/AW49</t>
  </si>
  <si>
    <t xml:space="preserve">This is a count of Female Sex Workers reached with individual and/or small group-level HIV prevention interventions </t>
  </si>
  <si>
    <t xml:space="preserve">This is a count of People in prison and other closed settings reached with individual and/or small group-level HIV prevention interventions </t>
  </si>
  <si>
    <t xml:space="preserve">“Known positive status” refers to all those PWID, who at already know their HIV Positive status and are continuing receiving KP services </t>
  </si>
  <si>
    <t>Cohort register H8 and Q14/V22</t>
  </si>
  <si>
    <t>Newly tested and/or referred for testing</t>
  </si>
  <si>
    <t xml:space="preserve">This is a Counts all PWID who were newly enrolled in to KP Program and received a HIV tested </t>
  </si>
  <si>
    <t>Cohort register S19</t>
  </si>
  <si>
    <t>KP PREV Declined testing and/or referral</t>
  </si>
  <si>
    <t>This is a total number of PWID enrolled in the program who declined testing testing and or referral</t>
  </si>
  <si>
    <t>N/A</t>
  </si>
  <si>
    <t xml:space="preserve">“Known positive status” refers to all those MSM, who already know their HIV Positive status and are continuing receiving KP services </t>
  </si>
  <si>
    <t>Cohort register Q14</t>
  </si>
  <si>
    <t xml:space="preserve">This is a Counts all MSM who were newly enrolled in to KP Program and received a HIV tested </t>
  </si>
  <si>
    <t>This is a total number of MSM enrolled in the program who declined testing testing and or referral</t>
  </si>
  <si>
    <t xml:space="preserve">“Known positive status” refers to all those Transgender People, who already know their HIV Positive status and are continuing receiving KP services </t>
  </si>
  <si>
    <t>Cohort register Q14/V22</t>
  </si>
  <si>
    <t xml:space="preserve">This is a Counts all Transgender People who were newly enrolled in to KP Program and received a HIV tested </t>
  </si>
  <si>
    <t>This is a total number of Transgender People enrolled in the program who declined testing testing and or referral</t>
  </si>
  <si>
    <t xml:space="preserve">“Known positive status” refers to all those FSW, who already know their HIV Positive status and are continuing receiving KP services </t>
  </si>
  <si>
    <t xml:space="preserve">This is a Counts all FSW who were newly enrolled in to KP Program and received a HIV tested </t>
  </si>
  <si>
    <t>Cohort register H8 and S19</t>
  </si>
  <si>
    <t>This is a total number of FSW enrolled in the program who declined testing testing and or referral</t>
  </si>
  <si>
    <t xml:space="preserve">“Known positive status” refers to all those People in prison &amp; other closed settings, who already know their HIV Positive status and are continuing receiving KP services </t>
  </si>
  <si>
    <t xml:space="preserve">This is a Counts all People in prison &amp; other closed settings who were newly enrolled in to KP Program and received a HIV tested </t>
  </si>
  <si>
    <t>This is a total number of People in prison &amp; other closed settings enrolled in the program who declined testing testing and or referral</t>
  </si>
  <si>
    <t>Total Number of KPs who were newly enrolled on oral antiretroviral pre-exposure prophylaxis (PrEP) to prevent HIV infection in the reporting period</t>
  </si>
  <si>
    <t>Cohort register H8 and AQ43</t>
  </si>
  <si>
    <t>Total Number of  People in prison and other closed settings who were newly enrolled/Initiated on oral antiretroviral pre-exposure prophylaxis (PrEP) to prevent HIV infection in the reporting period</t>
  </si>
  <si>
    <t>Total Number of PWID who were newly enrolled/Initiated on oral antiretroviral pre-exposure prophylaxis (PrEP) to prevent HIV infection in the reporting period</t>
  </si>
  <si>
    <t>Total Number of Transgender People who were newly enrolled/Initiated on oral antiretroviral pre-exposure prophylaxis (PrEP) to prevent HIV infection in the reporting period</t>
  </si>
  <si>
    <t>Total Number of KPs, inclusive of those newly enrolled, that received oral antiretroviral preexposure prophylaxis (PrEP) to prevent HIV during the reporting period</t>
  </si>
  <si>
    <t>Total Number of FSW, inclusive of those newly enrolled, that received oral antiretroviral preexposure prophylaxis (PrEP) to prevent HIV during the reporting period</t>
  </si>
  <si>
    <t>Cohort register H8 and AR44</t>
  </si>
  <si>
    <t>Total Number of MSM, inclusive of those newly enrolled, that received oral antiretroviral preexposure prophylaxis (PrEP) to prevent HIV during the reporting period</t>
  </si>
  <si>
    <t>Total Number of People in prison &amp; other closed settings, inclusive of those newly enrolled, that received oral antiretroviral preexposure prophylaxis (PrEP) to prevent HIV during the reporting period</t>
  </si>
  <si>
    <t>Total Number of PWID, inclusive of those newly enrolled, that received oral antiretroviral preexposure prophylaxis (PrEP) to prevent HIV during the reporting period</t>
  </si>
  <si>
    <t>Total Number of Transgender People, inclusive of those newly enrolled, that received oral antiretroviral preexposure prophylaxis (PrEP) to prevent HIV during the reporting period</t>
  </si>
  <si>
    <t>Number of KP GBV rape survivors who receiving post-rape care services based on the minimum package</t>
  </si>
  <si>
    <t>Cohort register BP68 &amp;/AN40</t>
  </si>
  <si>
    <t>Number of KP who presented with assulted Physically and or Emotionally  and receiving post-gender-based violence clinical care based on the minimum package</t>
  </si>
  <si>
    <t>Cohort register BP68</t>
  </si>
  <si>
    <t>This is a count of all KP  who received PEP services as a result of sexual  violence exposure to HIV and received the service within 72 hrs (a subset of KP4-01)</t>
  </si>
  <si>
    <t>Cohort register AO41</t>
  </si>
  <si>
    <t xml:space="preserve">This is a count of PWID who have never been tested or is tested 
for the first time by the programme received their test results in the reporting period (Sum of pos; neg results) </t>
  </si>
  <si>
    <t>Cohort register H8,S19 and U21</t>
  </si>
  <si>
    <t>This is a count of PWID who have never been tested or is tested 
for the first time by the programme and received a positive test results  (Pos ONLY)</t>
  </si>
  <si>
    <t>Cohort register H8, S19 U21 and V22</t>
  </si>
  <si>
    <t>This is a count of PWID who has been tested before by the programme and have returned for HIV testing as part of the routine testing 
recommended for KPs and received their test results in the reporting period</t>
  </si>
  <si>
    <t>This is a count of PWID who have been tested before by the programme and have returned for HIV testing as part of the routine testing 
recommended for KPs and received HIV positive test results in the reporting period</t>
  </si>
  <si>
    <t xml:space="preserve">This is a count of Transgender People who have never been tested or is tested for the first time by the programme received their test results in the reporting period (Sum of pos; neg results) </t>
  </si>
  <si>
    <t>This is a count of Transgender People who have never been tested or is tested for the first time by the programme and received a positive test results  (Pos ONLY)</t>
  </si>
  <si>
    <t>This is a count of Transgender People who have been tested before by the programme and have returned for HIV testing as part of the routine testing 
recommended for KPs and received their test results in the reporting period</t>
  </si>
  <si>
    <t>This is a count of Transgender People who have been tested before by the programme and have  returned for HIV testing as part of the routine testing 
recommended for KPs and received HIV positive test results in the reporting period</t>
  </si>
  <si>
    <t xml:space="preserve">This is a count of FSW who have never been tested or is tested 
for the first time by the programme received their test results in the reporting period (Sum of pos; neg results) </t>
  </si>
  <si>
    <t>This is a count of FSW who have never been tested or is tested 
for the first time by the programme and received a positive test results  (Pos ONLY)</t>
  </si>
  <si>
    <t>This is a count of FSW who has been tested before by the programme and has returned for HIV testing as part of the routine testing 
recommended for KPs and received their test results in the reporting period</t>
  </si>
  <si>
    <t>This is a count of FSW who have been tested before by the programme and have returned for HIV testing as part of the routine testing 
recommended for KPs and received HIV positive test results in the reporting period</t>
  </si>
  <si>
    <t xml:space="preserve">This is a count of People in prison &amp; other closed settings  who have never been tested or is tested for the first time by the programme received their test results in the reporting period (Sum of pos; neg results) </t>
  </si>
  <si>
    <t>This is a count of People in prison &amp; other closed settings who have never been tested or is tested for the first time by the programme and received a positive test results  (Pos ONLY)</t>
  </si>
  <si>
    <t>This is a count of People in prison &amp; other closed settings who have been tested before by the programme and have returned for HIV testing as part of the routine testing recommended for KPs and received their test results in the reporting period</t>
  </si>
  <si>
    <t>This is a count of People in prison &amp; other closed settings has been tested before by the programme and have returned for HIV testing as part of the routine testing recommended for KPs and received HIV positive test results in the reporting period</t>
  </si>
  <si>
    <t xml:space="preserve">This is a count of MSM who have never been tested or is tested 
for the first time by the programme received their test results in the reporting period (Sum of pos; neg results) </t>
  </si>
  <si>
    <t>This is a count of MSM who have never been tested or is tested 
for the first time by the programme and received a positive test results  (Pos ONLY)</t>
  </si>
  <si>
    <t>This is a count of MSM who have been tested before by the programme and have returned for HIV testing as part of the routine testing 
recommended for KPs and received their test results in the reporting period</t>
  </si>
  <si>
    <t>This is a count of MSM who have been tested before by the programme and have returned for HIV testing as part of the routine testing 
recommended for KPs and received HIV positive test results in the reporting period</t>
  </si>
  <si>
    <t xml:space="preserve">This is a count of KP tested in the Clinical Outreach who received the initial HIV Testing Services (HTS) and received their test results  (Sum of pos; neg results) </t>
  </si>
  <si>
    <t>Cohort register S19, U21 and T20</t>
  </si>
  <si>
    <t>This is a count of KP tested in the Clinical Outreach who received the initial HIV testing services and received a positive test results in the reporting period  (Pos ONLY)</t>
  </si>
  <si>
    <t>Cohort register S19,T20, U21 and V22</t>
  </si>
  <si>
    <t>This is a count of KP tested in the Clinical Outreach who received their repeat HIV Testing Services (HTS) and received their test results in the reporting period</t>
  </si>
  <si>
    <t>Cohort register S19,U21 and T20</t>
  </si>
  <si>
    <t xml:space="preserve">This is a count of KP tested in the Clinical Outreach who received their repeat HIV Testing Services (HTS) and received HIV positive test results </t>
  </si>
  <si>
    <t xml:space="preserve">This is a count of VCT Service Modality who received the initial HIV Testing Services (HTS) and received their test results  (Sum of pos; neg results) </t>
  </si>
  <si>
    <t>This is a count of VCT Service Modality who received the initial HIV testing services and received a positive test results  (Pos ONLY)</t>
  </si>
  <si>
    <t>Cohort register S19, T20, U21 and V22</t>
  </si>
  <si>
    <t xml:space="preserve">This is a count of VCT Service Modality who received their repeat HIV Testing Services (HTS) and received their test results </t>
  </si>
  <si>
    <t xml:space="preserve">This is a count of VCT Service Modality who received their repeat HIV Testing Services (HTS) and received HIV positive test results </t>
  </si>
  <si>
    <t xml:space="preserve">This is a count of Other Service Modality who received the initial HIV Testing Services (HTS) and received their test results in the reporting period (Sum of pos; neg results) </t>
  </si>
  <si>
    <t>This is a count of Other Service Modality who received the initial HIV testing services and received a positive test results in the reporting period  (Pos ONLY)</t>
  </si>
  <si>
    <t>This is a count of Other Service Modality who received their repeat HIV Testing Services (HTS) and received their test results in the reporting period</t>
  </si>
  <si>
    <t xml:space="preserve">This is a count of Other Service Modality who received their repeat HIV Testing Services (HTS) and received HIV positive test results </t>
  </si>
  <si>
    <t>Cohort register T20, S19 U21 and V22</t>
  </si>
  <si>
    <t xml:space="preserve">This is a count of Other Service Modality who received the initial HIV Testing Services (HTS) and received their test results in the reporting period  (Sum of pos; neg results) </t>
  </si>
  <si>
    <t>Cohort register S19, U21</t>
  </si>
  <si>
    <t>Cohort register S19, U21, and V22</t>
  </si>
  <si>
    <t>This is a count of Other Service Modality who received their repeat HIV Testing Services (HTS) and received HIV positive test results in the reporting period</t>
  </si>
  <si>
    <t>This is a count of index clients (newly diagnosed positive or previously known positives who may or may not be on ART) who were offered (e.g., counseled on) index testing services (regardless of whether or not those services were accepted by the index client)</t>
  </si>
  <si>
    <t>Index testing register, colm "d"</t>
  </si>
  <si>
    <t>This is a count of index clients who accepted (e.g., agreed to) provision of index testing services by a provider (including, counseling on index testing, elicitation of current or past sexual partners/partner notification etc.</t>
  </si>
  <si>
    <t>Index testing register, colm "d" vs "I"</t>
  </si>
  <si>
    <t>This is a count of contacts provided by the index client as a result of accepting index testing services.  Note: contacts are only sexual partners, biological children/parents, and anyone with whom a needle was shared.</t>
  </si>
  <si>
    <t>Index testing register, colm "I"</t>
  </si>
  <si>
    <t>Known positive status refers to all those clients, who have documented evidence of their positive HIV status</t>
  </si>
  <si>
    <t>Index testing register, colm "0"</t>
  </si>
  <si>
    <t>This is account of contacts of an index client, tested through index testing services and received results</t>
  </si>
  <si>
    <t>Index testing register, colm "u"</t>
  </si>
  <si>
    <t>Positive results means that the client tested positive and was made aware of their HIV positive results after the test</t>
  </si>
  <si>
    <t>Number of individual HIV self-test kits distributed; Directly assisted HIVST refers to trained providers or peers giving individuals an in-person demonstration before or during HIVST of how to perform the test and interpret the test result</t>
  </si>
  <si>
    <t>Self Testing Register</t>
  </si>
  <si>
    <t>Number of individual HIV self-test kits distributed;Unassisted HIVST refers to when individuals self-test for HIV and only use an HIVST kit with manufacturer-provided instructions for use</t>
  </si>
  <si>
    <t>Directly assisted HIVST refers to trained providers or peers giving individuals an in-person demonstration before or during HIVST of how to perform the test and interpret the test result (Report PWID)</t>
  </si>
  <si>
    <t>Directly assisted HIVST refers to trained providers or peers giving individuals an in-person demonstration before or during HIVST of how to perform the test and interpret the test result (Report (MSM)</t>
  </si>
  <si>
    <t>Directly assisted HIVST refers to trained providers or peers giving individuals an in-person demonstration before or during HIVST of how to perform the test and interpret the test result (Report TG)</t>
  </si>
  <si>
    <t>Directly assisted HIVST refers to trained providers or peers giving individuals an in-person demonstration before or during HIVST of how to perform the test and interpret the test result (Report FSW)</t>
  </si>
  <si>
    <t>Directly assisted HIVST refers to trained providers or peers giving individuals an in-person demonstration before or during HIVST of how to perform the test and interpret the test result (Report people in Prison &amp; other closed settings)</t>
  </si>
  <si>
    <t>Unassisted HIVST refers to when individuals self-test for HIV and only use an HIVST kit with manufacturer-provided instructions for use (Report PWID)</t>
  </si>
  <si>
    <t>Unassisted HIVST refers to when individuals self-test for HIV and only use an HIVST kit with manufacturer-provided instructions for use (Report MSM)</t>
  </si>
  <si>
    <t>Unassisted HIVST refers to when individuals self-test for HIV and only use an HIVST kit with manufacturer-provided instructions for use (Report TG)</t>
  </si>
  <si>
    <t>Unassisted HIVST refers to when individuals self-test for HIV and only use an HIVST kit with manufacturer-provided instructions for use (Report FSW)</t>
  </si>
  <si>
    <t>Unassisted HIVST refers to when individuals self-test for HIV and only use an HIVST kit with manufacturer-provided instructions for use (Report People in Prison &amp; other closed settings)</t>
  </si>
  <si>
    <t>Total Unassisted selft testing done on self</t>
  </si>
  <si>
    <t>Total Unassisted selft testing done for sex partner</t>
  </si>
  <si>
    <t xml:space="preserve">Total Unassisted selft testing done for other </t>
  </si>
  <si>
    <t xml:space="preserve">Total KP starting ART </t>
  </si>
  <si>
    <t xml:space="preserve">Number of FSW newly enrolled on antiretroviral therapy (ART) </t>
  </si>
  <si>
    <t>Cohort register H8,Z26. KPLHIV Tracker with respect to the month initiated (New)</t>
  </si>
  <si>
    <t>Number of MSM newly enrolled on antiretroviral therapy (ART)</t>
  </si>
  <si>
    <t xml:space="preserve">Number of People in prison &amp; other closed settings newly enrolled on antiretroviral therapy (ART) </t>
  </si>
  <si>
    <t xml:space="preserve">Number of PWID newly enrolled on antiretroviral therapy (ART) </t>
  </si>
  <si>
    <t>Number of Transgender People newly enrolled on antiretroviral therapy (ART)</t>
  </si>
  <si>
    <t xml:space="preserve">Total KP currently receiving antiretroviral therapy (ART) </t>
  </si>
  <si>
    <t>Number of FSW currently receiving antiretroviral therapy (ART)</t>
  </si>
  <si>
    <t>Cohort register H8, AA27, AC29, AD30</t>
  </si>
  <si>
    <t>Number of MSM currently receiving antiretroviral therapy (ART)</t>
  </si>
  <si>
    <t>Number of People in prison &amp; other closed settings currently receiving antiretroviral therapy (ART)</t>
  </si>
  <si>
    <t>Number of PWID currently receiving antiretroviral therapy (ART)</t>
  </si>
  <si>
    <t>Number of Transgender People currently receiving antiretroviral therapy (ART)</t>
  </si>
  <si>
    <t>Number of ART KP patients who experienced an interruption in treatment (IIT) during any previous reporting period, who successfully restarted ARVs within the reporting period and remained on treatment until the end of the reporting period.</t>
  </si>
  <si>
    <t>Number of ART FSW patients who experienced an interruption in treatment (IIT) during any previous reporting period, who successfully restarted ARVs within the reporting period and remained on treatment until the end of the reporting period.</t>
  </si>
  <si>
    <t>KPLHIV Tracker Reports row 46, Filter by KP Type</t>
  </si>
  <si>
    <t>Number of ART MSM patients who experienced an interruption in treatment (IIT) during any previous reporting period, who successfully restarted ARVs within the reporting period and remained on treatment until the end of the reporting period.</t>
  </si>
  <si>
    <t>Number of ART People in prison &amp; other closed settings patients who experienced an interruption in treatment (IIT) during any previous reporting period, who successfully restarted ARVs within the reporting period and remained on treatment until the end of the reporting period.</t>
  </si>
  <si>
    <t>Number of ART PWID patients who experienced an interruption in treatment (IIT) during any previous reporting period, who successfully restarted ARVs within the reporting period and remained on treatment until the end of the reporting period.</t>
  </si>
  <si>
    <t>Number of ART TG  patients who experienced an interruption in treatment (IIT) during any previous reporting period, who successfully restarted ARVs within the reporting period and remained on treatment until the end of the reporting period.</t>
  </si>
  <si>
    <t>Number of ART patients with suppressed VL results (&lt;1,000 copies/ml) documented in the medical or laboratory records/LIS within the past 12 months; • If there is more than one VL result for a patient during the past 12 months, report the most recent result.</t>
  </si>
  <si>
    <t>Total Routine VL done (obtained at stadard intervals)</t>
  </si>
  <si>
    <t>Total FSW with a Routine VL done</t>
  </si>
  <si>
    <t>Cohort register AE31, KPLHIV Tracker reports (row 87) filter by KP Type</t>
  </si>
  <si>
    <t>Total MSM with a Routine VL done</t>
  </si>
  <si>
    <t>Total People in prison &amp; other closed settings FSW with a Routine VL done</t>
  </si>
  <si>
    <t>Total PWID with a Routine VL done</t>
  </si>
  <si>
    <t>Total Transgender People with a Routine VL done</t>
  </si>
  <si>
    <t>Total VL done Targeted refers to viral load tests ordered based on a specific clinical indication</t>
  </si>
  <si>
    <t>Total FSW with a Targeted VL done</t>
  </si>
  <si>
    <t>VL Tracking Log Register</t>
  </si>
  <si>
    <t>Total MSM with  a Targeted VL done</t>
  </si>
  <si>
    <t>Total People in prison &amp; other closed settings FSW with  a Targeted VL done</t>
  </si>
  <si>
    <t>Total PWID with  a Targeted VL done</t>
  </si>
  <si>
    <t>Total Transgender People with a Targeted VL done</t>
  </si>
  <si>
    <t>Total Number of ART patients (FSW) with suppressed VL results (&lt;1,000 copies/ml) documented in the medical or laboratory records/LIS within the past 12 months</t>
  </si>
  <si>
    <t>Cohort register H9,AF32, KPLHIV Tracker reports (row 87) filter by KP Type</t>
  </si>
  <si>
    <t>Total Number of ART patients (MSM) with suppressed VL results (&lt;1,000 copies/ml) documented in the medical or laboratory records/LIS within the past 12 months</t>
  </si>
  <si>
    <t>Total Number of ART patients (People in prison &amp;Other closed settings) with suppressed VL results (&lt;1,000 copies/ml) documented in the medical or laboratory records/LIS within the past 12 months</t>
  </si>
  <si>
    <t>Total Number of ART patients (PWID) with suppressed VL results (&lt;1,000 copies/ml) documented in the medical or laboratory records/LIS within the past 12 months</t>
  </si>
  <si>
    <t>Total Number of ART patients (Transgender people) with suppressed VL results (&lt;1,000 copies/ml) documented in the medical or laboratory records/LIS within the past 12 months</t>
  </si>
  <si>
    <t>Total Number of ART patients (FSW) with re-suppressed VL results (&lt;1,000 copies/ml) documented in the medical or laboratory records/LIS within the past 12 months</t>
  </si>
  <si>
    <t xml:space="preserve">Cohort register H9,AG33, KPLHIV Tracker reports (row 87) filter by KP Type </t>
  </si>
  <si>
    <t>Total Number of ART patients (MSM) with re-suppressed VL results (&lt;1,000 copies/ml) documented in the medical or laboratory records/LIS within the past 12 months</t>
  </si>
  <si>
    <t>Total Number of ART patients (People in prison &amp;Other closed settings) with re-suppressed VL results (&lt;1,000 copies/ml) documented in the medical or laboratory records/LIS within the past 12 months</t>
  </si>
  <si>
    <t>Total Number of ART patients (PWID) with re-suppressed VL results (&lt;1,000 copies/ml) documented in the medical or laboratory records/LIS within the past 12 months</t>
  </si>
  <si>
    <t>Total Number of ART patients (Transgender people) with re-suppressed VL results (&lt;1,000 copies/ml) documented in the medical or laboratory records/LIS within the past 12 months</t>
  </si>
  <si>
    <t>Total Number of HIV-positive KP clients that have been reached by KP programs and are verified as currently enrolled on ART at the end
of the reporting period</t>
  </si>
  <si>
    <t>Total Number of HIV-positive KP clients that have been reached by Kp Programs and are verified to have received &lt;3 months of ARVs</t>
  </si>
  <si>
    <t>KPLHIV Tracker reports row 139 filter by KP Type</t>
  </si>
  <si>
    <t>Total Number of HIV-positive KP clients that have been reached by Kp Programs and are verified to have received 3-5 months of ARVs</t>
  </si>
  <si>
    <t>Total Number of HIV-positive KP clients that have been reached by Kp Programs and are verified to have received 6 months of ARVs</t>
  </si>
  <si>
    <t>Number of HIV-positive FSW  that have been reached by KP programs and are verified as currently enrolled on ART at the end of the reporting period</t>
  </si>
  <si>
    <t>KPLHIV Tracker reports row 29 filter by KP Type</t>
  </si>
  <si>
    <t>Number of HIV-positive MSM  that have been reached by KP programs and are verified as currently enrolled on ART at the end of the reporting period</t>
  </si>
  <si>
    <t>Number of HIV-positive general Population that have been reached by KP programs and are verified as currently enrolled on ART at the end of the reporting period</t>
  </si>
  <si>
    <t>Number of HIV-positive People in prison and other closed settings clients that have been reached by KP programs and are verified as currently enrolled on ART at the end of the reporting period</t>
  </si>
  <si>
    <t>Number of HIV-positive PWID that have been reached by KP programs and are verified as currently enrolled on ART at the end of the reporting period</t>
  </si>
  <si>
    <t>Number of HIV-positive TG that have been reached by KP programs and are verified as currently enrolled on ART at the end of the reporting period</t>
  </si>
  <si>
    <t>KPLHIV Tracker Col. Q. Filter by KP Type</t>
  </si>
  <si>
    <t>Total Number of HIV-positive KPs verified as newly enrolled on antiretroviral therapy (ART)</t>
  </si>
  <si>
    <t>Number of  HIV-positive KPs (FSW) verified as newly enrolled on antiretroviral therapy (ART)</t>
  </si>
  <si>
    <t>KPLHIV Tracker reports row 12. Filter by KP Type. Check NEW every month</t>
  </si>
  <si>
    <t>Number of HIV-positive KPs (MSM) verified as newly enrolled on antiretroviral therapy (ART)</t>
  </si>
  <si>
    <t>Number of HIV-positive Gen. Pop verified as newly enrolled on antiretroviral therapy (ART)</t>
  </si>
  <si>
    <t>Number of HIV-positive KPs People in prison and other closed settings verified as newly enrolled on antiretroviral therapy (ART)</t>
  </si>
  <si>
    <t>Number of HIV-positive KPs PWID verified as newly enrolled on antiretroviral therapy (ART)</t>
  </si>
  <si>
    <t>Number of HIV-positive KPs TG verified as newly enrolled on antiretroviral therapy (ART)</t>
  </si>
  <si>
    <t>KPLHIV Tracker Col. Q, Reports row 12. Filter by KP Type. Check NEW every month</t>
  </si>
  <si>
    <t>Number of KP (FSW) ART patients that have been reached by KP programs and are confirmed as having a VL result (&lt;1,000 copies/mL) documented in the medical or laboratory records/LIS within the past 12 months</t>
  </si>
  <si>
    <t>KPLHIV Tracker Col.AZ, BB, Reports row 87</t>
  </si>
  <si>
    <t>Number of KP (MSM) ART patients that have been reached by KP programs and are confirmed as having a VL result (&lt;1,000 copies/mL) documented in the medical or laboratory records/LIS within the past 12 months</t>
  </si>
  <si>
    <t>Number of KP (GP) ART patients that have been reached by KP programs and are confirmed as having a VL result (&lt;1,000 copies/mL) documented in the medical or laboratory records/LIS within the past 12 months</t>
  </si>
  <si>
    <t>Number of KP (People in prison and other closed settings) ART patients that have been reached by KP programs and are confirmed as having a VL result (&lt;1,000 copies/mL) documented in the medical or laboratory records/LIS within the past 12 months</t>
  </si>
  <si>
    <t>Number of KP (PWID) ART patients that have been reached by KP programs and are confirmed as having a VL result (&lt;1,000 copies/mL) documented in the medical or laboratory records/LIS within the past 12 months</t>
  </si>
  <si>
    <t>Number of KP (TG) ART patients that have been reached by KP programs and are confirmed as having a VL result (&lt;1,000 copies/mL) documented in the medical or laboratory records/LIS within the past 12 months</t>
  </si>
  <si>
    <t>KPLHIV Tracker Col.Q,AZ, BB, Reports row 87</t>
  </si>
  <si>
    <t>Number of KP(FSW) ART patients that are confirmed as having a suppressed VL result (&lt;1,000 copies/ml) documented in the medical or laboratory records/LIS within the past 12 months</t>
  </si>
  <si>
    <t>KPLHIV Tracker Col.Q, AZ, BB, Reports row 87</t>
  </si>
  <si>
    <t>Number of KP(MSM) ART patients that are confirmed as having a suppressed VL result (&lt;1,000 copies/ml) documented in the medical or laboratory records/LIS within the past 12 months</t>
  </si>
  <si>
    <t>Number of KP(GP) ART patients that are confirmed as having a suppressed VL result (&lt;1,000 copies/ml) documented in the medical or laboratory records/LIS within the past 12 months</t>
  </si>
  <si>
    <t>Number of KP(People in prison and other closed settings) ART patients that are confirmed as having a suppressed VL result (&lt;1,000 copies/ml) documented in the medical or laboratory records/LIS within the past 12 months</t>
  </si>
  <si>
    <t>Number of KP(PWID) ART patients that are confirmed as having a suppressed VL result (&lt;1,000 copies/ml) documented in the medical or laboratory records/LIS within the past 12 months</t>
  </si>
  <si>
    <t>Number of KP(TG) ART patients that are confirmed as having a suppressed VL result (&lt;1,000 copies/ml) documented in the medical or laboratory records/LIS within the past 12 months</t>
  </si>
  <si>
    <t>Number of HIV positive, treatment-experienced KPs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</si>
  <si>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KPLHIV Tracker reports row 46. Filter by KP type</t>
  </si>
  <si>
    <t>Number of HIV positive, treatment-experienced KPs (FSW)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</si>
  <si>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(MSM)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</si>
  <si>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Non-KP (general Population)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</si>
  <si>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(People in prison &amp; other closed settings)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</si>
  <si>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(PWID)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</si>
  <si>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(TG)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</si>
  <si>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KPLHIV Tracker reports row 46. Filter by KP type / Defaulter Tracing Register</t>
  </si>
  <si>
    <t>Newly tested and / or referred for testing</t>
  </si>
  <si>
    <t>Declined testing and / or referral</t>
  </si>
  <si>
    <t>Repeat tests</t>
  </si>
  <si>
    <t>Initial tests</t>
  </si>
  <si>
    <t>Initial tests and turned positive</t>
  </si>
  <si>
    <t>Repeat tests and turned positive</t>
  </si>
  <si>
    <t xml:space="preserve"> Prep New FSW is more than KP_PREV FSW</t>
  </si>
  <si>
    <t>Show a Red Flag when</t>
  </si>
  <si>
    <t>KP2-03&gt;KP1-02</t>
  </si>
  <si>
    <t>KP2-02&gt;KP1-04</t>
  </si>
  <si>
    <t xml:space="preserve"> Prep New FSW is more than KP_PREV MSM</t>
  </si>
  <si>
    <t xml:space="preserve"> Prep New FSW is more than KP_PREV People in Prison &amp; other enclosed settings</t>
  </si>
  <si>
    <t xml:space="preserve"> Prep New FSW is more than KP_PREV PWID</t>
  </si>
  <si>
    <t xml:space="preserve"> Prep New FSW is more than KP_PREV Transgender People</t>
  </si>
  <si>
    <t>KP2-04&gt;KP1-05</t>
  </si>
  <si>
    <t>KP2-05&gt;KP1-01</t>
  </si>
  <si>
    <t>KP2-06&gt;KP1-03</t>
  </si>
  <si>
    <t xml:space="preserve"> Prep New FSW is more than PREP_CURR FSW</t>
  </si>
  <si>
    <t xml:space="preserve"> Prep New FSW is more than PREP_CURR MSM</t>
  </si>
  <si>
    <t xml:space="preserve"> Prep New FSW is more than PREP_CURR People in Prison &amp; other enclosed settings</t>
  </si>
  <si>
    <t xml:space="preserve"> Prep New FSW is more than PREP_CURR PWID</t>
  </si>
  <si>
    <t xml:space="preserve"> Prep New FSW is more than PREP_CURR Transgender People</t>
  </si>
  <si>
    <t>KP2-02&gt;KP3-02</t>
  </si>
  <si>
    <t>KP2-03&gt;KP3-03</t>
  </si>
  <si>
    <t>KP2-04&gt;KP3-04</t>
  </si>
  <si>
    <t>KP2-05&gt;KP3-05</t>
  </si>
  <si>
    <t>KP2-06&gt;KP3-06</t>
  </si>
  <si>
    <t>Gend_GBV Number of people receiving PEP Service  is more than Sexual violence + Physical violence Cases</t>
  </si>
  <si>
    <t>KP4-03&gt;KP4-01+KP4-02</t>
  </si>
  <si>
    <t>Gend GBV Cases is more than KP_PREV</t>
  </si>
  <si>
    <t>KP1-00</t>
  </si>
  <si>
    <t>KP4-01+KP4-02&gt;KP1-00</t>
  </si>
  <si>
    <t>Codes</t>
  </si>
  <si>
    <t xml:space="preserve"> Initial Tests + Repeat Tests Is more than Newly Tested and/or referred for testing</t>
  </si>
  <si>
    <t>KP5-01 + KP5-03 &gt; KP1-07</t>
  </si>
  <si>
    <t>KP5-05 + KP5-07 &gt; KP1-13</t>
  </si>
  <si>
    <t>KP5-09 + KP5-11 &gt; KP1-16</t>
  </si>
  <si>
    <t>KP5-13 + KP5-15 &gt; KP1-19</t>
  </si>
  <si>
    <t>KP5-17 + KP5-19 &gt; KP1-10</t>
  </si>
  <si>
    <t>Initial Test and Turned Positive is more than Initial Test</t>
  </si>
  <si>
    <t>KP5-02&gt;KP5-01</t>
  </si>
  <si>
    <t>KP5-06&gt;KP5-05</t>
  </si>
  <si>
    <t>KP5-10&gt;KP5-09</t>
  </si>
  <si>
    <t>KP5-14&gt;KP5-13</t>
  </si>
  <si>
    <t>KP5-18&gt;KP5-17</t>
  </si>
  <si>
    <t>Repeat Test and Turned Positive is more than Repeat Test</t>
  </si>
  <si>
    <t>KP5-04&gt;KP5-03</t>
  </si>
  <si>
    <t>KP5-08&gt;KP5-07</t>
  </si>
  <si>
    <t>KP5-12&gt;KP5-11</t>
  </si>
  <si>
    <t>KP5-16&gt;KP5-15</t>
  </si>
  <si>
    <t>KP5-20&gt;KP5-19</t>
  </si>
  <si>
    <t>KP5-21&gt;KP5-22</t>
  </si>
  <si>
    <t>KP5-25&gt;KP5-26</t>
  </si>
  <si>
    <t>KP5-29&gt;KP5-30</t>
  </si>
  <si>
    <t>KP5-23&gt;KP5-24</t>
  </si>
  <si>
    <t>KP5-27&gt;KP5-28</t>
  </si>
  <si>
    <t>KP5-31&gt;KP5-32</t>
  </si>
  <si>
    <t>Total Initial tests by KP Type is not equal to Total Initial Tests By Modality</t>
  </si>
  <si>
    <t>Total Initial tests and turned positive by KP Type is not equal to Initial tests and turned positiveBy Modality</t>
  </si>
  <si>
    <t>Total Repeat tests by KP Type is not equal to Total Initial Tests By Modality</t>
  </si>
  <si>
    <t>Total Repeat tests and turned positive by KP Type is not equal to Initial tests and turned positiveBy Modality</t>
  </si>
  <si>
    <t>KP5-37</t>
  </si>
  <si>
    <t>KP5-38</t>
  </si>
  <si>
    <t>KP5-39</t>
  </si>
  <si>
    <t>KP5-40</t>
  </si>
  <si>
    <t>KP5-33!=KP5-37</t>
  </si>
  <si>
    <t>KP5-34!=KP5-38</t>
  </si>
  <si>
    <t>KP5-35!=KP5-39</t>
  </si>
  <si>
    <t>KP5-36!=KP5-40</t>
  </si>
  <si>
    <t>Accepted Index Testing is more than Offered Index Testing</t>
  </si>
  <si>
    <t>KP6-02&gt;KP6-01</t>
  </si>
  <si>
    <t>Positive HTS_INDEX is more than Tested HTS_INDEX</t>
  </si>
  <si>
    <t>KP6-06&gt;KP6-05</t>
  </si>
  <si>
    <t>Total Hts Self by KP_Type  Is more than Total Hts Self by Self + Sex partner + Other</t>
  </si>
  <si>
    <t>KP7-13+KP7-14+KP7-15!=KP7-02</t>
  </si>
  <si>
    <t xml:space="preserve"> Started on ART Is more Total Positive By modality</t>
  </si>
  <si>
    <t>KP8-01&gt;KP5-38+KP5-40</t>
  </si>
  <si>
    <t>VL Done is more than TX_CURR MSM</t>
  </si>
  <si>
    <t>VL Done  is more than TX_CURR People in Prison</t>
  </si>
  <si>
    <t>VL Done is more than TX_CURR FSW</t>
  </si>
  <si>
    <t>KP9-02&lt;KP11-03+KP11-09</t>
  </si>
  <si>
    <t>KP9-03&lt;KP11-04+KP11-10</t>
  </si>
  <si>
    <t>KP9-04&lt;KP11-05+KP11-11</t>
  </si>
  <si>
    <t>VL Done is more than TX_CURR PWID</t>
  </si>
  <si>
    <t>VL Done is more than TX_CURR Transgender</t>
  </si>
  <si>
    <t>KP9-05&lt;KP11-06+KP11-12</t>
  </si>
  <si>
    <t>KP9-06&lt;KP11-06+KP11-12</t>
  </si>
  <si>
    <t>VL Suppressed Routine is more than VL Done FSW</t>
  </si>
  <si>
    <t>VL Suppressed Routine is more than VL Done MSM</t>
  </si>
  <si>
    <t>VL Suppressed Routine is more than VL Done People in Prison</t>
  </si>
  <si>
    <t>VL Suppressed Routine is more than VL Done PWID</t>
  </si>
  <si>
    <t>VL Suppressed Routine is more than VL Done Transgender</t>
  </si>
  <si>
    <t>VL Suppressed Targeted is more than VL Done FSW</t>
  </si>
  <si>
    <t>VL Suppressed Targeted is more than VL Done MSM</t>
  </si>
  <si>
    <t>VL Suppressed Targeted is more than VL Done People in Prison</t>
  </si>
  <si>
    <t>VL Suppressed Targeted is more than VL Done PWID</t>
  </si>
  <si>
    <t>VL Suppressed Targeted is more than VL Done Transgender</t>
  </si>
  <si>
    <t>KP11-03&lt;KP11-16</t>
  </si>
  <si>
    <t>KP11-04&lt;KP11-17</t>
  </si>
  <si>
    <t>KP11-05&lt;KP11-18</t>
  </si>
  <si>
    <t>KP11-06&lt;KP11-19</t>
  </si>
  <si>
    <t>KP11-07&lt;KP11-20</t>
  </si>
  <si>
    <t>KP11-09&lt;KP11-22</t>
  </si>
  <si>
    <t>KP11-10&lt;KP11-23</t>
  </si>
  <si>
    <t>KP11-11&lt;KP11-24</t>
  </si>
  <si>
    <t>KP11-12&lt;KP11-25</t>
  </si>
  <si>
    <t>KP11-13&lt;KP11-26</t>
  </si>
  <si>
    <t>sum of ARV Dispensing Quantity is not equal to TX_CURR_VERIFY ALL</t>
  </si>
  <si>
    <t>KP12-01!=KP12-02+KP12-03+KP12-04</t>
  </si>
  <si>
    <t>Total TX_New + Total TX_New_Verify should not be more than Total Initial Tests and Turned Positive + Repeat Tests and turned Positives by Modality</t>
  </si>
  <si>
    <t>KP8-01+KP13-01&gt;KP5-38+KP5-40</t>
  </si>
  <si>
    <t>You have patients who declined Testing on PWID Section. This needs explanation</t>
  </si>
  <si>
    <t xml:space="preserve"> You have patients who declined Testing on MSM Section.This needs explanation</t>
  </si>
  <si>
    <t>You have patients who declined Testing on Transgender Section. This needs explanation</t>
  </si>
  <si>
    <t>You have patients who declined Testing on FSW. This needs explanation</t>
  </si>
  <si>
    <t xml:space="preserve"> You have patients who declined Testing on People in Prison and Other enclosed settings. This needs explanation</t>
  </si>
  <si>
    <t>some KP_Prev Patients have not been initiated on Prep. This needs explanation</t>
  </si>
  <si>
    <t>Some GBV Cases have not been started on Pep Service</t>
  </si>
  <si>
    <t>KP1-00&gt;KP2-01</t>
  </si>
  <si>
    <t>KP4-01+KP4-02&gt;KP4-03</t>
  </si>
  <si>
    <t>Early Warning Service Gaps</t>
  </si>
  <si>
    <t>Data Errors Validaton Checks</t>
  </si>
  <si>
    <t>KP8-01&lt;KP5-38+KP5-40</t>
  </si>
  <si>
    <t xml:space="preserve"> Started on ART Is less than  Total HTS Positive By modality</t>
  </si>
  <si>
    <t>KP9-01&gt;KP11-01</t>
  </si>
  <si>
    <t xml:space="preserve">Patients who are current on ART do have a VL Done </t>
  </si>
  <si>
    <t>(KP11-01-KP11-14)/100&lt;95%</t>
  </si>
  <si>
    <t>VL suppression is below 95% Please provide an explanation</t>
  </si>
  <si>
    <t>VL Done FSW Targeted is more than VL Done Routine</t>
  </si>
  <si>
    <t>VL Done MSM Targeted is more than VL Done Routine</t>
  </si>
  <si>
    <t>VL Done People in prison &amp; other closed settings Targeted is more than VL Done Routine</t>
  </si>
  <si>
    <t>VL Done PWID Targeted is more than VL Done Routine</t>
  </si>
  <si>
    <t>VL Done Transgender People Targeted is more than VL Done Routine</t>
  </si>
  <si>
    <t>KP11-09&gt;KP11-03</t>
  </si>
  <si>
    <t>KP11-10&gt;KP11-04</t>
  </si>
  <si>
    <t>KP11-11&gt;KP11-05</t>
  </si>
  <si>
    <t>KP11-12&gt;KP11-06</t>
  </si>
  <si>
    <t>KP11-13&gt;KP11-07</t>
  </si>
  <si>
    <t>Data Validation Checks In the tool</t>
  </si>
  <si>
    <t>#</t>
  </si>
  <si>
    <t>PWID by Status</t>
  </si>
  <si>
    <t>MSM by Status</t>
  </si>
  <si>
    <t>FSW by Status</t>
  </si>
  <si>
    <t>People in prison &amp; other closed settings by status</t>
  </si>
  <si>
    <t>Transgender People by Status</t>
  </si>
  <si>
    <t>KP_PREV Numerator</t>
  </si>
  <si>
    <t>KP1-06+KP1-07+KP1-08 &gt; KP1-01</t>
  </si>
  <si>
    <t>KP1-09+KP1-10+KP1-11&gt;KP1-02</t>
  </si>
  <si>
    <t>KP1-12+KP1-13+KP1-14&gt;KP1-03</t>
  </si>
  <si>
    <t>KP1-15+KP1-16+KP1-17&gt;KP1-04</t>
  </si>
  <si>
    <t>KP1-18+KP1-19+KP1-20&gt;KP1-05</t>
  </si>
  <si>
    <t>KP_Prev PWID By status Is more than KP_Prev by KP Type</t>
  </si>
  <si>
    <t>KP_Prev MSM By status Is more than KP_Prev by KP Type</t>
  </si>
  <si>
    <t>KP_Prev Transgender People By status Is more than KP_Prev by KP Type</t>
  </si>
  <si>
    <t>KP_Prev FSW By status Is more than KP_Prev by KP Type</t>
  </si>
  <si>
    <t>KP_Prev People in Prison By status Is more than KP_Prev by KP Type</t>
  </si>
  <si>
    <r>
      <t>Total Eligible For HTS Testing in OPD</t>
    </r>
    <r>
      <rPr>
        <b/>
        <sz val="24"/>
        <color theme="9" tint="0.59999389629810485"/>
        <rFont val="Calibri"/>
        <family val="2"/>
        <scheme val="minor"/>
      </rPr>
      <t xml:space="preserve"> IPD and MCH</t>
    </r>
  </si>
  <si>
    <r>
      <t xml:space="preserve">1.0 KP_PREV : </t>
    </r>
    <r>
      <rPr>
        <b/>
        <sz val="22"/>
        <color theme="4"/>
        <rFont val="Calibri"/>
        <family val="2"/>
        <scheme val="minor"/>
      </rPr>
      <t>Number of key populations reached with individual and/or small group-level HIV prevention interventions designed for the target population.</t>
    </r>
  </si>
  <si>
    <r>
      <t xml:space="preserve">3.0 Prep Curr : </t>
    </r>
    <r>
      <rPr>
        <b/>
        <sz val="24"/>
        <color theme="4"/>
        <rFont val="Calibri"/>
        <family val="2"/>
        <scheme val="minor"/>
      </rPr>
      <t>Number of individuals, including those newly enrolled, receiving oral PrEP during the reporting period</t>
    </r>
  </si>
  <si>
    <r>
      <t xml:space="preserve">4.0 GEND_GBV : </t>
    </r>
    <r>
      <rPr>
        <b/>
        <sz val="24"/>
        <color theme="4"/>
        <rFont val="Calibri"/>
        <family val="2"/>
        <scheme val="minor"/>
      </rPr>
      <t>Number of people receiving post-GBV care based on the minimum package</t>
    </r>
  </si>
  <si>
    <r>
      <t xml:space="preserve">Total Tests &amp; Test Results by </t>
    </r>
    <r>
      <rPr>
        <b/>
        <sz val="24"/>
        <color theme="1"/>
        <rFont val="Calibri"/>
        <family val="2"/>
        <scheme val="minor"/>
      </rPr>
      <t>KP Type</t>
    </r>
  </si>
  <si>
    <r>
      <t xml:space="preserve">Total Tests &amp; Test Results by </t>
    </r>
    <r>
      <rPr>
        <b/>
        <sz val="24"/>
        <color theme="1"/>
        <rFont val="Calibri"/>
        <family val="2"/>
        <scheme val="minor"/>
      </rPr>
      <t>Modality</t>
    </r>
  </si>
  <si>
    <r>
      <t>8.0 Starting ART :</t>
    </r>
    <r>
      <rPr>
        <b/>
        <sz val="24"/>
        <color theme="4"/>
        <rFont val="Calibri"/>
        <family val="2"/>
        <scheme val="minor"/>
      </rPr>
      <t xml:space="preserve"> Number of adults and children newly enrolled on antiretroviral therapy (ART)</t>
    </r>
  </si>
  <si>
    <r>
      <t>9.0 Current on ART :</t>
    </r>
    <r>
      <rPr>
        <b/>
        <sz val="24"/>
        <color theme="4"/>
        <rFont val="Calibri"/>
        <family val="2"/>
        <scheme val="minor"/>
      </rPr>
      <t xml:space="preserve"> Number of adults and children newly enrolled on antiretroviral therapy (ART)</t>
    </r>
  </si>
  <si>
    <r>
      <t xml:space="preserve">10.0 TX_RTT: </t>
    </r>
    <r>
      <rPr>
        <b/>
        <sz val="24"/>
        <color theme="4"/>
        <rFont val="Calibri"/>
        <family val="2"/>
        <scheme val="minor"/>
      </rPr>
      <t>Number of ART patients who experienced an interruption in treatment (IIT) during any previous reporting period, who successfully restarted ARVs within the reporting period and remained on treatment until the end of the reporting period</t>
    </r>
  </si>
  <si>
    <r>
      <t xml:space="preserve">11.0 TX_PVLS: </t>
    </r>
    <r>
      <rPr>
        <b/>
        <sz val="24"/>
        <color theme="4"/>
        <rFont val="Calibri"/>
        <family val="2"/>
        <scheme val="minor"/>
      </rPr>
      <t>Number of adults and pediatric ART patients with a viral load result documented in the medical records and/or supporting laboratory results within the past 12 months</t>
    </r>
  </si>
  <si>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</si>
  <si>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 xml:space="preserve">3.1 Prep CT : </t>
    </r>
    <r>
      <rPr>
        <b/>
        <sz val="24"/>
        <color theme="4"/>
        <rFont val="Calibri"/>
        <family val="2"/>
        <scheme val="minor"/>
      </rPr>
      <t xml:space="preserve">Clients that return for a followup visit or re-initiation to receive Prep during the quarter ( excluding those newly enrolled on prep within the quarter )
</t>
    </r>
    <r>
      <rPr>
        <b/>
        <sz val="24"/>
        <color rgb="FFFF0000"/>
        <rFont val="Calibri"/>
        <family val="2"/>
        <scheme val="minor"/>
      </rPr>
      <t>Note: a client cannot be reported on both prep_new and prep_ct within the same quarter</t>
    </r>
  </si>
  <si>
    <t>Prep CT</t>
  </si>
  <si>
    <t>Prep CT Total</t>
  </si>
  <si>
    <t>KP16-08</t>
  </si>
  <si>
    <t>KP16-09</t>
  </si>
  <si>
    <t>KP16-10</t>
  </si>
  <si>
    <t>KP16-11</t>
  </si>
  <si>
    <t>KP16-12</t>
  </si>
  <si>
    <t>KP16-13</t>
  </si>
  <si>
    <t>PREP_CT FSW</t>
  </si>
  <si>
    <t>PREP_CT MSM</t>
  </si>
  <si>
    <t>PREP_CT People in prison and other closed settings</t>
  </si>
  <si>
    <t>PREP_CT PWID</t>
  </si>
  <si>
    <t>PREP_CT TG</t>
  </si>
  <si>
    <t>PREP_CT Tested FSW</t>
  </si>
  <si>
    <t>PREP_CT Positive FSW</t>
  </si>
  <si>
    <t>PREP_CT Tested MSM</t>
  </si>
  <si>
    <t>PREP_CT Tested People in prison and other closed settings</t>
  </si>
  <si>
    <t>PREP_CT Positive People in prison and other closed settings</t>
  </si>
  <si>
    <t>KP16-091</t>
  </si>
  <si>
    <t>KP16-092</t>
  </si>
  <si>
    <t>KP16-101</t>
  </si>
  <si>
    <t>KP16-102</t>
  </si>
  <si>
    <t>PREP_CT Positive MSM</t>
  </si>
  <si>
    <t>KP16-111</t>
  </si>
  <si>
    <t>KP16-112</t>
  </si>
  <si>
    <t>KP16-121</t>
  </si>
  <si>
    <t>KP16-122</t>
  </si>
  <si>
    <t>PREP_CT Tested PWID</t>
  </si>
  <si>
    <t>PREP_CT Positive PWID</t>
  </si>
  <si>
    <t>PREP_CT Positive TG</t>
  </si>
  <si>
    <t>PREP_CT Tested TG</t>
  </si>
  <si>
    <t>KP16-131</t>
  </si>
  <si>
    <t>KP16-132</t>
  </si>
  <si>
    <t>HTS_TST (Community) - SNS Modality</t>
  </si>
  <si>
    <t>KP5-321</t>
  </si>
  <si>
    <t>KP5-322</t>
  </si>
  <si>
    <t>KP5-323</t>
  </si>
  <si>
    <t>KP5-324</t>
  </si>
  <si>
    <t>TX_ML</t>
  </si>
  <si>
    <t>TX_ML FSW</t>
  </si>
  <si>
    <t>TX_ML MSM</t>
  </si>
  <si>
    <t>Died</t>
  </si>
  <si>
    <t>On treatment for &lt;3 months when experienced IIT</t>
  </si>
  <si>
    <t>On treatment for 3-5 months when experienced IIT</t>
  </si>
  <si>
    <t>On treatment for 6+ months when experienced IIT</t>
  </si>
  <si>
    <t>Transferred Out</t>
  </si>
  <si>
    <t>Refused (Stopped) Treatment</t>
  </si>
  <si>
    <t>KP17-00</t>
  </si>
  <si>
    <t>KP17-01</t>
  </si>
  <si>
    <t>KP17-02</t>
  </si>
  <si>
    <t>KP17-03</t>
  </si>
  <si>
    <t>KP17-04</t>
  </si>
  <si>
    <t>KP17-05</t>
  </si>
  <si>
    <t>KP17-06</t>
  </si>
  <si>
    <t>KP17-07</t>
  </si>
  <si>
    <t>KP17-08</t>
  </si>
  <si>
    <t>KP17-09</t>
  </si>
  <si>
    <t>KP17-10</t>
  </si>
  <si>
    <t>KP17-11</t>
  </si>
  <si>
    <t>KP17-12</t>
  </si>
  <si>
    <t>Number of FSW excluding those newly enrolled, that return for a follow-up visit or re-initiation visit to receive pre-exposure prophylaxis (PrEP) to prevent HIV during the reporting period</t>
  </si>
  <si>
    <t xml:space="preserve">PREP DAR (column v - kk) </t>
  </si>
  <si>
    <t xml:space="preserve">Number of FSW excluding those newly enrolled,  that return for a follow-up visit or re-initiation visit to receive pre-exposure prophylaxis (PrEP) to prevent HIV during the reporting period who were tested </t>
  </si>
  <si>
    <t>PREP Cohort Register Column (o, y)</t>
  </si>
  <si>
    <t>Number of FSW excluding those newly enrolled,  that return for a follow-up visit or re-initiation visit to receive pre-exposure prophylaxis (PrEP) to prevent HIV during the reporting period who were tested and turned positive</t>
  </si>
  <si>
    <t>PREP Register (Column (dd - jj)</t>
  </si>
  <si>
    <t>Number of MSM excluding those newly enrolled, that return for a follow-up visit or re-initiation visit to receive pre-exposure prophylaxis (PrEP) to prevent HIV during the reporting period</t>
  </si>
  <si>
    <t xml:space="preserve">Number of MSM excluding those newly enrolled,  that return for a follow-up visit or re-initiation visit to receive pre-exposure prophylaxis (PrEP) to prevent HIV during the reporting period who were tested </t>
  </si>
  <si>
    <t>Number of MSM excluding those newly enrolled,  that return for a follow-up visit or re-initiation visit to receive pre-exposure prophylaxis (PrEP) to prevent HIV during the reporting period who were tested and turned positive</t>
  </si>
  <si>
    <t>Number of People in prison &amp; other closed settings excluding those newly enrolled, that return for a follow-up visit or re-initiation visit to receive pre-exposure prophylaxis (PrEP) to prevent HIV during the reporting period</t>
  </si>
  <si>
    <t xml:space="preserve">Number of People in prison &amp; other closed settings excluding those newly enrolled,  that return for a follow-up visit or re-initiation visit to receive pre-exposure prophylaxis (PrEP) to prevent HIV during the reporting period who were tested </t>
  </si>
  <si>
    <t>Number of People in prison &amp; other closed settings  excluding those newly enrolled,  that return for a follow-up visit or re-initiation visit to receive pre-exposure prophylaxis (PrEP) to prevent HIV during the reporting period who were tested and turned positive</t>
  </si>
  <si>
    <t>Number of PWID excluding those newly enrolled, that return for a follow-up visit or re-initiation visit to receive pre-exposure prophylaxis (PrEP) to prevent HIV during the reporting period</t>
  </si>
  <si>
    <t xml:space="preserve">Number of PWID newly enrolled,  that return for a follow-up visit or re-initiation visit to receive pre-exposure prophylaxis (PrEP) to prevent HIV during the reporting period who were tested </t>
  </si>
  <si>
    <t>Number of PWID excluding those newly enrolled,  that return for a follow-up visit or re-initiation visit to receive pre-exposure prophylaxis (PrEP) to prevent HIV during the reporting period who were tested and turned positive</t>
  </si>
  <si>
    <t>Number of TG excluding those newly enrolled, that return for a follow-up visit or re-initiation visit to receive pre-exposure prophylaxis (PrEP) to prevent HIV during the reporting period</t>
  </si>
  <si>
    <t xml:space="preserve">Number of TG newly enrolled,  that return for a follow-up visit or re-initiation visit to receive pre-exposure prophylaxis (PrEP) to prevent HIV during the reporting period who were tested </t>
  </si>
  <si>
    <t>Number of TG excluding those newly enrolled,  that return for a follow-up visit or re-initiation visit to receive pre-exposure prophylaxis (PrEP) to prevent HIV during the reporting period who were tested and turned positive</t>
  </si>
  <si>
    <t>This is a count of New SNS clients who received an intital HIV test within the reporting period</t>
  </si>
  <si>
    <t>Check ba and indicate if initial test from (SNS register column (be)</t>
  </si>
  <si>
    <t xml:space="preserve">This is a count of New clients who tested HIV positive from social network testing Modality.  </t>
  </si>
  <si>
    <t>This is a count of SNS clients who received repeat HIV test within the reporting period</t>
  </si>
  <si>
    <t xml:space="preserve">This is a count of HIV repeat test that turned HIV positive from social network testing Modality within the reporting period.  </t>
  </si>
  <si>
    <t xml:space="preserve">Defaulter Tracing Register/EMR/Patient File/ Appointment Diary </t>
  </si>
  <si>
    <t xml:space="preserve">Defaulter Tracing Register/EMR/Patient File/ ppointment Diary </t>
  </si>
  <si>
    <t xml:space="preserve">Defaulter Tracing Register/EMR/Patient File /ppointment Diary </t>
  </si>
  <si>
    <t xml:space="preserve">Defaulter Tracing Register/EMR/Patient File ppointment Diary </t>
  </si>
  <si>
    <t>KP16-21</t>
  </si>
  <si>
    <t>KP16-22</t>
  </si>
  <si>
    <t>KP16-23</t>
  </si>
  <si>
    <t>KP16-24</t>
  </si>
  <si>
    <t>KP16-25</t>
  </si>
  <si>
    <t>Prep_1_Month FSW</t>
  </si>
  <si>
    <t>Prep_1_Month MSM</t>
  </si>
  <si>
    <t>Prep_1_Month People in prison and other closed settings</t>
  </si>
  <si>
    <t>Prep_1_Month PWID</t>
  </si>
  <si>
    <t>Prep_1_Month TG</t>
  </si>
  <si>
    <t>Prep_1_MONTH</t>
  </si>
  <si>
    <t>KP16-26</t>
  </si>
  <si>
    <t>KP16-27</t>
  </si>
  <si>
    <t>KP16-28</t>
  </si>
  <si>
    <t>KP16-29</t>
  </si>
  <si>
    <t>PrEP_OFFER</t>
  </si>
  <si>
    <t>Prep_OFFER MSM</t>
  </si>
  <si>
    <t>Prep_OFFER People in prison and other closed settings</t>
  </si>
  <si>
    <t>Prep_OFFER PWID</t>
  </si>
  <si>
    <t>Prep_OFFER TG</t>
  </si>
  <si>
    <t>Prep_OFFER FSW</t>
  </si>
  <si>
    <t>KP16-40</t>
  </si>
  <si>
    <t>KP16-41</t>
  </si>
  <si>
    <t>KP16-42</t>
  </si>
  <si>
    <t>KP16-43</t>
  </si>
  <si>
    <t>KP16-44</t>
  </si>
  <si>
    <t>KP16-45</t>
  </si>
  <si>
    <t>KP16-46</t>
  </si>
  <si>
    <t>KP16-47</t>
  </si>
  <si>
    <t>KP16-48</t>
  </si>
  <si>
    <t>KP16-50</t>
  </si>
  <si>
    <t>KP16-51</t>
  </si>
  <si>
    <t>KP16-52</t>
  </si>
  <si>
    <t>KP16-53</t>
  </si>
  <si>
    <t>KP16-54</t>
  </si>
  <si>
    <t>KP16-55</t>
  </si>
  <si>
    <t>KP16-56</t>
  </si>
  <si>
    <t>KP16-57</t>
  </si>
  <si>
    <t>KP16-58</t>
  </si>
  <si>
    <t>PrEP_NEW_VERIFY</t>
  </si>
  <si>
    <t>PrEP_NEW_VERIFY FSW</t>
  </si>
  <si>
    <t>PrEP_NEW_VERIFY MSM</t>
  </si>
  <si>
    <t>PrEP_NEW_VERIFY People in prison and other closed settings</t>
  </si>
  <si>
    <t>PrEP_NEW_VERIFY PWID</t>
  </si>
  <si>
    <t>PrEP_NEW_VERIFY TG</t>
  </si>
  <si>
    <t>Prep_CT_VERIFY</t>
  </si>
  <si>
    <t>Prep_CT_VERIFY FSW</t>
  </si>
  <si>
    <t>Prep_CT_VERIFY MSM</t>
  </si>
  <si>
    <t>Prep_CT_VERIFY People in prison and other closed settings</t>
  </si>
  <si>
    <t>Prep_CT_VERIFY PWID</t>
  </si>
  <si>
    <t>Prep_CT_VERIFY TG</t>
  </si>
  <si>
    <t>Prep_CT_VERIFY MSM Breastfeeding</t>
  </si>
  <si>
    <t>Prep_CT_VERIFY MSM Pregnant</t>
  </si>
  <si>
    <r>
      <t xml:space="preserve">1.0 KP_PREV : </t>
    </r>
    <r>
      <rPr>
        <b/>
        <sz val="20"/>
        <color theme="4"/>
        <rFont val="Browallia New"/>
        <family val="2"/>
      </rPr>
      <t>Number of key populations reached with individual and/or small group-level HIV prevention interventions designed for the target population.</t>
    </r>
  </si>
  <si>
    <r>
      <t xml:space="preserve">3.0 Prep Curr : </t>
    </r>
    <r>
      <rPr>
        <b/>
        <sz val="20"/>
        <color theme="4"/>
        <rFont val="Browallia New"/>
        <family val="2"/>
      </rPr>
      <t>Number of individuals, including those newly enrolled, receiving oral PrEP during the reporting period</t>
    </r>
  </si>
  <si>
    <r>
      <t xml:space="preserve">3.1 Prep CT : </t>
    </r>
    <r>
      <rPr>
        <b/>
        <sz val="20"/>
        <color theme="4"/>
        <rFont val="Calibri"/>
        <family val="2"/>
        <scheme val="minor"/>
      </rPr>
      <t xml:space="preserve">Clients that return for a followup visit or re-initiation to receive Prep during the quarter ( excluding those newly enrolled on prep within the quarter )
</t>
    </r>
    <r>
      <rPr>
        <b/>
        <sz val="20"/>
        <color rgb="FFFF0000"/>
        <rFont val="Calibri"/>
        <family val="2"/>
        <scheme val="minor"/>
      </rPr>
      <t>Note: a client cannot be reported on both prep_new and prep_ct within the same quarter</t>
    </r>
  </si>
  <si>
    <r>
      <t xml:space="preserve">4.0 GEND_GBV : </t>
    </r>
    <r>
      <rPr>
        <b/>
        <sz val="20"/>
        <color theme="4"/>
        <rFont val="Browallia New"/>
        <family val="2"/>
      </rPr>
      <t>Number of people receiving post-GBV care based on the minimum package</t>
    </r>
  </si>
  <si>
    <t>PrEP_SCREENED</t>
  </si>
  <si>
    <t>Prep_SCREENED FSW</t>
  </si>
  <si>
    <t>Prep_SCREENED MSM</t>
  </si>
  <si>
    <t>Prep_SCREENED People in prison and other closed settings</t>
  </si>
  <si>
    <t>Prep_SCREENED PWID</t>
  </si>
  <si>
    <t>Prep_SCREENED TG</t>
  </si>
  <si>
    <r>
      <t xml:space="preserve">4.1 GEND_LINK_COMM : </t>
    </r>
    <r>
      <rPr>
        <b/>
        <sz val="24"/>
        <color theme="4"/>
        <rFont val="Calibri"/>
        <family val="2"/>
        <scheme val="minor"/>
      </rPr>
      <t>Percentage of  individuals who were provided with or referred to post-violence services among those who disclosed experience of violence within community settings</t>
    </r>
  </si>
  <si>
    <t>KP4-11</t>
  </si>
  <si>
    <t>KP4-12</t>
  </si>
  <si>
    <t>KP4-13</t>
  </si>
  <si>
    <t>Physical and/or Emotional Violence</t>
  </si>
  <si>
    <t xml:space="preserve">
Relative/family member
</t>
  </si>
  <si>
    <t xml:space="preserve">
Police
</t>
  </si>
  <si>
    <t xml:space="preserve">
Non-disclosed/unknown
</t>
  </si>
  <si>
    <t xml:space="preserve">
Neighbor
</t>
  </si>
  <si>
    <t xml:space="preserve">
Intimate partner
</t>
  </si>
  <si>
    <t xml:space="preserve">
Client of sex worker
</t>
  </si>
  <si>
    <t xml:space="preserve">
Other
</t>
  </si>
  <si>
    <t>KP4-14</t>
  </si>
  <si>
    <t>KP4-15</t>
  </si>
  <si>
    <t>KP4-16</t>
  </si>
  <si>
    <t>KP4-17</t>
  </si>
  <si>
    <t>KP4-18</t>
  </si>
  <si>
    <t>KP4-19</t>
  </si>
  <si>
    <t>Denominator</t>
  </si>
  <si>
    <t>Numerator</t>
  </si>
  <si>
    <t>KP20-01</t>
  </si>
  <si>
    <t>KP20-02</t>
  </si>
  <si>
    <t>KP20-03</t>
  </si>
  <si>
    <t>KP20-04</t>
  </si>
  <si>
    <t>KP20-05</t>
  </si>
  <si>
    <t>KP20-06</t>
  </si>
  <si>
    <t>KP20-07</t>
  </si>
  <si>
    <t>KP20-08</t>
  </si>
  <si>
    <t>KP20-09</t>
  </si>
  <si>
    <t>KP20-10</t>
  </si>
  <si>
    <t>KP20-11</t>
  </si>
  <si>
    <t>KP20-12</t>
  </si>
  <si>
    <t>KP20-13</t>
  </si>
  <si>
    <t>KP20-14</t>
  </si>
  <si>
    <t>KP20-15</t>
  </si>
  <si>
    <t>KP20-16</t>
  </si>
  <si>
    <t>KP20-17</t>
  </si>
  <si>
    <t>KP20-18</t>
  </si>
  <si>
    <t>KP4-20</t>
  </si>
  <si>
    <t>KP4-21</t>
  </si>
  <si>
    <t>KP4-22</t>
  </si>
  <si>
    <t>KP4-23</t>
  </si>
  <si>
    <t>KP4-24</t>
  </si>
  <si>
    <t>KP4-25</t>
  </si>
  <si>
    <t>KP4-26</t>
  </si>
  <si>
    <t>KP4-27</t>
  </si>
  <si>
    <t>KP4-28</t>
  </si>
  <si>
    <r>
      <t xml:space="preserve">4.10 GEND_LINK_COMM Denominator:  </t>
    </r>
    <r>
      <rPr>
        <b/>
        <sz val="24"/>
        <color theme="4"/>
        <rFont val="Calibri"/>
        <family val="2"/>
        <scheme val="minor"/>
      </rPr>
      <t>Number of individuals who disclosed to program staff or outreach workers outside of clinical facilities that they experienced violence from any type of perpetrator</t>
    </r>
  </si>
  <si>
    <r>
      <t xml:space="preserve">4.20 GEND_LINK_COMM Numerator:  </t>
    </r>
    <r>
      <rPr>
        <b/>
        <sz val="24"/>
        <color theme="4"/>
        <rFont val="Calibri"/>
        <family val="2"/>
        <scheme val="minor"/>
      </rPr>
      <t>Number of individuals who disclosed to program staff or outreach workers outside of clinical facilities that they experienced violence from any type of perpetrator and were referred for or provided clinical or non-clinical post-violence care</t>
    </r>
  </si>
  <si>
    <t>Prep_OFFER Non-KP (general population)</t>
  </si>
  <si>
    <t>Prep_OFFER Non-KP (seronegative persons in serodifferent partnerships)</t>
  </si>
  <si>
    <t>Prep_OFFER Breastfeeding</t>
  </si>
  <si>
    <t>Prep_OFFER Pregnant</t>
  </si>
  <si>
    <t>Prep_1_Month Non-KP (general population)</t>
  </si>
  <si>
    <t>Prep_1_Month Non-KP (seronegative persons in serodifferent partnerships)</t>
  </si>
  <si>
    <t>Prep_1_Month Breastfeeding</t>
  </si>
  <si>
    <t>Prep_1_Month Pregnant</t>
  </si>
  <si>
    <t>Prep_CT_VERIFY Non-KP (general population)</t>
  </si>
  <si>
    <t>Prep_CT_VERIFY Non-KP (seronegative persons in serodifferent partnerships)</t>
  </si>
  <si>
    <t>PrEP_NEW_VERIFY Non-KP (general population)</t>
  </si>
  <si>
    <t>PrEP_NEW_VERIFY Non-KP (seronegative persons in serodifferent partnerships)</t>
  </si>
  <si>
    <t>PrEP_NEW_VERIFY Breastfeeding</t>
  </si>
  <si>
    <t>PrEP_NEW_VERIFY Pregnant</t>
  </si>
  <si>
    <t>Prep_SCREENED Non-KP (general population)</t>
  </si>
  <si>
    <t>Prep_SCREENED Non-KP (seronegative persons in serodifferent partnerships)</t>
  </si>
  <si>
    <t>Prep_SCREENED Breastfeeding</t>
  </si>
  <si>
    <t>Prep_SCREENED Pregnant</t>
  </si>
  <si>
    <r>
      <t>2.10 Prep</t>
    </r>
    <r>
      <rPr>
        <b/>
        <sz val="20"/>
        <color theme="4"/>
        <rFont val="Calibri"/>
        <family val="2"/>
        <scheme val="minor"/>
      </rPr>
      <t xml:space="preserve"> New: Number of individuals who have been newly enrolled on oral antiretroviral pre-exposure prophylaxis (PrEP) in the reporting period to prevent HIV infection</t>
    </r>
  </si>
  <si>
    <r>
      <t xml:space="preserve">2.01 PrEP_OFFER: </t>
    </r>
    <r>
      <rPr>
        <b/>
        <sz val="24"/>
        <color theme="4"/>
        <rFont val="Calibri"/>
        <family val="2"/>
        <scheme val="minor"/>
      </rPr>
      <t xml:space="preserve">Number of individuals who have tested negative for HIV, received supportive HIV prevention counseling, and been offered PrEP during the reporting period
</t>
    </r>
  </si>
  <si>
    <r>
      <t>2.10 Prep</t>
    </r>
    <r>
      <rPr>
        <b/>
        <sz val="24"/>
        <color theme="4"/>
        <rFont val="Calibri"/>
        <family val="2"/>
        <scheme val="minor"/>
      </rPr>
      <t xml:space="preserve"> </t>
    </r>
    <r>
      <rPr>
        <b/>
        <sz val="24"/>
        <color rgb="FFFF0000"/>
        <rFont val="Calibri"/>
        <family val="2"/>
        <scheme val="minor"/>
      </rPr>
      <t>New</t>
    </r>
    <r>
      <rPr>
        <b/>
        <sz val="24"/>
        <color theme="4"/>
        <rFont val="Calibri"/>
        <family val="2"/>
        <scheme val="minor"/>
      </rPr>
      <t>: Number of individuals who have been newly enrolled on oral antiretroviral pre-exposure prophylaxis (PrEP) in the reporting period to prevent HIV infection</t>
    </r>
  </si>
  <si>
    <r>
      <t xml:space="preserve">2.20 Prep_1_MONTH : </t>
    </r>
    <r>
      <rPr>
        <b/>
        <sz val="24"/>
        <color theme="4"/>
        <rFont val="Calibri"/>
        <family val="2"/>
        <scheme val="minor"/>
      </rPr>
      <t xml:space="preserve">Number of pre-exposure prophylaxis (PrEP) clients who returned on-time* for their one-month follow-up visit after initiating PrEP
</t>
    </r>
  </si>
  <si>
    <r>
      <t>8.0 Starting ART :</t>
    </r>
    <r>
      <rPr>
        <b/>
        <sz val="18"/>
        <color theme="4"/>
        <rFont val="Browallia New"/>
        <family val="2"/>
      </rPr>
      <t xml:space="preserve"> Number of adults and children newly enrolled on antiretroviral therapy (ART)</t>
    </r>
  </si>
  <si>
    <r>
      <t>9.0 Current on ART :</t>
    </r>
    <r>
      <rPr>
        <b/>
        <sz val="18"/>
        <color theme="4"/>
        <rFont val="Browallia New"/>
        <family val="2"/>
      </rPr>
      <t xml:space="preserve"> Number of adults and children newly enrolled on antiretroviral therapy (ART)</t>
    </r>
  </si>
  <si>
    <r>
      <t xml:space="preserve">10.0 TX_RTT: </t>
    </r>
    <r>
      <rPr>
        <b/>
        <sz val="18"/>
        <color theme="4"/>
        <rFont val="Browallia New"/>
        <family val="2"/>
      </rPr>
      <t>Number of ART patients who experienced an interruption in treatment (IIT) during any previous reporting period, who successfully restarted ARVs within the reporting period and remained on treatment until the end of the reporting period</t>
    </r>
  </si>
  <si>
    <r>
      <t xml:space="preserve">11.0 TX_PVLS: </t>
    </r>
    <r>
      <rPr>
        <b/>
        <sz val="18"/>
        <color theme="4"/>
        <rFont val="Browallia New"/>
        <family val="2"/>
      </rPr>
      <t>Number of adults and pediatric ART patients with a viral load result documented in the medical records and/or supporting laboratory results within the past 12 months</t>
    </r>
  </si>
  <si>
    <r>
      <t>Total Number of ART patients (KPs) with suppressed VL results (&lt;</t>
    </r>
    <r>
      <rPr>
        <sz val="18"/>
        <color rgb="FFFF0000"/>
        <rFont val="Browallia New"/>
        <family val="2"/>
      </rPr>
      <t>1,000</t>
    </r>
    <r>
      <rPr>
        <sz val="18"/>
        <color theme="1"/>
        <rFont val="Browallia New"/>
        <family val="2"/>
      </rPr>
      <t xml:space="preserve"> copies/ml) documented in the medical or laboratory records/LIS within the past 12 months</t>
    </r>
  </si>
  <si>
    <r>
      <t xml:space="preserve">4.10 GEND_LINK_COMM Denominator:  </t>
    </r>
    <r>
      <rPr>
        <b/>
        <sz val="18"/>
        <color theme="4"/>
        <rFont val="Calibri"/>
        <family val="2"/>
        <scheme val="minor"/>
      </rPr>
      <t>Number of individuals who disclosed to program staff or outreach workers outside of clinical facilities that they experienced violence from any type of perpetrator</t>
    </r>
  </si>
  <si>
    <r>
      <t xml:space="preserve">4.20 GEND_LINK_COMM Numerator:  </t>
    </r>
    <r>
      <rPr>
        <b/>
        <sz val="18"/>
        <color theme="4"/>
        <rFont val="Calibri"/>
        <family val="2"/>
        <scheme val="minor"/>
      </rPr>
      <t>Number of individuals who disclosed to program staff or outreach workers outside of clinical facilities that they experienced violence from any type of perpetrator and were referred for or provided clinical or non-clinical post-violence care</t>
    </r>
  </si>
  <si>
    <t>Prep_CT_VERIFY Breastfeeding</t>
  </si>
  <si>
    <t>Prep_CT_VERIFY Pregnant</t>
  </si>
  <si>
    <r>
      <t xml:space="preserve">3.4 Prep_NEW_VERIFY : </t>
    </r>
    <r>
      <rPr>
        <b/>
        <sz val="24"/>
        <color theme="4"/>
        <rFont val="Calibri"/>
        <family val="2"/>
        <scheme val="minor"/>
      </rPr>
      <t xml:space="preserve">Number of individuals successfully referred for and confirmed to be newly initiated on pre-exposure prophylaxis (PrEP) at a facility or community site during the reporting period
</t>
    </r>
  </si>
  <si>
    <r>
      <t>2.00 PrEP_SCREENED:</t>
    </r>
    <r>
      <rPr>
        <b/>
        <sz val="24"/>
        <color theme="4"/>
        <rFont val="Calibri"/>
        <family val="2"/>
        <scheme val="minor"/>
      </rPr>
      <t xml:space="preserve"> Number of Individuals who were screened for PrEP eligibility during the reporting period
</t>
    </r>
  </si>
  <si>
    <r>
      <t xml:space="preserve">5.0 Testing HTS-TST: </t>
    </r>
    <r>
      <rPr>
        <b/>
        <sz val="24"/>
        <color theme="4"/>
        <rFont val="Calibri"/>
        <family val="2"/>
        <scheme val="minor"/>
      </rPr>
      <t>Number of individuals who received HIV Testing Services (HTS) and received their test results</t>
    </r>
  </si>
  <si>
    <r>
      <t>6.0 HTS_TST (Community) - Index Testing Modality:</t>
    </r>
    <r>
      <rPr>
        <b/>
        <sz val="24"/>
        <color theme="4"/>
        <rFont val="Calibri"/>
        <family val="2"/>
        <scheme val="minor"/>
      </rPr>
      <t xml:space="preserve"> Number of individuals who were identified and tested using Index testing services and received their results</t>
    </r>
  </si>
  <si>
    <r>
      <t>7.0 HTS_SELF:</t>
    </r>
    <r>
      <rPr>
        <b/>
        <sz val="24"/>
        <color theme="4"/>
        <rFont val="Calibri"/>
        <family val="2"/>
        <scheme val="minor"/>
      </rPr>
      <t xml:space="preserve"> Number of individual HIV self-test kits distributed</t>
    </r>
    <r>
      <rPr>
        <b/>
        <sz val="24"/>
        <color rgb="FFFF0000"/>
        <rFont val="Calibri"/>
        <family val="2"/>
        <scheme val="minor"/>
      </rPr>
      <t xml:space="preserve">
</t>
    </r>
  </si>
  <si>
    <r>
      <t xml:space="preserve">17.0 TX_ML: </t>
    </r>
    <r>
      <rPr>
        <b/>
        <sz val="24"/>
        <color theme="4"/>
        <rFont val="Calibri"/>
        <family val="2"/>
        <scheme val="minor"/>
      </rPr>
      <t>Number of ART patients (who were on ART at the beginning of the quarterly reporting period or initiated treatment during the reporting period) and then had no clinical contact since their last expected contact</t>
    </r>
    <r>
      <rPr>
        <b/>
        <sz val="24"/>
        <color rgb="FFFF0000"/>
        <rFont val="Calibri"/>
        <family val="2"/>
        <scheme val="minor"/>
      </rPr>
      <t xml:space="preserve">
</t>
    </r>
  </si>
  <si>
    <r>
      <t xml:space="preserve">12.0 TX_CURR_VERIFY: </t>
    </r>
    <r>
      <rPr>
        <b/>
        <sz val="24"/>
        <color theme="4"/>
        <rFont val="Calibri"/>
        <family val="2"/>
        <scheme val="minor"/>
      </rPr>
      <t>Number of HIV-positive KP clients that have been reached by KP programs and are verified as currently enrolled on ART at the end of the reporting period</t>
    </r>
  </si>
  <si>
    <r>
      <t xml:space="preserve">13.0 TX_NEW_VERIFY: </t>
    </r>
    <r>
      <rPr>
        <b/>
        <sz val="24"/>
        <color theme="4"/>
        <rFont val="Calibri"/>
        <family val="2"/>
        <scheme val="minor"/>
      </rPr>
      <t>Number of HIV-positive KPs verified as newly enrolled on antiretroviral therapy (ART)</t>
    </r>
  </si>
  <si>
    <r>
      <t xml:space="preserve">14.0 TX_PVLS_VERIFY ( Denominator): </t>
    </r>
    <r>
      <rPr>
        <b/>
        <sz val="24"/>
        <color theme="4"/>
        <rFont val="Calibri"/>
        <family val="2"/>
        <scheme val="minor"/>
      </rPr>
      <t>Number of KP ART patients reached by KP programs and are confirmed as having a VL test documented in the medical or laboratory records/LIS within the past 12 months</t>
    </r>
  </si>
  <si>
    <r>
      <t>15.0 TX_PVLS_VERIFY ( Numerator):</t>
    </r>
    <r>
      <rPr>
        <b/>
        <sz val="24"/>
        <color theme="4"/>
        <rFont val="Calibri"/>
        <family val="2"/>
        <scheme val="minor"/>
      </rPr>
      <t xml:space="preserve"> Number of KP ART patients that are confirmed as having a suppressed VL result (&lt;1, 000 copies/ml) documented in the medical or laboratory records/LIS within the past 12 months</t>
    </r>
  </si>
  <si>
    <r>
      <t>16.0 TX_RTT_VERIFY:</t>
    </r>
    <r>
      <rPr>
        <b/>
        <sz val="24"/>
        <color theme="4"/>
        <rFont val="Calibri"/>
        <family val="2"/>
        <scheme val="minor"/>
      </rPr>
      <t xml:space="preserve"> Number of HIV positive, treatment-experienced KPs with no clinical contact (or ARV drug pick-up) for greater than 28 days since their last expected contact who are successfully navigated by the KP partner to a service delivery point and verified as re-enrolled into treatment</t>
    </r>
  </si>
  <si>
    <r>
      <t xml:space="preserve">3.5 Prep_CT_VERIFY: </t>
    </r>
    <r>
      <rPr>
        <b/>
        <sz val="24"/>
        <color theme="4"/>
        <rFont val="Calibri"/>
        <family val="2"/>
        <scheme val="minor"/>
      </rPr>
      <t xml:space="preserve">Number of individuals, excluding those newly enrolled, that return for a follow-up visit or re-initiation visit and confirmed to receive antiretroviral pre-exposure prophylaxis (PrEP) at a facility or community site to prevent HIV during the reporting period 
</t>
    </r>
  </si>
  <si>
    <r>
      <t xml:space="preserve">3.5 Prep_CT_VERIFY: Number of individuals, excluding those newly enrolled, that return for a follow-up visit or re-initiation visit and confirmed to receive antiretroviral pre-exposure prophylaxis (PrEP) at a facility or community site to prevent HIV during the reporting period </t>
    </r>
    <r>
      <rPr>
        <b/>
        <sz val="18"/>
        <color theme="4"/>
        <rFont val="Calibri"/>
        <family val="2"/>
        <scheme val="minor"/>
      </rPr>
      <t xml:space="preserve">
</t>
    </r>
  </si>
  <si>
    <r>
      <t xml:space="preserve">3.4 Prep_NEW_VERIFY : </t>
    </r>
    <r>
      <rPr>
        <b/>
        <sz val="20"/>
        <color theme="4"/>
        <rFont val="Calibri"/>
        <family val="2"/>
        <scheme val="minor"/>
      </rPr>
      <t xml:space="preserve">Number of individuals successfully referred for and confirmed to be newly initiated on pre-exposure prophylaxis (PrEP) at a facility or community site during the reporting period
</t>
    </r>
  </si>
  <si>
    <r>
      <t>7.0 HTS_SELF:</t>
    </r>
    <r>
      <rPr>
        <b/>
        <sz val="20"/>
        <color theme="4"/>
        <rFont val="Calibri"/>
        <family val="2"/>
        <scheme val="minor"/>
      </rPr>
      <t xml:space="preserve"> Number of individual HIV self-test kits distributed</t>
    </r>
    <r>
      <rPr>
        <b/>
        <sz val="20"/>
        <color rgb="FFFF0000"/>
        <rFont val="Calibri"/>
        <family val="2"/>
        <scheme val="minor"/>
      </rPr>
      <t xml:space="preserve">
</t>
    </r>
  </si>
  <si>
    <r>
      <t>6.0 HTS_TST (Community) - Index Testing Modality:</t>
    </r>
    <r>
      <rPr>
        <b/>
        <sz val="20"/>
        <color theme="4"/>
        <rFont val="Calibri"/>
        <family val="2"/>
        <scheme val="minor"/>
      </rPr>
      <t xml:space="preserve"> Number of individuals who were identified and tested using Index testing services and received their results</t>
    </r>
  </si>
  <si>
    <r>
      <t xml:space="preserve">5.0 Testing HTS-TST: </t>
    </r>
    <r>
      <rPr>
        <b/>
        <sz val="22"/>
        <color theme="4"/>
        <rFont val="Calibri"/>
        <family val="2"/>
        <scheme val="minor"/>
      </rPr>
      <t>Number of individuals who received HIV Testing Services (HTS) and received their test results</t>
    </r>
  </si>
  <si>
    <r>
      <t xml:space="preserve">2.20 Prep_1_MONTH : </t>
    </r>
    <r>
      <rPr>
        <b/>
        <sz val="20"/>
        <color theme="4"/>
        <rFont val="Calibri"/>
        <family val="2"/>
        <scheme val="minor"/>
      </rPr>
      <t xml:space="preserve">Number of pre-exposure prophylaxis (PrEP) clients who returned on-time* for their one-month follow-up visit after initiating PrEP
</t>
    </r>
  </si>
  <si>
    <r>
      <t xml:space="preserve">2.01 PrEP_OFFER: </t>
    </r>
    <r>
      <rPr>
        <b/>
        <sz val="20"/>
        <color theme="4"/>
        <rFont val="Calibri"/>
        <family val="2"/>
        <scheme val="minor"/>
      </rPr>
      <t xml:space="preserve">Number of individuals who have tested negative for HIV, received supportive HIV prevention counseling, and been offered PrEP during the reporting period
</t>
    </r>
  </si>
  <si>
    <r>
      <t>2.00 PrEP_SCREENED:</t>
    </r>
    <r>
      <rPr>
        <b/>
        <sz val="20"/>
        <color theme="4"/>
        <rFont val="Calibri"/>
        <family val="2"/>
        <scheme val="minor"/>
      </rPr>
      <t xml:space="preserve"> Number of Individuals who were screened for PrEP eligibility during the reporting period
</t>
    </r>
  </si>
  <si>
    <t>KP2-031</t>
  </si>
  <si>
    <t>MSMs Newly Initiated on Event driven PrEP</t>
  </si>
  <si>
    <t>Total Number of FSW who were newly enrolled/Initiated on oral antiretroviral pre-exposure prophylaxis (PrEP) to prevent HIV infection in the reporting period</t>
  </si>
  <si>
    <t>Total Number of MSMs who were newly enrolled/Initiated on oral antiretroviral pre-exposure prophylaxis (PrEP) to prevent HIV infection in the reporting period</t>
  </si>
  <si>
    <t>Total Number of MSMs who were newly enrolled/Initiated on event driven oral antiretroviral pre-exposure prophylaxis (PrEP) to prevent HIV infection in the reporting period. Event-driven PrEP is a subset of total number of Prep New initiations among MSMs. It involves taking PrEP pills only when you are at risk of getting HIV i.e when you have planned your sex activity</t>
  </si>
  <si>
    <t>KP Form  version 2.0.2</t>
  </si>
  <si>
    <r>
      <t xml:space="preserve">KP_PREV ( </t>
    </r>
    <r>
      <rPr>
        <b/>
        <i/>
        <sz val="24"/>
        <color rgb="FFFF0000"/>
        <rFont val="Calibri"/>
        <family val="2"/>
        <scheme val="minor"/>
      </rPr>
      <t xml:space="preserve">Autocalculated </t>
    </r>
    <r>
      <rPr>
        <b/>
        <sz val="24"/>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</si>
</sst>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6">
    <font>
      <sz val="11"/>
      <color theme="1"/>
      <name val="Calibri"/>
      <family val="2"/>
      <scheme val="minor"/>
    </font>
    <font>
      <sz val="10"/>
      <name val="Arial"/>
      <family val="2"/>
    </font>
    <font>
      <sz val="8"/>
      <name val="Calibri"/>
      <family val="2"/>
      <scheme val="minor"/>
    </font>
    <font>
      <b/>
      <sz val="18"/>
      <color theme="1"/>
      <name val="Browallia New"/>
      <family val="2"/>
      <charset val="222"/>
    </font>
    <font>
      <sz val="18"/>
      <color theme="1"/>
      <name val="Browallia New"/>
      <family val="2"/>
      <charset val="222"/>
    </font>
    <font>
      <b/>
      <sz val="20"/>
      <color theme="1"/>
      <name val="Browallia New"/>
      <family val="2"/>
    </font>
    <font>
      <sz val="20"/>
      <color theme="1"/>
      <name val="Browallia New"/>
      <family val="2"/>
    </font>
    <font>
      <sz val="22"/>
      <color theme="1"/>
      <name val="Browallia New"/>
      <family val="2"/>
    </font>
    <font>
      <b/>
      <sz val="26"/>
      <color theme="1"/>
      <name val="Browallia New"/>
      <family val="2"/>
    </font>
    <font>
      <sz val="26"/>
      <color theme="1"/>
      <name val="Browallia New"/>
      <family val="2"/>
    </font>
    <font>
      <b/>
      <sz val="24"/>
      <color theme="1"/>
      <name val="Browallia New"/>
      <family val="2"/>
    </font>
    <font>
      <b/>
      <sz val="28"/>
      <color theme="1"/>
      <name val="Browallia New"/>
      <family val="2"/>
    </font>
    <font>
      <sz val="28"/>
      <color theme="1"/>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0"/>
      <name val="Browallia New"/>
      <family val="2"/>
    </font>
    <font>
      <sz val="24"/>
      <color theme="1"/>
      <name val="Browallia New"/>
      <family val="2"/>
    </font>
    <font>
      <b/>
      <sz val="28"/>
      <color theme="0"/>
      <name val="Browallia New"/>
      <family val="2"/>
    </font>
    <font>
      <b/>
      <sz val="24"/>
      <color theme="1"/>
      <name val="Calibri"/>
      <family val="2"/>
      <scheme val="minor"/>
    </font>
    <font>
      <b/>
      <sz val="24"/>
      <color rgb="FFFF0000"/>
      <name val="Calibri"/>
      <family val="2"/>
      <scheme val="minor"/>
    </font>
    <font>
      <sz val="24"/>
      <color theme="0"/>
      <name val="Calibri"/>
      <family val="2"/>
      <scheme val="minor"/>
    </font>
    <font>
      <b/>
      <sz val="18"/>
      <color theme="1"/>
      <name val="Calibri"/>
      <family val="2"/>
      <scheme val="minor"/>
    </font>
    <font>
      <b/>
      <sz val="20"/>
      <color theme="1"/>
      <name val="Calibri"/>
      <family val="2"/>
      <scheme val="minor"/>
    </font>
    <font>
      <sz val="18"/>
      <color theme="0"/>
      <name val="Calibri"/>
      <family val="2"/>
      <scheme val="minor"/>
    </font>
    <font>
      <b/>
      <sz val="16"/>
      <color theme="1"/>
      <name val="Calibri"/>
      <family val="2"/>
      <scheme val="minor"/>
    </font>
    <font>
      <b/>
      <sz val="26"/>
      <color rgb="FFFF0000"/>
      <name val="Calibri"/>
      <family val="2"/>
      <scheme val="minor"/>
    </font>
    <font>
      <sz val="26"/>
      <color theme="0"/>
      <name val="Calibri"/>
      <family val="2"/>
      <scheme val="minor"/>
    </font>
    <font>
      <b/>
      <sz val="18"/>
      <name val="Calibri"/>
      <family val="2"/>
      <scheme val="minor"/>
    </font>
    <font>
      <b/>
      <sz val="22"/>
      <color theme="1"/>
      <name val="Calibri"/>
      <family val="2"/>
      <scheme val="minor"/>
    </font>
    <font>
      <sz val="24"/>
      <color theme="1"/>
      <name val="Calibri"/>
      <family val="2"/>
      <scheme val="minor"/>
    </font>
    <font>
      <sz val="18"/>
      <color theme="1"/>
      <name val="Calibri"/>
      <family val="2"/>
      <scheme val="minor"/>
    </font>
    <font>
      <b/>
      <sz val="22"/>
      <color theme="0"/>
      <name val="Calibri"/>
      <family val="2"/>
      <scheme val="minor"/>
    </font>
    <font>
      <b/>
      <sz val="20"/>
      <color rgb="FFFF0000"/>
      <name val="Calibri"/>
      <family val="2"/>
      <scheme val="minor"/>
    </font>
    <font>
      <b/>
      <sz val="24"/>
      <color theme="9" tint="0.59999389629810485"/>
      <name val="Calibri"/>
      <family val="2"/>
      <scheme val="minor"/>
    </font>
    <font>
      <b/>
      <sz val="22"/>
      <name val="Calibri"/>
      <family val="2"/>
      <scheme val="minor"/>
    </font>
    <font>
      <sz val="22"/>
      <color theme="0"/>
      <name val="Calibri"/>
      <family val="2"/>
      <scheme val="minor"/>
    </font>
    <font>
      <b/>
      <sz val="22"/>
      <color theme="4"/>
      <name val="Calibri"/>
      <family val="2"/>
      <scheme val="minor"/>
    </font>
    <font>
      <b/>
      <sz val="20"/>
      <color theme="0"/>
      <name val="Calibri"/>
      <family val="2"/>
      <scheme val="minor"/>
    </font>
    <font>
      <b/>
      <sz val="18"/>
      <color theme="5"/>
      <name val="Calibri"/>
      <family val="2"/>
      <scheme val="minor"/>
    </font>
    <font>
      <b/>
      <sz val="24"/>
      <color theme="4"/>
      <name val="Calibri"/>
      <family val="2"/>
      <scheme val="minor"/>
    </font>
    <font>
      <sz val="18"/>
      <color theme="5"/>
      <name val="Calibri"/>
      <family val="2"/>
      <scheme val="minor"/>
    </font>
    <font>
      <sz val="20"/>
      <color theme="1"/>
      <name val="Calibri"/>
      <family val="2"/>
      <scheme val="minor"/>
    </font>
    <font>
      <b/>
      <sz val="16"/>
      <color rgb="FFFF0000"/>
      <name val="Calibri"/>
      <family val="2"/>
      <scheme val="minor"/>
    </font>
    <font>
      <sz val="22"/>
      <color theme="1"/>
      <name val="Browallia New"/>
      <family val="2"/>
      <charset val="222"/>
    </font>
    <font>
      <b/>
      <sz val="20"/>
      <color theme="4"/>
      <name val="Calibri"/>
      <family val="2"/>
      <scheme val="minor"/>
    </font>
    <font>
      <b/>
      <sz val="20"/>
      <color rgb="FFFF0000"/>
      <name val="Browallia New"/>
      <family val="2"/>
    </font>
    <font>
      <b/>
      <sz val="20"/>
      <color theme="4"/>
      <name val="Browallia New"/>
      <family val="2"/>
    </font>
    <font>
      <sz val="20"/>
      <color theme="0"/>
      <name val="Calibri"/>
      <family val="2"/>
      <scheme val="minor"/>
    </font>
    <font>
      <sz val="20"/>
      <color theme="1"/>
      <name val="Browallia New"/>
      <family val="2"/>
      <charset val="222"/>
    </font>
    <font>
      <b/>
      <sz val="20"/>
      <color theme="1"/>
      <name val="Browallia New"/>
      <family val="2"/>
      <charset val="222"/>
    </font>
    <font>
      <sz val="18"/>
      <color theme="1"/>
      <name val="Browallia New"/>
      <family val="2"/>
    </font>
    <font>
      <b/>
      <sz val="18"/>
      <color theme="1"/>
      <name val="Browallia New"/>
      <family val="2"/>
    </font>
    <font>
      <b/>
      <sz val="18"/>
      <color rgb="FFFF0000"/>
      <name val="Browallia New"/>
      <family val="2"/>
    </font>
    <font>
      <b/>
      <sz val="18"/>
      <color theme="4"/>
      <name val="Browallia New"/>
      <family val="2"/>
    </font>
    <font>
      <sz val="18"/>
      <color rgb="FFFF0000"/>
      <name val="Browallia New"/>
      <family val="2"/>
    </font>
    <font>
      <b/>
      <sz val="18"/>
      <color rgb="FFFF0000"/>
      <name val="Calibri"/>
      <family val="2"/>
      <scheme val="minor"/>
    </font>
    <font>
      <b/>
      <sz val="18"/>
      <color theme="4"/>
      <name val="Calibri"/>
      <family val="2"/>
      <scheme val="minor"/>
    </font>
    <font>
      <b/>
      <sz val="24"/>
      <color rgb="FF7030A0"/>
      <name val="Calibri"/>
      <family val="2"/>
      <scheme val="minor"/>
    </font>
    <font>
      <b/>
      <sz val="22"/>
      <color rgb="FFFF0000"/>
      <name val="Calibri"/>
      <family val="2"/>
      <scheme val="minor"/>
    </font>
    <font>
      <sz val="24"/>
      <color theme="4"/>
      <name val="Calibri"/>
      <family val="2"/>
      <scheme val="minor"/>
    </font>
    <font>
      <sz val="24"/>
      <color rgb="FF7030A0"/>
      <name val="Calibri"/>
      <family val="2"/>
      <scheme val="minor"/>
    </font>
    <font>
      <b/>
      <i/>
      <sz val="24"/>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s>
  <borders count="2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medium">
        <color theme="9"/>
      </left>
      <right style="thin">
        <color theme="2" tint="-0.249977111117893"/>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right style="medium">
        <color theme="9"/>
      </right>
      <top/>
      <bottom style="thin">
        <color theme="2" tint="-0.249977111117893"/>
      </bottom>
      <diagonal/>
    </border>
    <border>
      <left style="medium">
        <color theme="9"/>
      </left>
      <right/>
      <top/>
      <bottom style="medium">
        <color theme="9"/>
      </bottom>
      <diagonal/>
    </border>
    <border>
      <left style="thin">
        <color theme="2" tint="-0.249977111117893"/>
      </left>
      <right style="medium">
        <color theme="9"/>
      </right>
      <top/>
      <bottom style="medium">
        <color theme="9"/>
      </bottom>
      <diagonal/>
    </border>
    <border>
      <left/>
      <right style="thin">
        <color indexed="64"/>
      </right>
      <top style="thin">
        <color indexed="64"/>
      </top>
      <bottom/>
      <diagonal/>
    </border>
    <border>
      <left style="medium">
        <color theme="9"/>
      </left>
      <right style="thin">
        <color theme="9"/>
      </right>
      <top style="thin">
        <color theme="9"/>
      </top>
      <bottom style="medium">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right style="medium">
        <color theme="9"/>
      </right>
      <top style="medium">
        <color theme="9"/>
      </top>
      <bottom style="medium">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thin">
        <color theme="2" tint="-0.249977111117893"/>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style="medium">
        <color theme="9"/>
      </right>
      <top style="medium">
        <color theme="9"/>
      </top>
      <bottom/>
      <diagonal/>
    </border>
    <border>
      <left/>
      <right/>
      <top/>
      <bottom style="medium">
        <color theme="9"/>
      </bottom>
      <diagonal/>
    </border>
    <border>
      <left style="thin">
        <color theme="9"/>
      </left>
      <right/>
      <top/>
      <bottom style="thin">
        <color theme="9"/>
      </bottom>
      <diagonal/>
    </border>
    <border>
      <left style="medium">
        <color theme="9"/>
      </left>
      <right style="thin">
        <color theme="9"/>
      </right>
      <top/>
      <bottom style="medium">
        <color theme="9"/>
      </bottom>
      <diagonal/>
    </border>
    <border>
      <left style="medium">
        <color theme="9"/>
      </left>
      <right style="thin">
        <color theme="9"/>
      </right>
      <top/>
      <bottom/>
      <diagonal/>
    </border>
    <border>
      <left/>
      <right style="medium">
        <color theme="9"/>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2" tint="-0.249977111117893"/>
      </left>
      <right/>
      <top/>
      <bottom/>
      <diagonal/>
    </border>
    <border>
      <left style="thin">
        <color theme="2" tint="-0.249977111117893"/>
      </left>
      <right/>
      <top/>
      <bottom style="medium">
        <color theme="9"/>
      </bottom>
      <diagonal/>
    </border>
    <border>
      <left/>
      <right style="thin">
        <color theme="2" tint="-0.249977111117893"/>
      </right>
      <top style="medium">
        <color theme="9"/>
      </top>
      <bottom style="medium">
        <color theme="9"/>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top style="thin">
        <color indexed="64"/>
      </top>
      <bottom/>
      <diagonal/>
    </border>
    <border>
      <left/>
      <right style="medium">
        <color theme="9"/>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theme="9"/>
      </left>
      <right style="thin">
        <color indexed="64"/>
      </right>
      <top style="medium">
        <color theme="9"/>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top style="thin">
        <color theme="2" tint="-0.249977111117893"/>
      </top>
      <bottom/>
      <diagonal/>
    </border>
    <border>
      <left style="medium">
        <color theme="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0" tint="-0.34998626667073579"/>
      </left>
      <right style="thin">
        <color theme="0" tint="-0.3499862666707357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style="thin">
        <color theme="9"/>
      </left>
      <right style="thin">
        <color theme="9"/>
      </right>
      <top style="thin">
        <color theme="9"/>
      </top>
      <bottom style="thin">
        <color theme="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9"/>
      </bottom>
      <diagonal/>
    </border>
    <border>
      <left style="thin">
        <color theme="9"/>
      </left>
      <right style="thin">
        <color theme="9"/>
      </right>
      <top style="thin">
        <color theme="9"/>
      </top>
      <bottom/>
      <diagonal/>
    </border>
    <border>
      <left style="medium">
        <color theme="9"/>
      </left>
      <right style="medium">
        <color theme="9"/>
      </right>
      <top style="medium">
        <color theme="9"/>
      </top>
      <bottom style="thin">
        <color indexed="64"/>
      </bottom>
      <diagonal/>
    </border>
    <border>
      <left style="medium">
        <color theme="9"/>
      </left>
      <right style="medium">
        <color theme="9"/>
      </right>
      <top style="thin">
        <color indexed="64"/>
      </top>
      <bottom style="thin">
        <color indexed="64"/>
      </bottom>
      <diagonal/>
    </border>
    <border>
      <left style="medium">
        <color theme="9"/>
      </left>
      <right style="medium">
        <color theme="9"/>
      </right>
      <top style="thin">
        <color indexed="64"/>
      </top>
      <bottom style="medium">
        <color theme="9"/>
      </bottom>
      <diagonal/>
    </border>
    <border>
      <left/>
      <right style="medium">
        <color theme="4"/>
      </right>
      <top/>
      <bottom style="medium">
        <color theme="4"/>
      </bottom>
      <diagonal/>
    </border>
    <border>
      <left style="thin">
        <color theme="9"/>
      </left>
      <right/>
      <top style="thin">
        <color theme="9"/>
      </top>
      <bottom/>
      <diagonal/>
    </border>
    <border>
      <left/>
      <right style="thin">
        <color theme="9"/>
      </right>
      <top style="thin">
        <color theme="9"/>
      </top>
      <bottom/>
      <diagonal/>
    </border>
    <border>
      <left/>
      <right style="thin">
        <color theme="9"/>
      </right>
      <top/>
      <bottom style="thin">
        <color theme="9"/>
      </bottom>
      <diagonal/>
    </border>
    <border>
      <left style="thin">
        <color theme="9"/>
      </left>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top style="medium">
        <color theme="9"/>
      </top>
      <bottom style="thin">
        <color theme="9"/>
      </bottom>
      <diagonal/>
    </border>
    <border>
      <left style="medium">
        <color theme="9"/>
      </left>
      <right/>
      <top style="thin">
        <color theme="9"/>
      </top>
      <bottom style="thin">
        <color theme="9"/>
      </bottom>
      <diagonal/>
    </border>
    <border>
      <left style="medium">
        <color theme="9"/>
      </left>
      <right/>
      <top style="thin">
        <color theme="9"/>
      </top>
      <bottom style="medium">
        <color theme="9"/>
      </bottom>
      <diagonal/>
    </border>
    <border>
      <left/>
      <right style="thin">
        <color theme="9"/>
      </right>
      <top style="thin">
        <color theme="9"/>
      </top>
      <bottom style="thin">
        <color theme="9"/>
      </bottom>
      <diagonal/>
    </border>
    <border>
      <left style="medium">
        <color theme="9"/>
      </left>
      <right style="medium">
        <color theme="9"/>
      </right>
      <top/>
      <bottom style="thin">
        <color theme="9"/>
      </bottom>
      <diagonal/>
    </border>
    <border>
      <left style="thin">
        <color theme="9"/>
      </left>
      <right style="thin">
        <color theme="9"/>
      </right>
      <top/>
      <bottom style="thin">
        <color theme="9"/>
      </bottom>
      <diagonal/>
    </border>
    <border>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thin">
        <color theme="9"/>
      </left>
      <right style="medium">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right style="medium">
        <color theme="9"/>
      </right>
      <top style="thin">
        <color theme="9"/>
      </top>
      <bottom style="medium">
        <color theme="9"/>
      </bottom>
      <diagonal/>
    </border>
    <border>
      <left style="medium">
        <color theme="9"/>
      </left>
      <right style="medium">
        <color theme="9"/>
      </right>
      <top style="thin">
        <color theme="9"/>
      </top>
      <bottom/>
      <diagonal/>
    </border>
    <border>
      <left style="thin">
        <color theme="9"/>
      </left>
      <right style="thin">
        <color theme="9"/>
      </right>
      <top style="medium">
        <color theme="9"/>
      </top>
      <bottom style="thin">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diagonal/>
    </border>
    <border>
      <left style="thin">
        <color theme="9"/>
      </left>
      <right style="medium">
        <color theme="9"/>
      </right>
      <top style="thin">
        <color theme="9"/>
      </top>
      <bottom/>
      <diagonal/>
    </border>
    <border>
      <left style="medium">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diagonal/>
    </border>
    <border>
      <left style="thin">
        <color theme="9"/>
      </left>
      <right/>
      <top style="medium">
        <color theme="9"/>
      </top>
      <bottom style="thin">
        <color theme="9"/>
      </bottom>
      <diagonal/>
    </border>
    <border>
      <left style="medium">
        <color theme="9"/>
      </left>
      <right style="thin">
        <color theme="9"/>
      </right>
      <top style="medium">
        <color theme="9"/>
      </top>
      <bottom/>
      <diagonal/>
    </border>
    <border>
      <left style="medium">
        <color theme="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theme="9"/>
      </left>
      <right style="medium">
        <color theme="9"/>
      </right>
      <top style="medium">
        <color theme="9"/>
      </top>
      <bottom/>
      <diagonal/>
    </border>
    <border>
      <left style="thin">
        <color theme="9"/>
      </left>
      <right style="medium">
        <color theme="9"/>
      </right>
      <top/>
      <bottom/>
      <diagonal/>
    </border>
    <border>
      <left style="thin">
        <color theme="9"/>
      </left>
      <right style="medium">
        <color theme="9"/>
      </right>
      <top/>
      <bottom style="medium">
        <color theme="9"/>
      </bottom>
      <diagonal/>
    </border>
    <border>
      <left/>
      <right/>
      <top/>
      <bottom style="medium">
        <color theme="4"/>
      </bottom>
      <diagonal/>
    </border>
    <border>
      <left/>
      <right/>
      <top style="thin">
        <color theme="9"/>
      </top>
      <bottom style="thin">
        <color theme="9"/>
      </bottom>
      <diagonal/>
    </border>
    <border>
      <left/>
      <right style="thin">
        <color theme="2" tint="-0.249977111117893"/>
      </right>
      <top style="medium">
        <color theme="9"/>
      </top>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medium">
        <color theme="9"/>
      </top>
      <bottom style="thin">
        <color theme="0" tint="-0.249977111117893"/>
      </bottom>
      <diagonal/>
    </border>
    <border>
      <left style="thin">
        <color theme="0" tint="-0.249977111117893"/>
      </left>
      <right style="thin">
        <color theme="0" tint="-0.249977111117893"/>
      </right>
      <top style="medium">
        <color theme="9"/>
      </top>
      <bottom style="thin">
        <color theme="0" tint="-0.249977111117893"/>
      </bottom>
      <diagonal/>
    </border>
    <border>
      <left style="thin">
        <color theme="0" tint="-0.249977111117893"/>
      </left>
      <right style="medium">
        <color theme="9"/>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style="thin">
        <color theme="0" tint="-0.249977111117893"/>
      </top>
      <bottom style="medium">
        <color theme="9"/>
      </bottom>
      <diagonal/>
    </border>
    <border>
      <left style="thin">
        <color theme="0" tint="-0.249977111117893"/>
      </left>
      <right style="medium">
        <color theme="9"/>
      </right>
      <top style="thin">
        <color theme="0" tint="-0.249977111117893"/>
      </top>
      <bottom style="medium">
        <color theme="9"/>
      </bottom>
      <diagonal/>
    </border>
    <border>
      <left/>
      <right style="thin">
        <color theme="0" tint="-0.249977111117893"/>
      </right>
      <top style="medium">
        <color theme="9"/>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9"/>
      </left>
      <right style="thin">
        <color theme="0" tint="-0.14999847407452621"/>
      </right>
      <top style="medium">
        <color theme="9"/>
      </top>
      <bottom style="thin">
        <color theme="0" tint="-0.14999847407452621"/>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medium">
        <color theme="9"/>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theme="9"/>
      </right>
      <top style="thin">
        <color theme="0" tint="-0.14999847407452621"/>
      </top>
      <bottom style="thin">
        <color theme="0" tint="-0.14999847407452621"/>
      </bottom>
      <diagonal/>
    </border>
    <border>
      <left style="medium">
        <color theme="9"/>
      </left>
      <right style="thin">
        <color theme="0" tint="-0.14999847407452621"/>
      </right>
      <top style="thin">
        <color theme="0" tint="-0.14999847407452621"/>
      </top>
      <bottom style="medium">
        <color theme="9"/>
      </bottom>
      <diagonal/>
    </border>
    <border>
      <left style="thin">
        <color theme="0" tint="-0.14999847407452621"/>
      </left>
      <right style="thin">
        <color theme="0" tint="-0.14999847407452621"/>
      </right>
      <top style="thin">
        <color theme="0" tint="-0.14999847407452621"/>
      </top>
      <bottom style="medium">
        <color theme="9"/>
      </bottom>
      <diagonal/>
    </border>
    <border>
      <left style="thin">
        <color theme="0" tint="-0.14999847407452621"/>
      </left>
      <right style="medium">
        <color theme="9"/>
      </right>
      <top style="thin">
        <color theme="0" tint="-0.14999847407452621"/>
      </top>
      <bottom style="medium">
        <color theme="9"/>
      </bottom>
      <diagonal/>
    </border>
  </borders>
  <cellStyleXfs count="2">
    <xf numFmtId="0" fontId="0" fillId="0" borderId="0"/>
    <xf numFmtId="0" fontId="1" fillId="0" borderId="0" applyNumberFormat="0" applyFont="0" applyFill="0" applyBorder="0" applyAlignment="0" applyProtection="0"/>
  </cellStyleXfs>
  <cellXfs count="885">
    <xf numFmtId="0" fontId="0" fillId="0" borderId="0" xfId="0"/>
    <xf numFmtId="0" fontId="4" fillId="0" borderId="0" xfId="0" applyFont="1"/>
    <xf numFmtId="0" fontId="3" fillId="0" borderId="0" xfId="0" applyFont="1"/>
    <xf numFmtId="0" fontId="4" fillId="5" borderId="0" xfId="0" applyFont="1" applyFill="1"/>
    <xf numFmtId="0" fontId="4" fillId="0" borderId="0" xfId="0" applyFont="1" applyAlignment="1">
      <alignment vertical="center"/>
    </xf>
    <xf numFmtId="0" fontId="4" fillId="0" borderId="0" xfId="0" applyFont="1" applyAlignment="1"/>
    <xf numFmtId="0" fontId="3" fillId="0" borderId="0" xfId="0" applyFont="1" applyAlignment="1">
      <alignment vertical="center"/>
    </xf>
    <xf numFmtId="0" fontId="6" fillId="0" borderId="0" xfId="0" applyFont="1" applyAlignment="1">
      <alignment wrapText="1"/>
    </xf>
    <xf numFmtId="0" fontId="4" fillId="0" borderId="0" xfId="0" applyFont="1" applyAlignment="1"/>
    <xf numFmtId="0" fontId="12" fillId="0" borderId="0" xfId="0" applyFont="1"/>
    <xf numFmtId="0" fontId="14" fillId="0" borderId="0" xfId="0" applyFont="1" applyAlignment="1">
      <alignment vertical="center"/>
    </xf>
    <xf numFmtId="0" fontId="19" fillId="0" borderId="0" xfId="0" applyFont="1" applyFill="1" applyBorder="1"/>
    <xf numFmtId="0" fontId="13" fillId="0" borderId="0" xfId="0" applyFont="1" applyFill="1" applyBorder="1" applyAlignment="1">
      <alignment vertical="center"/>
    </xf>
    <xf numFmtId="0" fontId="15" fillId="0" borderId="0" xfId="0" applyFont="1" applyFill="1" applyBorder="1"/>
    <xf numFmtId="0" fontId="4" fillId="5" borderId="0" xfId="0" applyFont="1" applyFill="1" applyAlignment="1">
      <alignment vertical="center"/>
    </xf>
    <xf numFmtId="0" fontId="20" fillId="0" borderId="0" xfId="0" applyFont="1" applyAlignment="1">
      <alignment horizontal="left" wrapText="1"/>
    </xf>
    <xf numFmtId="0" fontId="10" fillId="0" borderId="0" xfId="0" applyFont="1" applyAlignment="1">
      <alignment horizontal="left" wrapText="1"/>
    </xf>
    <xf numFmtId="0" fontId="7" fillId="5" borderId="0" xfId="0" applyFont="1" applyFill="1"/>
    <xf numFmtId="0" fontId="10" fillId="0" borderId="0" xfId="0" applyFont="1" applyAlignment="1">
      <alignment horizontal="left"/>
    </xf>
    <xf numFmtId="0" fontId="8" fillId="0" borderId="0" xfId="0" applyFont="1" applyAlignment="1">
      <alignment vertical="center"/>
    </xf>
    <xf numFmtId="0" fontId="5" fillId="0" borderId="0" xfId="0" applyFont="1" applyAlignment="1">
      <alignment horizontal="center"/>
    </xf>
    <xf numFmtId="0" fontId="7" fillId="5" borderId="0" xfId="0" applyFont="1" applyFill="1" applyAlignment="1">
      <alignment horizontal="left"/>
    </xf>
    <xf numFmtId="0" fontId="7" fillId="5" borderId="0" xfId="0" applyFont="1" applyFill="1" applyAlignment="1">
      <alignment horizontal="left" vertical="center"/>
    </xf>
    <xf numFmtId="0" fontId="7" fillId="5" borderId="0" xfId="0" applyFont="1" applyFill="1" applyAlignment="1">
      <alignment horizontal="left" wrapText="1"/>
    </xf>
    <xf numFmtId="0" fontId="11" fillId="5" borderId="0" xfId="0" applyFont="1" applyFill="1" applyBorder="1" applyAlignment="1">
      <alignment horizontal="left" vertical="center" wrapText="1"/>
    </xf>
    <xf numFmtId="0" fontId="7" fillId="5" borderId="0" xfId="0" applyFont="1" applyFill="1" applyAlignment="1">
      <alignment horizontal="left" vertical="top"/>
    </xf>
    <xf numFmtId="0" fontId="7" fillId="5" borderId="0" xfId="0" applyFont="1" applyFill="1" applyAlignment="1"/>
    <xf numFmtId="0" fontId="12" fillId="5" borderId="170" xfId="0" applyFont="1" applyFill="1" applyBorder="1" applyAlignment="1">
      <alignment horizontal="center" vertical="center" wrapText="1"/>
    </xf>
    <xf numFmtId="0" fontId="12" fillId="5" borderId="150" xfId="0" applyFont="1" applyFill="1" applyBorder="1" applyAlignment="1">
      <alignment vertical="center" wrapText="1"/>
    </xf>
    <xf numFmtId="0" fontId="12" fillId="5" borderId="150" xfId="0" applyFont="1" applyFill="1" applyBorder="1" applyAlignment="1">
      <alignment horizontal="left" vertical="top" wrapText="1"/>
    </xf>
    <xf numFmtId="0" fontId="12" fillId="5" borderId="150" xfId="0" applyFont="1" applyFill="1" applyBorder="1" applyAlignment="1">
      <alignment horizontal="center" vertical="center" wrapText="1"/>
    </xf>
    <xf numFmtId="0" fontId="12" fillId="5" borderId="150" xfId="0" applyFont="1" applyFill="1" applyBorder="1" applyAlignment="1">
      <alignment horizontal="left" wrapText="1"/>
    </xf>
    <xf numFmtId="0" fontId="12" fillId="5" borderId="153" xfId="0" applyFont="1" applyFill="1" applyBorder="1" applyAlignment="1">
      <alignment horizontal="left" wrapText="1"/>
    </xf>
    <xf numFmtId="0" fontId="12" fillId="5" borderId="153" xfId="0" applyFont="1" applyFill="1" applyBorder="1" applyAlignment="1">
      <alignment horizontal="left" vertical="top" wrapText="1"/>
    </xf>
    <xf numFmtId="0" fontId="12" fillId="5" borderId="162" xfId="0" applyFont="1" applyFill="1" applyBorder="1" applyAlignment="1">
      <alignment horizontal="left" wrapText="1"/>
    </xf>
    <xf numFmtId="0" fontId="12" fillId="5" borderId="172" xfId="0" applyFont="1" applyFill="1" applyBorder="1" applyAlignment="1">
      <alignment horizontal="left" vertical="top" wrapText="1"/>
    </xf>
    <xf numFmtId="0" fontId="12" fillId="5" borderId="163" xfId="0" applyFont="1" applyFill="1" applyBorder="1" applyAlignment="1">
      <alignment horizontal="left" wrapText="1"/>
    </xf>
    <xf numFmtId="0" fontId="12" fillId="5" borderId="173" xfId="0" applyFont="1" applyFill="1" applyBorder="1" applyAlignment="1">
      <alignment horizontal="left" vertical="top" wrapText="1"/>
    </xf>
    <xf numFmtId="0" fontId="12" fillId="5" borderId="164" xfId="0" applyFont="1" applyFill="1" applyBorder="1" applyAlignment="1">
      <alignment horizontal="left" wrapText="1"/>
    </xf>
    <xf numFmtId="0" fontId="12" fillId="5" borderId="175" xfId="0" applyFont="1" applyFill="1" applyBorder="1" applyAlignment="1">
      <alignment horizontal="left" vertical="top" wrapText="1"/>
    </xf>
    <xf numFmtId="0" fontId="12" fillId="5" borderId="169" xfId="0" applyFont="1" applyFill="1" applyBorder="1" applyAlignment="1">
      <alignment horizontal="left" wrapText="1"/>
    </xf>
    <xf numFmtId="0" fontId="12" fillId="5" borderId="165" xfId="0" applyFont="1" applyFill="1" applyBorder="1" applyAlignment="1">
      <alignment horizontal="left" wrapText="1"/>
    </xf>
    <xf numFmtId="0" fontId="12" fillId="5" borderId="176" xfId="0" applyFont="1" applyFill="1" applyBorder="1" applyAlignment="1">
      <alignment horizontal="left" vertical="top" wrapText="1"/>
    </xf>
    <xf numFmtId="0" fontId="12" fillId="5" borderId="166" xfId="0" applyFont="1" applyFill="1" applyBorder="1" applyAlignment="1">
      <alignment horizontal="left" wrapText="1"/>
    </xf>
    <xf numFmtId="0" fontId="12" fillId="5" borderId="177" xfId="0" applyFont="1" applyFill="1" applyBorder="1" applyAlignment="1">
      <alignment horizontal="left" vertical="top" wrapText="1"/>
    </xf>
    <xf numFmtId="0" fontId="12" fillId="5" borderId="167" xfId="0" applyFont="1" applyFill="1" applyBorder="1" applyAlignment="1">
      <alignment horizontal="left" wrapText="1"/>
    </xf>
    <xf numFmtId="0" fontId="12" fillId="5" borderId="178" xfId="0" applyFont="1" applyFill="1" applyBorder="1" applyAlignment="1">
      <alignment horizontal="left" vertical="top" wrapText="1"/>
    </xf>
    <xf numFmtId="0" fontId="12" fillId="5" borderId="41" xfId="0" applyFont="1" applyFill="1" applyBorder="1" applyAlignment="1">
      <alignment horizontal="left" wrapText="1"/>
    </xf>
    <xf numFmtId="0" fontId="12" fillId="5" borderId="183" xfId="0" applyFont="1" applyFill="1" applyBorder="1" applyAlignment="1">
      <alignment horizontal="left" vertical="top" wrapText="1"/>
    </xf>
    <xf numFmtId="0" fontId="12" fillId="5" borderId="184" xfId="0" applyFont="1" applyFill="1" applyBorder="1" applyAlignment="1">
      <alignment horizontal="left" wrapText="1"/>
    </xf>
    <xf numFmtId="0" fontId="12" fillId="5" borderId="185" xfId="0" applyFont="1" applyFill="1" applyBorder="1" applyAlignment="1">
      <alignment horizontal="left" wrapText="1"/>
    </xf>
    <xf numFmtId="0" fontId="12" fillId="5" borderId="150" xfId="0" applyFont="1" applyFill="1" applyBorder="1" applyAlignment="1">
      <alignment horizontal="left" vertical="center" wrapText="1"/>
    </xf>
    <xf numFmtId="0" fontId="12" fillId="5" borderId="186" xfId="0" applyFont="1" applyFill="1" applyBorder="1" applyAlignment="1">
      <alignment horizontal="left" wrapText="1"/>
    </xf>
    <xf numFmtId="0" fontId="11" fillId="0" borderId="150" xfId="0" applyFont="1" applyFill="1" applyBorder="1" applyAlignment="1">
      <alignment horizontal="left" vertical="center" wrapText="1"/>
    </xf>
    <xf numFmtId="0" fontId="12" fillId="0" borderId="153" xfId="0" applyFont="1" applyFill="1" applyBorder="1" applyAlignment="1">
      <alignment horizontal="left" vertical="center" wrapText="1"/>
    </xf>
    <xf numFmtId="0" fontId="11" fillId="0" borderId="153" xfId="0" applyFont="1" applyFill="1" applyBorder="1" applyAlignment="1">
      <alignment horizontal="left" vertical="center" wrapText="1"/>
    </xf>
    <xf numFmtId="0" fontId="12" fillId="0" borderId="184" xfId="0" applyFont="1" applyFill="1" applyBorder="1" applyAlignment="1">
      <alignment horizontal="left" wrapText="1"/>
    </xf>
    <xf numFmtId="0" fontId="12" fillId="0" borderId="172" xfId="0" applyFont="1" applyFill="1" applyBorder="1" applyAlignment="1">
      <alignment horizontal="left" vertical="center" wrapText="1"/>
    </xf>
    <xf numFmtId="0" fontId="12" fillId="0" borderId="185" xfId="0" applyFont="1" applyFill="1" applyBorder="1" applyAlignment="1">
      <alignment horizontal="left" wrapText="1"/>
    </xf>
    <xf numFmtId="0" fontId="12" fillId="0" borderId="173" xfId="0" applyFont="1" applyFill="1" applyBorder="1" applyAlignment="1">
      <alignment horizontal="left" vertical="center" wrapText="1"/>
    </xf>
    <xf numFmtId="0" fontId="12" fillId="0" borderId="186" xfId="0" applyFont="1" applyFill="1" applyBorder="1" applyAlignment="1">
      <alignment horizontal="left" wrapText="1"/>
    </xf>
    <xf numFmtId="0" fontId="12" fillId="0" borderId="183" xfId="0" applyFont="1" applyFill="1" applyBorder="1" applyAlignment="1">
      <alignment horizontal="left" vertical="center" wrapText="1"/>
    </xf>
    <xf numFmtId="0" fontId="12" fillId="0" borderId="64" xfId="0" applyFont="1" applyFill="1" applyBorder="1" applyAlignment="1">
      <alignment horizontal="left" wrapText="1"/>
    </xf>
    <xf numFmtId="0" fontId="12" fillId="0" borderId="162" xfId="0" applyFont="1" applyFill="1" applyBorder="1" applyAlignment="1">
      <alignment horizontal="left" wrapText="1"/>
    </xf>
    <xf numFmtId="0" fontId="12" fillId="0" borderId="163" xfId="0" applyFont="1" applyFill="1" applyBorder="1" applyAlignment="1">
      <alignment horizontal="left" wrapText="1"/>
    </xf>
    <xf numFmtId="0" fontId="12" fillId="0" borderId="179" xfId="0" applyFont="1" applyFill="1" applyBorder="1" applyAlignment="1">
      <alignment horizontal="left" wrapText="1"/>
    </xf>
    <xf numFmtId="0" fontId="12" fillId="5" borderId="188" xfId="0" applyFont="1" applyFill="1" applyBorder="1" applyAlignment="1">
      <alignment horizontal="left" wrapText="1"/>
    </xf>
    <xf numFmtId="0" fontId="12" fillId="0" borderId="60" xfId="0" applyFont="1" applyFill="1" applyBorder="1" applyAlignment="1">
      <alignment vertical="center" wrapText="1"/>
    </xf>
    <xf numFmtId="0" fontId="12" fillId="0" borderId="54" xfId="0" applyFont="1" applyFill="1" applyBorder="1" applyAlignment="1">
      <alignment vertical="center" wrapText="1"/>
    </xf>
    <xf numFmtId="0" fontId="12" fillId="4" borderId="10" xfId="0" applyFont="1" applyFill="1" applyBorder="1" applyAlignment="1">
      <alignment wrapText="1"/>
    </xf>
    <xf numFmtId="0" fontId="11" fillId="4" borderId="168" xfId="0" applyFont="1" applyFill="1" applyBorder="1" applyAlignment="1">
      <alignment horizontal="left" vertical="center" wrapText="1"/>
    </xf>
    <xf numFmtId="0" fontId="11" fillId="4" borderId="150" xfId="0" applyFont="1" applyFill="1" applyBorder="1" applyAlignment="1">
      <alignment horizontal="left" vertical="center" wrapText="1"/>
    </xf>
    <xf numFmtId="0" fontId="7" fillId="5" borderId="150" xfId="0" applyFont="1" applyFill="1" applyBorder="1" applyAlignment="1">
      <alignment horizontal="left" wrapText="1"/>
    </xf>
    <xf numFmtId="0" fontId="12" fillId="0" borderId="126" xfId="0" applyFont="1" applyFill="1" applyBorder="1" applyAlignment="1">
      <alignment vertical="center" wrapText="1"/>
    </xf>
    <xf numFmtId="0" fontId="7" fillId="5" borderId="150" xfId="0" applyFont="1" applyFill="1" applyBorder="1" applyAlignment="1">
      <alignment horizontal="left" vertical="top"/>
    </xf>
    <xf numFmtId="0" fontId="7" fillId="5" borderId="0" xfId="0" applyFont="1" applyFill="1" applyBorder="1" applyAlignment="1">
      <alignment horizontal="left" wrapText="1"/>
    </xf>
    <xf numFmtId="0" fontId="7" fillId="5" borderId="0" xfId="0" applyFont="1" applyFill="1" applyBorder="1" applyAlignment="1">
      <alignment horizontal="left" vertical="top"/>
    </xf>
    <xf numFmtId="0" fontId="22" fillId="0" borderId="10" xfId="0" applyFont="1" applyBorder="1" applyAlignment="1">
      <alignment horizontal="center" vertical="center"/>
    </xf>
    <xf numFmtId="0" fontId="22" fillId="6" borderId="39" xfId="0" applyFont="1" applyFill="1" applyBorder="1" applyAlignment="1">
      <alignment vertical="center"/>
    </xf>
    <xf numFmtId="0" fontId="24" fillId="0" borderId="0" xfId="0" applyFont="1" applyFill="1" applyBorder="1" applyAlignment="1">
      <alignment horizontal="center"/>
    </xf>
    <xf numFmtId="0" fontId="26" fillId="0" borderId="0" xfId="0" applyFont="1" applyAlignment="1">
      <alignment horizontal="center" wrapText="1"/>
    </xf>
    <xf numFmtId="0" fontId="25" fillId="0" borderId="0" xfId="0" applyFont="1"/>
    <xf numFmtId="0" fontId="27" fillId="0" borderId="0" xfId="0" applyFont="1" applyFill="1" applyBorder="1" applyAlignment="1">
      <alignment horizontal="center"/>
    </xf>
    <xf numFmtId="0" fontId="22" fillId="0" borderId="0" xfId="0" applyFont="1" applyAlignment="1">
      <alignment wrapText="1"/>
    </xf>
    <xf numFmtId="0" fontId="26" fillId="0" borderId="0" xfId="0" applyFont="1" applyAlignment="1"/>
    <xf numFmtId="0" fontId="25" fillId="0" borderId="5" xfId="0" applyFont="1" applyBorder="1" applyAlignment="1">
      <alignment wrapText="1"/>
    </xf>
    <xf numFmtId="0" fontId="28" fillId="0" borderId="63" xfId="0" applyFont="1" applyBorder="1" applyAlignment="1">
      <alignment wrapText="1"/>
    </xf>
    <xf numFmtId="0" fontId="25" fillId="0" borderId="5" xfId="0" applyFont="1" applyBorder="1"/>
    <xf numFmtId="0" fontId="25" fillId="0" borderId="63" xfId="0" applyFont="1" applyBorder="1"/>
    <xf numFmtId="0" fontId="25" fillId="0" borderId="0" xfId="0" applyFont="1" applyAlignment="1"/>
    <xf numFmtId="0" fontId="26" fillId="0" borderId="0" xfId="0" applyFont="1" applyAlignment="1">
      <alignment wrapText="1"/>
    </xf>
    <xf numFmtId="0" fontId="30" fillId="0" borderId="0" xfId="0" applyFont="1" applyFill="1" applyBorder="1" applyAlignment="1">
      <alignment horizontal="center"/>
    </xf>
    <xf numFmtId="0" fontId="32" fillId="7" borderId="32" xfId="0" applyFont="1" applyFill="1" applyBorder="1" applyAlignment="1">
      <alignment horizontal="center" vertical="center" wrapText="1"/>
    </xf>
    <xf numFmtId="0" fontId="25" fillId="8" borderId="17" xfId="0" applyFont="1" applyFill="1" applyBorder="1" applyAlignment="1">
      <alignment vertical="center"/>
    </xf>
    <xf numFmtId="0" fontId="27" fillId="0" borderId="40" xfId="0" applyFont="1" applyFill="1" applyBorder="1" applyAlignment="1">
      <alignment horizontal="center"/>
    </xf>
    <xf numFmtId="49" fontId="31" fillId="4" borderId="14" xfId="1" applyNumberFormat="1" applyFont="1" applyFill="1" applyBorder="1" applyAlignment="1">
      <alignment horizontal="center" vertical="center"/>
    </xf>
    <xf numFmtId="0" fontId="32" fillId="0" borderId="22" xfId="0" applyFont="1" applyFill="1" applyBorder="1" applyAlignment="1">
      <alignment horizontal="center" vertical="center" wrapText="1"/>
    </xf>
    <xf numFmtId="0" fontId="32" fillId="0" borderId="37" xfId="0" applyFont="1" applyFill="1" applyBorder="1" applyAlignment="1">
      <alignment vertical="center"/>
    </xf>
    <xf numFmtId="0" fontId="33" fillId="0" borderId="23" xfId="0" applyFont="1" applyBorder="1" applyAlignment="1">
      <alignment horizontal="left" wrapText="1"/>
    </xf>
    <xf numFmtId="0" fontId="26" fillId="4" borderId="48" xfId="0" applyFont="1" applyFill="1" applyBorder="1" applyAlignment="1">
      <alignment horizontal="center" vertical="center"/>
    </xf>
    <xf numFmtId="0" fontId="34" fillId="4" borderId="99" xfId="0" applyFont="1" applyFill="1" applyBorder="1" applyAlignment="1" applyProtection="1">
      <alignment horizontal="center" vertical="center"/>
    </xf>
    <xf numFmtId="0" fontId="34" fillId="4" borderId="112" xfId="0" applyFont="1" applyFill="1" applyBorder="1" applyAlignment="1" applyProtection="1">
      <alignment horizontal="center" vertical="center"/>
    </xf>
    <xf numFmtId="0" fontId="34" fillId="5" borderId="104" xfId="0" applyFont="1" applyFill="1" applyBorder="1" applyAlignment="1" applyProtection="1">
      <alignment horizontal="center" vertical="center"/>
      <protection locked="0"/>
    </xf>
    <xf numFmtId="0" fontId="34" fillId="5" borderId="105" xfId="0" applyFont="1" applyFill="1" applyBorder="1" applyAlignment="1" applyProtection="1">
      <alignment horizontal="center" vertical="center"/>
      <protection locked="0"/>
    </xf>
    <xf numFmtId="0" fontId="34" fillId="5" borderId="106" xfId="0" applyFont="1" applyFill="1" applyBorder="1" applyAlignment="1" applyProtection="1">
      <alignment horizontal="center" vertical="center"/>
      <protection locked="0"/>
    </xf>
    <xf numFmtId="0" fontId="34" fillId="4" borderId="104" xfId="0" applyFont="1" applyFill="1" applyBorder="1" applyAlignment="1" applyProtection="1">
      <alignment horizontal="center" vertical="center"/>
    </xf>
    <xf numFmtId="0" fontId="34" fillId="4" borderId="105" xfId="0" applyFont="1" applyFill="1" applyBorder="1" applyAlignment="1" applyProtection="1">
      <alignment horizontal="center" vertical="center"/>
    </xf>
    <xf numFmtId="0" fontId="34" fillId="4" borderId="106" xfId="0" applyFont="1" applyFill="1" applyBorder="1" applyAlignment="1" applyProtection="1">
      <alignment horizontal="center" vertical="center"/>
    </xf>
    <xf numFmtId="0" fontId="34" fillId="5" borderId="102" xfId="0" applyFont="1" applyFill="1" applyBorder="1" applyAlignment="1" applyProtection="1">
      <alignment horizontal="center" vertical="center"/>
      <protection locked="0"/>
    </xf>
    <xf numFmtId="0" fontId="34" fillId="5" borderId="88" xfId="0" applyFont="1" applyFill="1" applyBorder="1" applyAlignment="1" applyProtection="1">
      <alignment horizontal="center" vertical="center"/>
      <protection locked="0"/>
    </xf>
    <xf numFmtId="0" fontId="25" fillId="6" borderId="13" xfId="0" applyFont="1" applyFill="1" applyBorder="1" applyAlignment="1">
      <alignment horizontal="center" vertical="center"/>
    </xf>
    <xf numFmtId="0" fontId="25" fillId="2" borderId="19" xfId="0" applyFont="1" applyFill="1" applyBorder="1" applyAlignment="1">
      <alignment vertical="top"/>
    </xf>
    <xf numFmtId="0" fontId="34" fillId="10" borderId="19" xfId="0" applyFont="1" applyFill="1" applyBorder="1" applyAlignment="1">
      <alignment horizontal="left" vertical="top" wrapText="1"/>
    </xf>
    <xf numFmtId="0" fontId="33" fillId="0" borderId="42" xfId="0" applyFont="1" applyBorder="1" applyAlignment="1">
      <alignment horizontal="left" wrapText="1"/>
    </xf>
    <xf numFmtId="0" fontId="34" fillId="5" borderId="113" xfId="0" applyFont="1" applyFill="1" applyBorder="1" applyAlignment="1" applyProtection="1">
      <alignment horizontal="center" vertical="center"/>
      <protection locked="0"/>
    </xf>
    <xf numFmtId="0" fontId="34" fillId="5" borderId="114" xfId="0" applyFont="1" applyFill="1" applyBorder="1" applyAlignment="1" applyProtection="1">
      <alignment horizontal="center" vertical="center"/>
      <protection locked="0"/>
    </xf>
    <xf numFmtId="0" fontId="34" fillId="4" borderId="107" xfId="0" applyFont="1" applyFill="1" applyBorder="1" applyAlignment="1" applyProtection="1">
      <alignment horizontal="center" vertical="center"/>
    </xf>
    <xf numFmtId="0" fontId="34" fillId="4" borderId="108" xfId="0" applyFont="1" applyFill="1" applyBorder="1" applyAlignment="1" applyProtection="1">
      <alignment horizontal="center" vertical="center"/>
    </xf>
    <xf numFmtId="0" fontId="33" fillId="0" borderId="25" xfId="0" applyFont="1" applyBorder="1" applyAlignment="1">
      <alignment horizontal="left" wrapText="1"/>
    </xf>
    <xf numFmtId="0" fontId="34" fillId="5" borderId="115" xfId="0" applyFont="1" applyFill="1" applyBorder="1" applyAlignment="1" applyProtection="1">
      <alignment horizontal="center" vertical="center"/>
      <protection locked="0"/>
    </xf>
    <xf numFmtId="0" fontId="34" fillId="5" borderId="116" xfId="0" applyFont="1" applyFill="1" applyBorder="1" applyAlignment="1" applyProtection="1">
      <alignment horizontal="center" vertical="center"/>
      <protection locked="0"/>
    </xf>
    <xf numFmtId="0" fontId="34" fillId="5" borderId="117" xfId="0" applyFont="1" applyFill="1" applyBorder="1" applyAlignment="1" applyProtection="1">
      <alignment horizontal="center" vertical="center"/>
      <protection locked="0"/>
    </xf>
    <xf numFmtId="0" fontId="34" fillId="4" borderId="109" xfId="0" applyFont="1" applyFill="1" applyBorder="1" applyAlignment="1" applyProtection="1">
      <alignment horizontal="center" vertical="center"/>
    </xf>
    <xf numFmtId="0" fontId="34" fillId="4" borderId="110" xfId="0" applyFont="1" applyFill="1" applyBorder="1" applyAlignment="1" applyProtection="1">
      <alignment horizontal="center" vertical="center"/>
    </xf>
    <xf numFmtId="0" fontId="34" fillId="4" borderId="111" xfId="0" applyFont="1" applyFill="1" applyBorder="1" applyAlignment="1" applyProtection="1">
      <alignment horizontal="center" vertical="center"/>
    </xf>
    <xf numFmtId="0" fontId="34" fillId="5" borderId="103" xfId="0" applyFont="1" applyFill="1" applyBorder="1" applyAlignment="1" applyProtection="1">
      <alignment horizontal="center" vertical="center"/>
      <protection locked="0"/>
    </xf>
    <xf numFmtId="0" fontId="34" fillId="5" borderId="96" xfId="0" applyFont="1" applyFill="1" applyBorder="1" applyAlignment="1" applyProtection="1">
      <alignment horizontal="center" vertical="center"/>
      <protection locked="0"/>
    </xf>
    <xf numFmtId="0" fontId="25" fillId="2" borderId="19" xfId="0" applyFont="1" applyFill="1" applyBorder="1" applyAlignment="1">
      <alignment horizontal="left" vertical="top"/>
    </xf>
    <xf numFmtId="0" fontId="34" fillId="4" borderId="98" xfId="0" applyFont="1" applyFill="1" applyBorder="1" applyAlignment="1" applyProtection="1">
      <alignment horizontal="center" vertical="center"/>
    </xf>
    <xf numFmtId="0" fontId="34" fillId="4" borderId="100" xfId="0" applyFont="1" applyFill="1" applyBorder="1" applyAlignment="1" applyProtection="1">
      <alignment horizontal="center" vertical="center"/>
    </xf>
    <xf numFmtId="0" fontId="26" fillId="0" borderId="89" xfId="0" applyFont="1" applyBorder="1" applyAlignment="1" applyProtection="1">
      <alignment horizontal="center" vertical="center"/>
      <protection locked="0"/>
    </xf>
    <xf numFmtId="0" fontId="36" fillId="4" borderId="41" xfId="0" applyFont="1" applyFill="1" applyBorder="1" applyAlignment="1">
      <alignment horizontal="center" vertical="center"/>
    </xf>
    <xf numFmtId="0" fontId="34" fillId="4" borderId="93" xfId="0" applyFont="1" applyFill="1" applyBorder="1" applyAlignment="1" applyProtection="1">
      <alignment horizontal="center" vertical="center"/>
    </xf>
    <xf numFmtId="0" fontId="34" fillId="4" borderId="88" xfId="0" applyFont="1" applyFill="1" applyBorder="1" applyAlignment="1" applyProtection="1">
      <alignment horizontal="center" vertical="center"/>
    </xf>
    <xf numFmtId="0" fontId="34" fillId="4" borderId="94" xfId="0" applyFont="1" applyFill="1" applyBorder="1" applyAlignment="1" applyProtection="1">
      <alignment horizontal="center" vertical="center"/>
    </xf>
    <xf numFmtId="0" fontId="25" fillId="6" borderId="60" xfId="0" applyFont="1" applyFill="1" applyBorder="1" applyAlignment="1">
      <alignment horizontal="center" vertical="center"/>
    </xf>
    <xf numFmtId="0" fontId="36" fillId="4" borderId="49" xfId="0" applyFont="1" applyFill="1" applyBorder="1" applyAlignment="1">
      <alignment horizontal="center" vertical="center"/>
    </xf>
    <xf numFmtId="0" fontId="34" fillId="4" borderId="95" xfId="0" applyFont="1" applyFill="1" applyBorder="1" applyAlignment="1" applyProtection="1">
      <alignment horizontal="center" vertical="center"/>
    </xf>
    <xf numFmtId="0" fontId="34" fillId="4" borderId="96" xfId="0" applyFont="1" applyFill="1" applyBorder="1" applyAlignment="1" applyProtection="1">
      <alignment horizontal="center" vertical="center"/>
    </xf>
    <xf numFmtId="0" fontId="34" fillId="4" borderId="97" xfId="0" applyFont="1" applyFill="1" applyBorder="1" applyAlignment="1" applyProtection="1">
      <alignment horizontal="center" vertical="center"/>
    </xf>
    <xf numFmtId="0" fontId="25" fillId="6" borderId="89" xfId="0" applyFont="1" applyFill="1" applyBorder="1" applyAlignment="1">
      <alignment horizontal="center" vertical="center"/>
    </xf>
    <xf numFmtId="0" fontId="22" fillId="6" borderId="43" xfId="0" applyFont="1" applyFill="1" applyBorder="1" applyAlignment="1">
      <alignment horizontal="left" wrapText="1"/>
    </xf>
    <xf numFmtId="0" fontId="36" fillId="4" borderId="48" xfId="0" applyFont="1" applyFill="1" applyBorder="1" applyAlignment="1">
      <alignment horizontal="center" vertical="center"/>
    </xf>
    <xf numFmtId="49" fontId="25" fillId="6" borderId="28" xfId="0" applyNumberFormat="1" applyFont="1" applyFill="1" applyBorder="1" applyAlignment="1" applyProtection="1">
      <alignment horizontal="center" vertical="center"/>
    </xf>
    <xf numFmtId="0" fontId="25" fillId="6" borderId="59" xfId="0" applyFont="1" applyFill="1" applyBorder="1" applyAlignment="1">
      <alignment horizontal="center" vertical="center"/>
    </xf>
    <xf numFmtId="0" fontId="34" fillId="10" borderId="19" xfId="0" applyFont="1" applyFill="1" applyBorder="1" applyAlignment="1">
      <alignment horizontal="left" vertical="top"/>
    </xf>
    <xf numFmtId="0" fontId="34" fillId="4" borderId="90" xfId="0" applyFont="1" applyFill="1" applyBorder="1" applyAlignment="1" applyProtection="1">
      <alignment horizontal="center" vertical="center"/>
    </xf>
    <xf numFmtId="0" fontId="34" fillId="4" borderId="91" xfId="0" applyFont="1" applyFill="1" applyBorder="1" applyAlignment="1" applyProtection="1">
      <alignment horizontal="center" vertical="center"/>
    </xf>
    <xf numFmtId="0" fontId="34" fillId="4" borderId="92" xfId="0" applyFont="1" applyFill="1" applyBorder="1" applyAlignment="1" applyProtection="1">
      <alignment horizontal="center" vertical="center"/>
    </xf>
    <xf numFmtId="0" fontId="25" fillId="6" borderId="12" xfId="0" applyFont="1" applyFill="1" applyBorder="1" applyAlignment="1">
      <alignment horizontal="center" vertical="center"/>
    </xf>
    <xf numFmtId="0" fontId="33" fillId="0" borderId="24" xfId="0" applyFont="1" applyBorder="1" applyAlignment="1">
      <alignment horizontal="left" wrapText="1"/>
    </xf>
    <xf numFmtId="0" fontId="25" fillId="6" borderId="29" xfId="0" applyFont="1" applyFill="1" applyBorder="1" applyAlignment="1">
      <alignment horizontal="center" vertical="center"/>
    </xf>
    <xf numFmtId="0" fontId="25" fillId="6" borderId="62" xfId="0" applyFont="1" applyFill="1" applyBorder="1" applyAlignment="1">
      <alignment horizontal="center" vertical="center"/>
    </xf>
    <xf numFmtId="0" fontId="26" fillId="4" borderId="10" xfId="0" applyFont="1" applyFill="1" applyBorder="1" applyAlignment="1">
      <alignment horizontal="center" vertical="center"/>
    </xf>
    <xf numFmtId="49" fontId="25" fillId="6" borderId="58" xfId="0" applyNumberFormat="1" applyFont="1" applyFill="1" applyBorder="1" applyAlignment="1" applyProtection="1">
      <alignment horizontal="center" vertical="center"/>
    </xf>
    <xf numFmtId="0" fontId="39" fillId="0" borderId="40" xfId="0" applyFont="1" applyFill="1" applyBorder="1" applyAlignment="1">
      <alignment horizontal="center"/>
    </xf>
    <xf numFmtId="49" fontId="38" fillId="4" borderId="14" xfId="1" applyNumberFormat="1" applyFont="1" applyFill="1" applyBorder="1" applyAlignment="1">
      <alignment horizontal="center" vertical="center"/>
    </xf>
    <xf numFmtId="0" fontId="27" fillId="0" borderId="0" xfId="0" applyFont="1" applyFill="1" applyBorder="1" applyAlignment="1">
      <alignment horizontal="center" vertical="center"/>
    </xf>
    <xf numFmtId="0" fontId="27" fillId="0" borderId="40" xfId="0" applyFont="1" applyFill="1" applyBorder="1" applyAlignment="1">
      <alignment horizontal="center" vertical="center"/>
    </xf>
    <xf numFmtId="0" fontId="22" fillId="6" borderId="10" xfId="0" applyFont="1" applyFill="1" applyBorder="1" applyAlignment="1">
      <alignment vertical="center" wrapText="1"/>
    </xf>
    <xf numFmtId="0" fontId="23" fillId="3" borderId="10" xfId="0" applyFont="1" applyFill="1" applyBorder="1" applyAlignment="1">
      <alignment horizontal="left" vertical="center"/>
    </xf>
    <xf numFmtId="0" fontId="33" fillId="0" borderId="23" xfId="0" applyFont="1" applyBorder="1" applyAlignment="1">
      <alignment horizontal="left" vertical="center" wrapText="1"/>
    </xf>
    <xf numFmtId="0" fontId="34" fillId="4" borderId="30" xfId="0" applyFont="1" applyFill="1" applyBorder="1" applyAlignment="1" applyProtection="1">
      <alignment horizontal="center" vertical="center"/>
    </xf>
    <xf numFmtId="0" fontId="34" fillId="4" borderId="9" xfId="0" applyFont="1" applyFill="1" applyBorder="1" applyAlignment="1" applyProtection="1">
      <alignment horizontal="center" vertical="center"/>
    </xf>
    <xf numFmtId="0" fontId="34" fillId="4" borderId="29" xfId="0" applyFont="1" applyFill="1" applyBorder="1" applyAlignment="1" applyProtection="1">
      <alignment horizontal="center" vertical="center"/>
    </xf>
    <xf numFmtId="0" fontId="34" fillId="0" borderId="26" xfId="0" applyFont="1" applyBorder="1" applyAlignment="1" applyProtection="1">
      <alignment horizontal="center" vertical="center"/>
      <protection locked="0"/>
    </xf>
    <xf numFmtId="0" fontId="34" fillId="6" borderId="20" xfId="0" applyFont="1" applyFill="1" applyBorder="1" applyAlignment="1" applyProtection="1">
      <alignment horizontal="center" vertical="center"/>
    </xf>
    <xf numFmtId="0" fontId="25" fillId="2" borderId="35" xfId="0" applyFont="1" applyFill="1" applyBorder="1" applyAlignment="1">
      <alignment vertical="center"/>
    </xf>
    <xf numFmtId="0" fontId="34" fillId="10" borderId="35" xfId="0" applyFont="1" applyFill="1" applyBorder="1" applyAlignment="1">
      <alignment horizontal="left" vertical="center" wrapText="1"/>
    </xf>
    <xf numFmtId="0" fontId="33" fillId="0" borderId="24" xfId="0" applyFont="1" applyBorder="1" applyAlignment="1">
      <alignment horizontal="left" vertical="center" wrapText="1"/>
    </xf>
    <xf numFmtId="0" fontId="26" fillId="4" borderId="41" xfId="0" applyFont="1" applyFill="1" applyBorder="1" applyAlignment="1">
      <alignment horizontal="center" vertical="center"/>
    </xf>
    <xf numFmtId="0" fontId="34" fillId="10" borderId="19" xfId="0" applyFont="1" applyFill="1" applyBorder="1" applyAlignment="1">
      <alignment horizontal="left" vertical="center" wrapText="1"/>
    </xf>
    <xf numFmtId="0" fontId="25" fillId="2" borderId="34" xfId="0" applyFont="1" applyFill="1" applyBorder="1" applyAlignment="1">
      <alignment horizontal="left" vertical="center"/>
    </xf>
    <xf numFmtId="0" fontId="34" fillId="10" borderId="19" xfId="0" applyFont="1" applyFill="1" applyBorder="1" applyAlignment="1">
      <alignment horizontal="left" vertical="center"/>
    </xf>
    <xf numFmtId="0" fontId="25" fillId="2" borderId="161" xfId="0" applyFont="1" applyFill="1" applyBorder="1" applyAlignment="1">
      <alignment horizontal="left" vertical="center"/>
    </xf>
    <xf numFmtId="0" fontId="33" fillId="0" borderId="25" xfId="0" applyFont="1" applyBorder="1" applyAlignment="1">
      <alignment horizontal="left" vertical="center"/>
    </xf>
    <xf numFmtId="0" fontId="26" fillId="4" borderId="49" xfId="0" applyFont="1" applyFill="1" applyBorder="1" applyAlignment="1">
      <alignment horizontal="center" vertical="center"/>
    </xf>
    <xf numFmtId="0" fontId="34" fillId="4" borderId="58" xfId="0" applyFont="1" applyFill="1" applyBorder="1" applyAlignment="1" applyProtection="1">
      <alignment horizontal="center" vertical="center"/>
    </xf>
    <xf numFmtId="0" fontId="34" fillId="4" borderId="51" xfId="0" applyFont="1" applyFill="1" applyBorder="1" applyAlignment="1" applyProtection="1">
      <alignment horizontal="center" vertical="center"/>
    </xf>
    <xf numFmtId="0" fontId="34" fillId="4" borderId="62" xfId="0" applyFont="1" applyFill="1" applyBorder="1" applyAlignment="1" applyProtection="1">
      <alignment horizontal="center" vertical="center"/>
    </xf>
    <xf numFmtId="0" fontId="25" fillId="2" borderId="161" xfId="0" applyFont="1" applyFill="1" applyBorder="1" applyAlignment="1">
      <alignment vertical="center"/>
    </xf>
    <xf numFmtId="0" fontId="33" fillId="0" borderId="45" xfId="0" applyFont="1" applyFill="1" applyBorder="1" applyAlignment="1">
      <alignment horizontal="left" vertical="center" wrapText="1"/>
    </xf>
    <xf numFmtId="0" fontId="34" fillId="4" borderId="26" xfId="0" applyFont="1" applyFill="1" applyBorder="1" applyAlignment="1" applyProtection="1">
      <alignment horizontal="center" vertical="center"/>
    </xf>
    <xf numFmtId="0" fontId="34" fillId="4" borderId="11" xfId="0" applyFont="1" applyFill="1" applyBorder="1" applyAlignment="1" applyProtection="1">
      <alignment horizontal="center" vertical="center"/>
    </xf>
    <xf numFmtId="0" fontId="34" fillId="4" borderId="12" xfId="0" applyFont="1" applyFill="1" applyBorder="1" applyAlignment="1" applyProtection="1">
      <alignment horizontal="center" vertical="center"/>
    </xf>
    <xf numFmtId="0" fontId="42" fillId="6" borderId="23" xfId="0" applyFont="1" applyFill="1" applyBorder="1" applyAlignment="1">
      <alignment horizontal="center" vertical="center"/>
    </xf>
    <xf numFmtId="0" fontId="33" fillId="0" borderId="19" xfId="0" applyFont="1" applyBorder="1" applyAlignment="1">
      <alignment horizontal="left" vertical="center" wrapText="1"/>
    </xf>
    <xf numFmtId="0" fontId="34" fillId="0" borderId="8" xfId="0" applyFont="1" applyBorder="1" applyAlignment="1" applyProtection="1">
      <alignment horizontal="center" vertical="center"/>
      <protection locked="0"/>
    </xf>
    <xf numFmtId="0" fontId="25" fillId="6" borderId="24" xfId="0" applyFont="1" applyFill="1" applyBorder="1" applyAlignment="1">
      <alignment horizontal="center" vertical="center"/>
    </xf>
    <xf numFmtId="0" fontId="33" fillId="0" borderId="44" xfId="0" applyFont="1" applyBorder="1" applyAlignment="1">
      <alignment horizontal="left" vertical="center" wrapText="1"/>
    </xf>
    <xf numFmtId="0" fontId="34" fillId="0" borderId="27" xfId="0" applyFont="1" applyBorder="1" applyAlignment="1" applyProtection="1">
      <alignment horizontal="center" vertical="center"/>
      <protection locked="0"/>
    </xf>
    <xf numFmtId="0" fontId="25" fillId="6" borderId="25" xfId="0" applyFont="1" applyFill="1" applyBorder="1" applyAlignment="1">
      <alignment horizontal="center" vertical="center"/>
    </xf>
    <xf numFmtId="0" fontId="34" fillId="4" borderId="17" xfId="0" applyFont="1" applyFill="1" applyBorder="1" applyAlignment="1" applyProtection="1">
      <alignment horizontal="center" vertical="center"/>
    </xf>
    <xf numFmtId="0" fontId="34" fillId="0" borderId="23" xfId="0" applyFont="1" applyBorder="1" applyAlignment="1" applyProtection="1">
      <alignment horizontal="center" vertical="center"/>
      <protection locked="0"/>
    </xf>
    <xf numFmtId="0" fontId="34" fillId="0" borderId="24" xfId="0" applyFont="1" applyBorder="1" applyAlignment="1" applyProtection="1">
      <alignment horizontal="center" vertical="center"/>
      <protection locked="0"/>
    </xf>
    <xf numFmtId="0" fontId="34" fillId="0" borderId="25" xfId="0" applyFont="1" applyBorder="1" applyAlignment="1" applyProtection="1">
      <alignment horizontal="center" vertical="center"/>
      <protection locked="0"/>
    </xf>
    <xf numFmtId="0" fontId="34" fillId="0" borderId="11"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14" xfId="0" applyFont="1" applyBorder="1" applyAlignment="1" applyProtection="1">
      <alignment horizontal="center" vertical="center"/>
      <protection locked="0"/>
    </xf>
    <xf numFmtId="0" fontId="22" fillId="6" borderId="31" xfId="0" applyFont="1" applyFill="1" applyBorder="1" applyAlignment="1">
      <alignment vertical="center" wrapText="1"/>
    </xf>
    <xf numFmtId="0" fontId="25" fillId="6" borderId="130" xfId="0" applyFont="1" applyFill="1" applyBorder="1" applyAlignment="1" applyProtection="1">
      <alignment horizontal="center" vertical="center"/>
    </xf>
    <xf numFmtId="0" fontId="25" fillId="6" borderId="16" xfId="0" applyFont="1" applyFill="1" applyBorder="1" applyAlignment="1" applyProtection="1">
      <alignment horizontal="center" vertical="center"/>
    </xf>
    <xf numFmtId="0" fontId="25" fillId="2" borderId="54" xfId="0" applyFont="1" applyFill="1" applyBorder="1" applyAlignment="1">
      <alignment horizontal="left" vertical="center"/>
    </xf>
    <xf numFmtId="0" fontId="25" fillId="10" borderId="19" xfId="0" applyFont="1" applyFill="1" applyBorder="1" applyAlignment="1">
      <alignment horizontal="left" vertical="center" wrapText="1"/>
    </xf>
    <xf numFmtId="0" fontId="33" fillId="0" borderId="36" xfId="0" applyFont="1" applyFill="1" applyBorder="1" applyAlignment="1">
      <alignment horizontal="left" vertical="center"/>
    </xf>
    <xf numFmtId="0" fontId="25" fillId="6" borderId="32" xfId="0" applyFont="1" applyFill="1" applyBorder="1" applyAlignment="1">
      <alignment horizontal="center" vertical="center"/>
    </xf>
    <xf numFmtId="0" fontId="34" fillId="2" borderId="53" xfId="0" applyFont="1" applyFill="1" applyBorder="1" applyAlignment="1">
      <alignment horizontal="left" vertical="center"/>
    </xf>
    <xf numFmtId="0" fontId="33" fillId="0" borderId="24" xfId="0" applyFont="1" applyFill="1" applyBorder="1" applyAlignment="1">
      <alignment horizontal="left" vertical="center"/>
    </xf>
    <xf numFmtId="0" fontId="25" fillId="6" borderId="21" xfId="0" applyFont="1" applyFill="1" applyBorder="1" applyAlignment="1">
      <alignment horizontal="center" vertical="center"/>
    </xf>
    <xf numFmtId="0" fontId="34" fillId="2" borderId="54" xfId="0" applyFont="1" applyFill="1" applyBorder="1" applyAlignment="1">
      <alignment horizontal="left" vertical="center"/>
    </xf>
    <xf numFmtId="0" fontId="25" fillId="6" borderId="22" xfId="0" applyFont="1" applyFill="1" applyBorder="1" applyAlignment="1">
      <alignment horizontal="center" vertical="center"/>
    </xf>
    <xf numFmtId="0" fontId="34" fillId="2" borderId="50" xfId="0" applyFont="1" applyFill="1" applyBorder="1" applyAlignment="1">
      <alignment horizontal="left" vertical="center"/>
    </xf>
    <xf numFmtId="0" fontId="33" fillId="0" borderId="25" xfId="0" applyFont="1" applyFill="1" applyBorder="1" applyAlignment="1">
      <alignment horizontal="left" vertical="center"/>
    </xf>
    <xf numFmtId="0" fontId="34" fillId="4" borderId="129" xfId="0" applyFont="1" applyFill="1" applyBorder="1" applyAlignment="1" applyProtection="1">
      <alignment horizontal="center" vertical="center"/>
    </xf>
    <xf numFmtId="0" fontId="44" fillId="0" borderId="10" xfId="0" applyFont="1" applyBorder="1" applyAlignment="1" applyProtection="1">
      <alignment horizontal="center" vertical="center"/>
      <protection locked="0"/>
    </xf>
    <xf numFmtId="0" fontId="34" fillId="0" borderId="30" xfId="0" applyFont="1" applyBorder="1" applyAlignment="1" applyProtection="1">
      <alignment horizontal="center" vertical="center"/>
      <protection locked="0"/>
    </xf>
    <xf numFmtId="0" fontId="34" fillId="2" borderId="19" xfId="0" applyFont="1" applyFill="1" applyBorder="1" applyAlignment="1">
      <alignment horizontal="left" vertical="center"/>
    </xf>
    <xf numFmtId="0" fontId="33" fillId="0" borderId="25" xfId="0" applyFont="1" applyBorder="1" applyAlignment="1">
      <alignment horizontal="left" vertical="center" wrapText="1"/>
    </xf>
    <xf numFmtId="0" fontId="25" fillId="6" borderId="23" xfId="0" applyFont="1" applyFill="1" applyBorder="1" applyAlignment="1">
      <alignment horizontal="center" vertical="center"/>
    </xf>
    <xf numFmtId="0" fontId="34" fillId="2" borderId="32" xfId="0" applyFont="1" applyFill="1" applyBorder="1" applyAlignment="1">
      <alignment vertical="center"/>
    </xf>
    <xf numFmtId="0" fontId="22" fillId="0" borderId="42" xfId="0" applyFont="1" applyBorder="1" applyAlignment="1">
      <alignment horizontal="left" vertical="center" wrapText="1"/>
    </xf>
    <xf numFmtId="0" fontId="44" fillId="0" borderId="14" xfId="0" applyFont="1" applyBorder="1" applyAlignment="1" applyProtection="1">
      <alignment horizontal="center" vertical="center"/>
      <protection locked="0"/>
    </xf>
    <xf numFmtId="0" fontId="44" fillId="0" borderId="37" xfId="0" applyFont="1" applyBorder="1" applyAlignment="1" applyProtection="1">
      <alignment horizontal="center" vertical="center"/>
      <protection locked="0"/>
    </xf>
    <xf numFmtId="0" fontId="25" fillId="2" borderId="21" xfId="0" applyFont="1" applyFill="1" applyBorder="1" applyAlignment="1">
      <alignment vertical="center"/>
    </xf>
    <xf numFmtId="0" fontId="33" fillId="14" borderId="20" xfId="0" applyFont="1" applyFill="1" applyBorder="1" applyAlignment="1">
      <alignment horizontal="left" vertical="center" wrapText="1"/>
    </xf>
    <xf numFmtId="0" fontId="22" fillId="14" borderId="22" xfId="0" applyFont="1" applyFill="1" applyBorder="1" applyAlignment="1">
      <alignment horizontal="left" vertical="center" wrapText="1"/>
    </xf>
    <xf numFmtId="0" fontId="33" fillId="0" borderId="20" xfId="0" applyFont="1" applyBorder="1" applyAlignment="1">
      <alignment horizontal="left" vertical="center" wrapText="1"/>
    </xf>
    <xf numFmtId="0" fontId="34" fillId="4" borderId="119" xfId="0" applyFont="1" applyFill="1" applyBorder="1" applyAlignment="1" applyProtection="1">
      <alignment horizontal="center" vertical="center"/>
    </xf>
    <xf numFmtId="0" fontId="34" fillId="0" borderId="20" xfId="0" applyFont="1" applyBorder="1" applyAlignment="1" applyProtection="1">
      <alignment horizontal="center" vertical="center"/>
      <protection locked="0"/>
    </xf>
    <xf numFmtId="0" fontId="34" fillId="2" borderId="21" xfId="0" applyFont="1" applyFill="1" applyBorder="1" applyAlignment="1">
      <alignment vertical="center"/>
    </xf>
    <xf numFmtId="0" fontId="22" fillId="0" borderId="22" xfId="0" applyFont="1" applyBorder="1" applyAlignment="1">
      <alignment horizontal="left" vertical="center" wrapText="1"/>
    </xf>
    <xf numFmtId="0" fontId="44" fillId="0" borderId="22" xfId="0" applyFont="1" applyBorder="1" applyAlignment="1" applyProtection="1">
      <alignment horizontal="center" vertical="center"/>
      <protection locked="0"/>
    </xf>
    <xf numFmtId="0" fontId="34" fillId="2" borderId="21" xfId="0" applyFont="1" applyFill="1" applyBorder="1" applyAlignment="1">
      <alignment horizontal="left" vertical="center"/>
    </xf>
    <xf numFmtId="0" fontId="34" fillId="0" borderId="9" xfId="0" applyFont="1" applyBorder="1" applyAlignment="1" applyProtection="1">
      <alignment horizontal="center" vertical="center"/>
      <protection locked="0"/>
    </xf>
    <xf numFmtId="0" fontId="34" fillId="0" borderId="17" xfId="0" applyFont="1" applyBorder="1" applyAlignment="1" applyProtection="1">
      <alignment horizontal="center" vertical="center"/>
      <protection locked="0"/>
    </xf>
    <xf numFmtId="0" fontId="25" fillId="6" borderId="36" xfId="0" applyFont="1" applyFill="1" applyBorder="1" applyAlignment="1">
      <alignment horizontal="center" vertical="center"/>
    </xf>
    <xf numFmtId="0" fontId="34" fillId="2" borderId="32" xfId="0" applyFont="1" applyFill="1" applyBorder="1" applyAlignment="1">
      <alignment horizontal="left" vertical="center"/>
    </xf>
    <xf numFmtId="0" fontId="34" fillId="10" borderId="35" xfId="0" applyFont="1" applyFill="1" applyBorder="1" applyAlignment="1">
      <alignment horizontal="left" vertical="center"/>
    </xf>
    <xf numFmtId="0" fontId="34" fillId="0" borderId="37" xfId="0" applyFont="1" applyBorder="1" applyAlignment="1" applyProtection="1">
      <alignment horizontal="center" vertical="center"/>
      <protection locked="0"/>
    </xf>
    <xf numFmtId="0" fontId="34" fillId="0" borderId="11" xfId="0" applyFont="1" applyBorder="1" applyAlignment="1" applyProtection="1">
      <alignment horizontal="center" vertical="center" wrapText="1"/>
      <protection locked="0"/>
    </xf>
    <xf numFmtId="0" fontId="34" fillId="0" borderId="119" xfId="0" applyFont="1" applyBorder="1" applyAlignment="1" applyProtection="1">
      <alignment horizontal="center" vertical="center" wrapText="1"/>
      <protection locked="0"/>
    </xf>
    <xf numFmtId="0" fontId="34" fillId="0" borderId="14" xfId="0" applyFont="1" applyBorder="1" applyAlignment="1" applyProtection="1">
      <alignment horizontal="center" vertical="center" wrapText="1"/>
      <protection locked="0"/>
    </xf>
    <xf numFmtId="0" fontId="34" fillId="0" borderId="37" xfId="0" applyFont="1" applyBorder="1" applyAlignment="1" applyProtection="1">
      <alignment horizontal="center" vertical="center" wrapText="1"/>
      <protection locked="0"/>
    </xf>
    <xf numFmtId="0" fontId="34" fillId="5" borderId="11" xfId="0" applyFont="1" applyFill="1" applyBorder="1" applyAlignment="1" applyProtection="1">
      <alignment horizontal="center" vertical="center"/>
      <protection locked="0"/>
    </xf>
    <xf numFmtId="0" fontId="34" fillId="5" borderId="119" xfId="0" applyFont="1" applyFill="1" applyBorder="1" applyAlignment="1" applyProtection="1">
      <alignment horizontal="center" vertical="center"/>
      <protection locked="0"/>
    </xf>
    <xf numFmtId="0" fontId="34" fillId="5" borderId="14" xfId="0" applyFont="1" applyFill="1" applyBorder="1" applyAlignment="1" applyProtection="1">
      <alignment horizontal="center" vertical="center"/>
      <protection locked="0"/>
    </xf>
    <xf numFmtId="0" fontId="34" fillId="5" borderId="37" xfId="0" applyFont="1" applyFill="1" applyBorder="1" applyAlignment="1" applyProtection="1">
      <alignment horizontal="center" vertical="center"/>
      <protection locked="0"/>
    </xf>
    <xf numFmtId="0" fontId="34" fillId="4" borderId="28" xfId="0" applyFont="1" applyFill="1" applyBorder="1" applyAlignment="1" applyProtection="1">
      <alignment horizontal="center" vertical="center"/>
    </xf>
    <xf numFmtId="0" fontId="34" fillId="4" borderId="15" xfId="0" applyFont="1" applyFill="1" applyBorder="1" applyAlignment="1" applyProtection="1">
      <alignment horizontal="center" vertical="center"/>
    </xf>
    <xf numFmtId="0" fontId="34" fillId="5" borderId="142" xfId="0" applyFont="1" applyFill="1" applyBorder="1" applyAlignment="1" applyProtection="1">
      <alignment horizontal="center" vertical="center"/>
      <protection locked="0"/>
    </xf>
    <xf numFmtId="0" fontId="34" fillId="5" borderId="143" xfId="0" applyFont="1" applyFill="1" applyBorder="1" applyAlignment="1" applyProtection="1">
      <alignment horizontal="center" vertical="center"/>
      <protection locked="0"/>
    </xf>
    <xf numFmtId="0" fontId="25" fillId="6" borderId="42" xfId="0" applyFont="1" applyFill="1" applyBorder="1" applyAlignment="1">
      <alignment horizontal="center" vertical="center"/>
    </xf>
    <xf numFmtId="0" fontId="33" fillId="6" borderId="20" xfId="0" applyFont="1" applyFill="1" applyBorder="1" applyAlignment="1">
      <alignment horizontal="left" vertical="center" wrapText="1"/>
    </xf>
    <xf numFmtId="0" fontId="34" fillId="6" borderId="144" xfId="0" applyFont="1" applyFill="1" applyBorder="1" applyAlignment="1" applyProtection="1">
      <alignment horizontal="center" vertical="center"/>
    </xf>
    <xf numFmtId="0" fontId="34" fillId="6" borderId="145" xfId="0" applyFont="1" applyFill="1" applyBorder="1" applyAlignment="1" applyProtection="1">
      <alignment horizontal="center" vertical="center"/>
    </xf>
    <xf numFmtId="0" fontId="34" fillId="6" borderId="146" xfId="0" applyFont="1" applyFill="1" applyBorder="1" applyAlignment="1" applyProtection="1">
      <alignment horizontal="center" vertical="center"/>
    </xf>
    <xf numFmtId="0" fontId="34" fillId="6" borderId="151" xfId="0" applyFont="1" applyFill="1" applyBorder="1" applyAlignment="1" applyProtection="1">
      <alignment horizontal="center" vertical="center"/>
    </xf>
    <xf numFmtId="0" fontId="22" fillId="6" borderId="22" xfId="0" applyFont="1" applyFill="1" applyBorder="1" applyAlignment="1">
      <alignment horizontal="left" vertical="center" wrapText="1"/>
    </xf>
    <xf numFmtId="0" fontId="26" fillId="4" borderId="61" xfId="0" applyFont="1" applyFill="1" applyBorder="1" applyAlignment="1">
      <alignment horizontal="center" vertical="center"/>
    </xf>
    <xf numFmtId="0" fontId="34" fillId="6" borderId="147" xfId="0" applyFont="1" applyFill="1" applyBorder="1" applyAlignment="1" applyProtection="1">
      <alignment horizontal="center" vertical="center"/>
    </xf>
    <xf numFmtId="0" fontId="34" fillId="6" borderId="148" xfId="0" applyFont="1" applyFill="1" applyBorder="1" applyAlignment="1" applyProtection="1">
      <alignment horizontal="center" vertical="center"/>
    </xf>
    <xf numFmtId="0" fontId="34" fillId="6" borderId="149" xfId="0" applyFont="1" applyFill="1" applyBorder="1" applyAlignment="1" applyProtection="1">
      <alignment horizontal="center" vertical="center"/>
    </xf>
    <xf numFmtId="0" fontId="34" fillId="6" borderId="152" xfId="0" applyFont="1" applyFill="1" applyBorder="1" applyAlignment="1" applyProtection="1">
      <alignment horizontal="center" vertical="center"/>
    </xf>
    <xf numFmtId="0" fontId="34" fillId="6" borderId="26" xfId="0" applyFont="1" applyFill="1" applyBorder="1" applyAlignment="1" applyProtection="1">
      <alignment horizontal="center" vertical="center"/>
    </xf>
    <xf numFmtId="0" fontId="34" fillId="6" borderId="153" xfId="0" applyFont="1" applyFill="1" applyBorder="1" applyAlignment="1" applyProtection="1">
      <alignment horizontal="center" vertical="center"/>
    </xf>
    <xf numFmtId="0" fontId="34" fillId="6" borderId="150" xfId="0" applyFont="1" applyFill="1" applyBorder="1" applyAlignment="1" applyProtection="1">
      <alignment horizontal="center" vertical="center"/>
    </xf>
    <xf numFmtId="0" fontId="33" fillId="0" borderId="23" xfId="0" applyFont="1" applyFill="1" applyBorder="1" applyAlignment="1">
      <alignment horizontal="left" vertical="center" wrapText="1"/>
    </xf>
    <xf numFmtId="0" fontId="34" fillId="0" borderId="119" xfId="0" applyFont="1" applyBorder="1" applyAlignment="1" applyProtection="1">
      <alignment horizontal="center" vertical="center"/>
      <protection locked="0"/>
    </xf>
    <xf numFmtId="0" fontId="25" fillId="6" borderId="20" xfId="0" applyFont="1" applyFill="1" applyBorder="1" applyAlignment="1">
      <alignment horizontal="center" vertical="center"/>
    </xf>
    <xf numFmtId="0" fontId="34" fillId="2" borderId="35" xfId="0" applyFont="1" applyFill="1" applyBorder="1" applyAlignment="1">
      <alignment horizontal="left" vertical="center"/>
    </xf>
    <xf numFmtId="0" fontId="33" fillId="0" borderId="24" xfId="0" applyFont="1" applyFill="1" applyBorder="1" applyAlignment="1">
      <alignment horizontal="left" vertical="center" wrapText="1"/>
    </xf>
    <xf numFmtId="0" fontId="34" fillId="0" borderId="18" xfId="0" applyFont="1" applyBorder="1" applyAlignment="1" applyProtection="1">
      <alignment horizontal="center" vertical="center"/>
      <protection locked="0"/>
    </xf>
    <xf numFmtId="0" fontId="22" fillId="0" borderId="25" xfId="0" applyFont="1" applyFill="1" applyBorder="1" applyAlignment="1">
      <alignment horizontal="left" vertical="center" wrapText="1"/>
    </xf>
    <xf numFmtId="0" fontId="41" fillId="2" borderId="41" xfId="0" applyFont="1" applyFill="1" applyBorder="1" applyAlignment="1">
      <alignment vertical="center" wrapText="1"/>
    </xf>
    <xf numFmtId="0" fontId="26" fillId="10" borderId="41" xfId="0" applyFont="1" applyFill="1" applyBorder="1" applyAlignment="1">
      <alignment vertical="center" wrapText="1"/>
    </xf>
    <xf numFmtId="0" fontId="22" fillId="6" borderId="36" xfId="0" applyFont="1" applyFill="1" applyBorder="1" applyAlignment="1">
      <alignment horizontal="left" vertical="center" wrapText="1"/>
    </xf>
    <xf numFmtId="0" fontId="34" fillId="6" borderId="30" xfId="0" applyFont="1" applyFill="1" applyBorder="1" applyAlignment="1" applyProtection="1">
      <alignment horizontal="center" vertical="center"/>
    </xf>
    <xf numFmtId="0" fontId="34" fillId="6" borderId="9" xfId="0" applyFont="1" applyFill="1" applyBorder="1" applyAlignment="1" applyProtection="1">
      <alignment horizontal="center" vertical="center"/>
    </xf>
    <xf numFmtId="0" fontId="34" fillId="6" borderId="17" xfId="0" applyFont="1" applyFill="1" applyBorder="1" applyAlignment="1" applyProtection="1">
      <alignment horizontal="center" vertical="center"/>
    </xf>
    <xf numFmtId="0" fontId="22" fillId="6" borderId="25" xfId="0" applyFont="1" applyFill="1" applyBorder="1" applyAlignment="1">
      <alignment horizontal="left" vertical="center" wrapText="1"/>
    </xf>
    <xf numFmtId="0" fontId="34" fillId="6" borderId="7" xfId="0" applyFont="1" applyFill="1" applyBorder="1" applyAlignment="1" applyProtection="1">
      <alignment horizontal="center" vertical="center"/>
    </xf>
    <xf numFmtId="0" fontId="34" fillId="6" borderId="22" xfId="0" applyFont="1" applyFill="1" applyBorder="1" applyAlignment="1" applyProtection="1">
      <alignment horizontal="center" vertical="center"/>
    </xf>
    <xf numFmtId="0" fontId="34" fillId="2" borderId="34" xfId="0" applyFont="1" applyFill="1" applyBorder="1" applyAlignment="1">
      <alignment horizontal="left" vertical="center"/>
    </xf>
    <xf numFmtId="0" fontId="25" fillId="6" borderId="33" xfId="0" applyFont="1" applyFill="1" applyBorder="1" applyAlignment="1">
      <alignment horizontal="center" vertical="center"/>
    </xf>
    <xf numFmtId="0" fontId="34" fillId="0" borderId="10" xfId="0" applyFont="1" applyBorder="1" applyAlignment="1" applyProtection="1">
      <alignment horizontal="center" vertical="center"/>
      <protection locked="0"/>
    </xf>
    <xf numFmtId="0" fontId="33" fillId="0" borderId="25" xfId="0" applyFont="1" applyFill="1" applyBorder="1" applyAlignment="1">
      <alignment horizontal="left" vertical="center" wrapText="1"/>
    </xf>
    <xf numFmtId="0" fontId="26" fillId="4" borderId="101" xfId="0" applyFont="1" applyFill="1" applyBorder="1" applyAlignment="1">
      <alignment horizontal="center" vertical="center"/>
    </xf>
    <xf numFmtId="0" fontId="34" fillId="4" borderId="57" xfId="0" applyFont="1" applyFill="1" applyBorder="1" applyAlignment="1" applyProtection="1">
      <alignment horizontal="center" vertical="center"/>
    </xf>
    <xf numFmtId="0" fontId="34" fillId="0" borderId="12" xfId="0" applyFont="1" applyBorder="1" applyAlignment="1" applyProtection="1">
      <alignment horizontal="center" vertical="center"/>
      <protection locked="0"/>
    </xf>
    <xf numFmtId="0" fontId="34" fillId="4" borderId="127" xfId="0" applyFont="1" applyFill="1" applyBorder="1" applyAlignment="1" applyProtection="1">
      <alignment horizontal="center" vertical="center"/>
    </xf>
    <xf numFmtId="0" fontId="34" fillId="0" borderId="13" xfId="0" applyFont="1" applyBorder="1" applyAlignment="1" applyProtection="1">
      <alignment horizontal="center" vertical="center"/>
      <protection locked="0"/>
    </xf>
    <xf numFmtId="0" fontId="34" fillId="4" borderId="56" xfId="0" applyFont="1" applyFill="1" applyBorder="1" applyAlignment="1" applyProtection="1">
      <alignment horizontal="center" vertical="center"/>
    </xf>
    <xf numFmtId="0" fontId="22" fillId="6" borderId="10" xfId="0" applyFont="1" applyFill="1" applyBorder="1" applyAlignment="1">
      <alignment horizontal="left" vertical="center"/>
    </xf>
    <xf numFmtId="0" fontId="25" fillId="6" borderId="43" xfId="0" applyFont="1" applyFill="1" applyBorder="1" applyAlignment="1" applyProtection="1">
      <alignment horizontal="center" vertical="center"/>
    </xf>
    <xf numFmtId="0" fontId="22" fillId="6" borderId="31" xfId="0" applyFont="1" applyFill="1" applyBorder="1" applyAlignment="1">
      <alignment horizontal="left" vertical="center"/>
    </xf>
    <xf numFmtId="0" fontId="25" fillId="2" borderId="35" xfId="0" applyFont="1" applyFill="1" applyBorder="1" applyAlignment="1">
      <alignment horizontal="left" vertical="center"/>
    </xf>
    <xf numFmtId="0" fontId="25" fillId="2" borderId="19" xfId="0" applyFont="1" applyFill="1" applyBorder="1" applyAlignment="1">
      <alignment horizontal="left" vertical="center"/>
    </xf>
    <xf numFmtId="0" fontId="34" fillId="2" borderId="45" xfId="0" applyFont="1" applyFill="1" applyBorder="1" applyAlignment="1">
      <alignment horizontal="left" vertical="center"/>
    </xf>
    <xf numFmtId="0" fontId="34" fillId="2" borderId="44" xfId="0" applyFont="1" applyFill="1" applyBorder="1" applyAlignment="1">
      <alignment horizontal="left" vertical="center"/>
    </xf>
    <xf numFmtId="0" fontId="33" fillId="0" borderId="42" xfId="0" applyFont="1" applyFill="1" applyBorder="1" applyAlignment="1">
      <alignment horizontal="left" vertical="center"/>
    </xf>
    <xf numFmtId="0" fontId="34" fillId="4" borderId="128" xfId="0" applyFont="1" applyFill="1" applyBorder="1" applyAlignment="1" applyProtection="1">
      <alignment horizontal="center" vertical="center"/>
    </xf>
    <xf numFmtId="0" fontId="44" fillId="0" borderId="48" xfId="0" applyFont="1" applyBorder="1" applyAlignment="1" applyProtection="1">
      <alignment horizontal="center" vertical="center"/>
      <protection locked="0"/>
    </xf>
    <xf numFmtId="0" fontId="34" fillId="2" borderId="120" xfId="0" applyFont="1" applyFill="1" applyBorder="1" applyAlignment="1">
      <alignment horizontal="left" vertical="center"/>
    </xf>
    <xf numFmtId="0" fontId="34" fillId="10" borderId="34" xfId="0" applyFont="1" applyFill="1" applyBorder="1" applyAlignment="1">
      <alignment horizontal="left" vertical="center" wrapText="1"/>
    </xf>
    <xf numFmtId="0" fontId="26" fillId="6" borderId="10" xfId="0" applyFont="1" applyFill="1" applyBorder="1" applyAlignment="1">
      <alignment horizontal="center" vertical="center"/>
    </xf>
    <xf numFmtId="0" fontId="34" fillId="6" borderId="130" xfId="0" applyFont="1" applyFill="1" applyBorder="1" applyAlignment="1" applyProtection="1">
      <alignment horizontal="center" vertical="center"/>
    </xf>
    <xf numFmtId="0" fontId="34" fillId="6" borderId="16" xfId="0" applyFont="1" applyFill="1" applyBorder="1" applyAlignment="1" applyProtection="1">
      <alignment horizontal="center" vertical="center"/>
    </xf>
    <xf numFmtId="0" fontId="33" fillId="0" borderId="23" xfId="0" applyFont="1" applyFill="1" applyBorder="1" applyAlignment="1">
      <alignment horizontal="left" vertical="center"/>
    </xf>
    <xf numFmtId="0" fontId="22" fillId="6" borderId="23" xfId="0" applyFont="1" applyFill="1" applyBorder="1" applyAlignment="1">
      <alignment horizontal="left" vertical="center"/>
    </xf>
    <xf numFmtId="0" fontId="26" fillId="6" borderId="121" xfId="0" applyFont="1" applyFill="1" applyBorder="1" applyAlignment="1">
      <alignment horizontal="center" vertical="center"/>
    </xf>
    <xf numFmtId="0" fontId="25" fillId="6" borderId="41" xfId="0" applyFont="1" applyFill="1" applyBorder="1" applyAlignment="1">
      <alignment horizontal="center" vertical="center"/>
    </xf>
    <xf numFmtId="0" fontId="34" fillId="2" borderId="126" xfId="0" applyFont="1" applyFill="1" applyBorder="1" applyAlignment="1">
      <alignment horizontal="left" vertical="center"/>
    </xf>
    <xf numFmtId="0" fontId="34" fillId="2" borderId="101" xfId="0" applyFont="1" applyFill="1" applyBorder="1" applyAlignment="1">
      <alignment horizontal="left" vertical="center"/>
    </xf>
    <xf numFmtId="0" fontId="34" fillId="2" borderId="89" xfId="0" applyFont="1" applyFill="1" applyBorder="1" applyAlignment="1">
      <alignment horizontal="left" vertical="center"/>
    </xf>
    <xf numFmtId="0" fontId="22" fillId="0" borderId="122" xfId="0" applyFont="1" applyBorder="1" applyAlignment="1" applyProtection="1">
      <alignment horizontal="left" wrapText="1"/>
      <protection locked="0"/>
    </xf>
    <xf numFmtId="0" fontId="26" fillId="0" borderId="0" xfId="0" applyFont="1" applyAlignment="1">
      <alignment horizontal="center"/>
    </xf>
    <xf numFmtId="0" fontId="34" fillId="0" borderId="0" xfId="0" applyFont="1"/>
    <xf numFmtId="0" fontId="34" fillId="0" borderId="0" xfId="0" applyFont="1" applyAlignment="1"/>
    <xf numFmtId="0" fontId="45" fillId="0" borderId="0" xfId="0" applyFont="1" applyAlignment="1">
      <alignment wrapText="1"/>
    </xf>
    <xf numFmtId="0" fontId="27" fillId="0" borderId="0" xfId="0" applyFont="1" applyFill="1" applyBorder="1"/>
    <xf numFmtId="0" fontId="25" fillId="6" borderId="49" xfId="0" applyFont="1" applyFill="1" applyBorder="1" applyAlignment="1">
      <alignment horizontal="center" vertical="center"/>
    </xf>
    <xf numFmtId="0" fontId="34" fillId="2" borderId="60" xfId="0" applyFont="1" applyFill="1" applyBorder="1" applyAlignment="1">
      <alignment horizontal="left" vertical="center"/>
    </xf>
    <xf numFmtId="0" fontId="33" fillId="0" borderId="61" xfId="0" applyFont="1" applyFill="1" applyBorder="1" applyAlignment="1">
      <alignment horizontal="left" vertical="center"/>
    </xf>
    <xf numFmtId="0" fontId="34" fillId="0" borderId="16" xfId="0" applyFont="1" applyBorder="1" applyAlignment="1" applyProtection="1">
      <alignment horizontal="center" vertical="center"/>
      <protection locked="0"/>
    </xf>
    <xf numFmtId="0" fontId="44" fillId="0" borderId="49" xfId="0" applyFont="1" applyBorder="1" applyAlignment="1" applyProtection="1">
      <alignment horizontal="center" vertical="center"/>
      <protection locked="0"/>
    </xf>
    <xf numFmtId="0" fontId="25" fillId="6" borderId="10" xfId="0" applyFont="1" applyFill="1" applyBorder="1" applyAlignment="1">
      <alignment horizontal="center" vertical="center"/>
    </xf>
    <xf numFmtId="0" fontId="34" fillId="0" borderId="51" xfId="0" applyFont="1" applyBorder="1" applyAlignment="1" applyProtection="1">
      <alignment horizontal="center" vertical="center"/>
      <protection locked="0"/>
    </xf>
    <xf numFmtId="0" fontId="34" fillId="0" borderId="129" xfId="0" applyFont="1" applyBorder="1" applyAlignment="1" applyProtection="1">
      <alignment horizontal="center" vertical="center"/>
      <protection locked="0"/>
    </xf>
    <xf numFmtId="0" fontId="34" fillId="6" borderId="189" xfId="0" applyFont="1" applyFill="1" applyBorder="1" applyAlignment="1" applyProtection="1">
      <alignment horizontal="center" vertical="center"/>
    </xf>
    <xf numFmtId="0" fontId="34" fillId="6" borderId="190" xfId="0" applyFont="1" applyFill="1" applyBorder="1" applyAlignment="1" applyProtection="1">
      <alignment horizontal="center" vertical="center"/>
    </xf>
    <xf numFmtId="0" fontId="34" fillId="6" borderId="191" xfId="0" applyFont="1" applyFill="1" applyBorder="1" applyAlignment="1" applyProtection="1">
      <alignment horizontal="center" vertical="center"/>
    </xf>
    <xf numFmtId="0" fontId="34" fillId="6" borderId="159" xfId="0" applyFont="1" applyFill="1" applyBorder="1" applyAlignment="1" applyProtection="1">
      <alignment horizontal="center" vertical="center"/>
    </xf>
    <xf numFmtId="0" fontId="34" fillId="6" borderId="168" xfId="0" applyFont="1" applyFill="1" applyBorder="1" applyAlignment="1" applyProtection="1">
      <alignment horizontal="center" vertical="center"/>
    </xf>
    <xf numFmtId="0" fontId="22" fillId="6" borderId="33" xfId="0" applyFont="1" applyFill="1" applyBorder="1" applyAlignment="1">
      <alignment horizontal="left" vertical="center" wrapText="1"/>
    </xf>
    <xf numFmtId="0" fontId="34" fillId="6" borderId="180" xfId="0" applyFont="1" applyFill="1" applyBorder="1" applyAlignment="1" applyProtection="1">
      <alignment horizontal="center" vertical="center"/>
    </xf>
    <xf numFmtId="0" fontId="34" fillId="6" borderId="172" xfId="0" applyFont="1" applyFill="1" applyBorder="1" applyAlignment="1" applyProtection="1">
      <alignment horizontal="center" vertical="center"/>
    </xf>
    <xf numFmtId="0" fontId="34" fillId="6" borderId="183" xfId="0" applyFont="1" applyFill="1" applyBorder="1" applyAlignment="1" applyProtection="1">
      <alignment horizontal="center" vertical="center"/>
    </xf>
    <xf numFmtId="0" fontId="34" fillId="6" borderId="173" xfId="0" applyFont="1" applyFill="1" applyBorder="1" applyAlignment="1" applyProtection="1">
      <alignment horizontal="center" vertical="center"/>
    </xf>
    <xf numFmtId="0" fontId="34" fillId="6" borderId="181" xfId="0" applyFont="1" applyFill="1" applyBorder="1" applyAlignment="1" applyProtection="1">
      <alignment horizontal="center" vertical="center"/>
    </xf>
    <xf numFmtId="0" fontId="34" fillId="6" borderId="175" xfId="0" applyFont="1" applyFill="1" applyBorder="1" applyAlignment="1" applyProtection="1">
      <alignment horizontal="center" vertical="center"/>
    </xf>
    <xf numFmtId="0" fontId="47" fillId="5" borderId="0" xfId="0" applyFont="1" applyFill="1" applyAlignment="1">
      <alignment vertical="center"/>
    </xf>
    <xf numFmtId="0" fontId="22" fillId="6" borderId="48" xfId="0" applyFont="1" applyFill="1" applyBorder="1" applyAlignment="1">
      <alignment horizontal="left" vertical="center"/>
    </xf>
    <xf numFmtId="0" fontId="25" fillId="6" borderId="52" xfId="0" applyFont="1" applyFill="1" applyBorder="1" applyAlignment="1" applyProtection="1">
      <alignment horizontal="center" vertical="center"/>
    </xf>
    <xf numFmtId="0" fontId="25" fillId="2" borderId="126" xfId="0" applyFont="1" applyFill="1" applyBorder="1" applyAlignment="1">
      <alignment horizontal="left" vertical="center"/>
    </xf>
    <xf numFmtId="0" fontId="34" fillId="4" borderId="192" xfId="0" applyFont="1" applyFill="1" applyBorder="1" applyAlignment="1" applyProtection="1">
      <alignment horizontal="center" vertical="center"/>
    </xf>
    <xf numFmtId="0" fontId="34" fillId="0" borderId="192" xfId="0" applyFont="1" applyBorder="1" applyAlignment="1" applyProtection="1">
      <alignment horizontal="center" vertical="center"/>
      <protection locked="0"/>
    </xf>
    <xf numFmtId="0" fontId="25" fillId="6" borderId="53" xfId="0" applyFont="1" applyFill="1" applyBorder="1" applyAlignment="1">
      <alignment horizontal="center" vertical="center"/>
    </xf>
    <xf numFmtId="0" fontId="25" fillId="6" borderId="54" xfId="0" applyFont="1" applyFill="1" applyBorder="1" applyAlignment="1">
      <alignment horizontal="center" vertical="center"/>
    </xf>
    <xf numFmtId="0" fontId="25" fillId="6" borderId="50" xfId="0" applyFont="1" applyFill="1" applyBorder="1" applyAlignment="1">
      <alignment horizontal="center" vertical="center"/>
    </xf>
    <xf numFmtId="0" fontId="34" fillId="4" borderId="145" xfId="0" applyFont="1" applyFill="1" applyBorder="1" applyAlignment="1" applyProtection="1">
      <alignment horizontal="center" vertical="center"/>
    </xf>
    <xf numFmtId="0" fontId="34" fillId="0" borderId="145" xfId="0" applyFont="1" applyBorder="1" applyAlignment="1" applyProtection="1">
      <alignment horizontal="center" vertical="center"/>
      <protection locked="0"/>
    </xf>
    <xf numFmtId="0" fontId="34" fillId="4" borderId="146" xfId="0" applyFont="1" applyFill="1" applyBorder="1" applyAlignment="1" applyProtection="1">
      <alignment horizontal="center" vertical="center"/>
    </xf>
    <xf numFmtId="0" fontId="34" fillId="4" borderId="193" xfId="0" applyFont="1" applyFill="1" applyBorder="1" applyAlignment="1" applyProtection="1">
      <alignment horizontal="center" vertical="center"/>
    </xf>
    <xf numFmtId="0" fontId="34" fillId="4" borderId="148" xfId="0" applyFont="1" applyFill="1" applyBorder="1" applyAlignment="1" applyProtection="1">
      <alignment horizontal="center" vertical="center"/>
    </xf>
    <xf numFmtId="0" fontId="34" fillId="0" borderId="148" xfId="0" applyFont="1" applyBorder="1" applyAlignment="1" applyProtection="1">
      <alignment horizontal="center" vertical="center"/>
      <protection locked="0"/>
    </xf>
    <xf numFmtId="0" fontId="34" fillId="4" borderId="149" xfId="0" applyFont="1" applyFill="1" applyBorder="1" applyAlignment="1" applyProtection="1">
      <alignment horizontal="center" vertical="center"/>
    </xf>
    <xf numFmtId="0" fontId="34" fillId="4" borderId="194" xfId="0" applyFont="1" applyFill="1" applyBorder="1" applyAlignment="1" applyProtection="1">
      <alignment horizontal="center" vertical="center"/>
    </xf>
    <xf numFmtId="0" fontId="34" fillId="4" borderId="151" xfId="0" applyFont="1" applyFill="1" applyBorder="1" applyAlignment="1" applyProtection="1">
      <alignment horizontal="center" vertical="center"/>
    </xf>
    <xf numFmtId="0" fontId="34" fillId="4" borderId="152" xfId="0" applyFont="1" applyFill="1" applyBorder="1" applyAlignment="1" applyProtection="1">
      <alignment horizontal="center" vertical="center"/>
    </xf>
    <xf numFmtId="0" fontId="34" fillId="4" borderId="144" xfId="0" applyFont="1" applyFill="1" applyBorder="1" applyAlignment="1" applyProtection="1">
      <alignment horizontal="center" vertical="center"/>
    </xf>
    <xf numFmtId="0" fontId="34" fillId="0" borderId="146" xfId="0" applyFont="1" applyBorder="1" applyAlignment="1" applyProtection="1">
      <alignment horizontal="center" vertical="center"/>
      <protection locked="0"/>
    </xf>
    <xf numFmtId="0" fontId="34" fillId="4" borderId="195" xfId="0" applyFont="1" applyFill="1" applyBorder="1" applyAlignment="1" applyProtection="1">
      <alignment horizontal="center" vertical="center"/>
    </xf>
    <xf numFmtId="0" fontId="34" fillId="0" borderId="193" xfId="0" applyFont="1" applyBorder="1" applyAlignment="1" applyProtection="1">
      <alignment horizontal="center" vertical="center"/>
      <protection locked="0"/>
    </xf>
    <xf numFmtId="0" fontId="34" fillId="4" borderId="147" xfId="0" applyFont="1" applyFill="1" applyBorder="1" applyAlignment="1" applyProtection="1">
      <alignment horizontal="center" vertical="center"/>
    </xf>
    <xf numFmtId="0" fontId="34" fillId="0" borderId="149" xfId="0" applyFont="1" applyBorder="1" applyAlignment="1" applyProtection="1">
      <alignment horizontal="center" vertical="center"/>
      <protection locked="0"/>
    </xf>
    <xf numFmtId="0" fontId="26" fillId="10" borderId="89" xfId="0" applyFont="1" applyFill="1" applyBorder="1" applyAlignment="1">
      <alignment horizontal="center" vertical="center" wrapText="1"/>
    </xf>
    <xf numFmtId="0" fontId="33" fillId="0" borderId="32" xfId="0" applyFont="1" applyFill="1" applyBorder="1" applyAlignment="1">
      <alignment horizontal="left" vertical="center" wrapText="1"/>
    </xf>
    <xf numFmtId="0" fontId="26" fillId="4" borderId="41" xfId="0" applyFont="1" applyFill="1" applyBorder="1" applyAlignment="1">
      <alignment horizontal="center" vertical="center"/>
    </xf>
    <xf numFmtId="0" fontId="41" fillId="2" borderId="122" xfId="0" applyFont="1" applyFill="1" applyBorder="1" applyAlignment="1">
      <alignment horizontal="center" vertical="center" wrapText="1"/>
    </xf>
    <xf numFmtId="0" fontId="27" fillId="0" borderId="40" xfId="0" applyFont="1" applyFill="1" applyBorder="1" applyAlignment="1">
      <alignment horizontal="left" vertical="center"/>
    </xf>
    <xf numFmtId="0" fontId="4" fillId="0" borderId="0" xfId="0" applyFont="1" applyAlignment="1">
      <alignment horizontal="left" vertical="center"/>
    </xf>
    <xf numFmtId="0" fontId="22" fillId="6" borderId="10" xfId="0" applyFont="1" applyFill="1" applyBorder="1" applyAlignment="1">
      <alignment horizontal="left" vertical="top" wrapText="1"/>
    </xf>
    <xf numFmtId="0" fontId="22" fillId="0" borderId="0" xfId="0" applyFont="1" applyAlignment="1">
      <alignment horizontal="left" vertical="top" wrapText="1"/>
    </xf>
    <xf numFmtId="0" fontId="33" fillId="11" borderId="41" xfId="0" applyFont="1" applyFill="1" applyBorder="1" applyAlignment="1">
      <alignment horizontal="left" vertical="top" wrapText="1"/>
    </xf>
    <xf numFmtId="0" fontId="33" fillId="6" borderId="31" xfId="0" applyFont="1" applyFill="1" applyBorder="1" applyAlignment="1">
      <alignment horizontal="left" vertical="top" wrapText="1"/>
    </xf>
    <xf numFmtId="0" fontId="22" fillId="6" borderId="10" xfId="0" applyFont="1" applyFill="1" applyBorder="1" applyAlignment="1">
      <alignment horizontal="left" vertical="center" wrapText="1"/>
    </xf>
    <xf numFmtId="0" fontId="33" fillId="0" borderId="21" xfId="0" applyFont="1" applyFill="1" applyBorder="1" applyAlignment="1">
      <alignment horizontal="left" vertical="center" wrapText="1"/>
    </xf>
    <xf numFmtId="0" fontId="33" fillId="0" borderId="22" xfId="0" applyFont="1" applyFill="1" applyBorder="1" applyAlignment="1">
      <alignment horizontal="left" vertical="center" wrapText="1"/>
    </xf>
    <xf numFmtId="0" fontId="33" fillId="0" borderId="20" xfId="0" applyFont="1" applyFill="1" applyBorder="1" applyAlignment="1">
      <alignment horizontal="left" vertical="center" wrapText="1"/>
    </xf>
    <xf numFmtId="0" fontId="33" fillId="0" borderId="64" xfId="0" applyFont="1" applyBorder="1" applyAlignment="1">
      <alignment horizontal="left" vertical="center" wrapText="1"/>
    </xf>
    <xf numFmtId="0" fontId="33" fillId="0" borderId="33" xfId="0" applyFont="1" applyFill="1" applyBorder="1" applyAlignment="1">
      <alignment horizontal="left" vertical="center" wrapText="1"/>
    </xf>
    <xf numFmtId="0" fontId="22" fillId="6" borderId="125" xfId="0" applyFont="1" applyFill="1" applyBorder="1" applyAlignment="1">
      <alignment horizontal="left" vertical="center"/>
    </xf>
    <xf numFmtId="0" fontId="22" fillId="6" borderId="20" xfId="0" applyFont="1" applyFill="1" applyBorder="1" applyAlignment="1">
      <alignment horizontal="left" vertical="center" wrapText="1"/>
    </xf>
    <xf numFmtId="0" fontId="22" fillId="6" borderId="38" xfId="0" applyFont="1" applyFill="1" applyBorder="1" applyAlignment="1">
      <alignment horizontal="left" vertical="center"/>
    </xf>
    <xf numFmtId="0" fontId="22" fillId="6" borderId="48" xfId="0" applyFont="1" applyFill="1" applyBorder="1" applyAlignment="1">
      <alignment horizontal="left" vertical="center" wrapText="1"/>
    </xf>
    <xf numFmtId="0" fontId="23" fillId="0" borderId="0" xfId="0" applyFont="1" applyAlignment="1">
      <alignment horizontal="left" vertical="top" wrapText="1"/>
    </xf>
    <xf numFmtId="0" fontId="10" fillId="0" borderId="0" xfId="0" applyFont="1" applyAlignment="1">
      <alignment horizontal="left" vertical="top" wrapText="1"/>
    </xf>
    <xf numFmtId="0" fontId="20" fillId="0" borderId="0" xfId="0" applyFont="1" applyAlignment="1">
      <alignment horizontal="left" vertical="top" wrapText="1"/>
    </xf>
    <xf numFmtId="0" fontId="5" fillId="5" borderId="2" xfId="0" applyFont="1" applyFill="1" applyBorder="1"/>
    <xf numFmtId="0" fontId="6" fillId="5" borderId="0" xfId="0" applyFont="1" applyFill="1"/>
    <xf numFmtId="0" fontId="5" fillId="5" borderId="1" xfId="0" applyFont="1" applyFill="1" applyBorder="1" applyAlignment="1">
      <alignment horizontal="left" wrapText="1"/>
    </xf>
    <xf numFmtId="0" fontId="5" fillId="5" borderId="1" xfId="0" applyFont="1" applyFill="1" applyBorder="1" applyAlignment="1">
      <alignment horizontal="left" vertical="top"/>
    </xf>
    <xf numFmtId="0" fontId="5" fillId="5" borderId="1" xfId="0" applyFont="1" applyFill="1" applyBorder="1" applyAlignment="1">
      <alignment horizontal="left" vertical="top" wrapText="1"/>
    </xf>
    <xf numFmtId="0" fontId="5" fillId="12" borderId="1" xfId="0" applyFont="1" applyFill="1" applyBorder="1" applyAlignment="1">
      <alignment horizontal="left" vertical="center"/>
    </xf>
    <xf numFmtId="0" fontId="6" fillId="5" borderId="0" xfId="0" applyFont="1" applyFill="1" applyAlignment="1">
      <alignment horizontal="left"/>
    </xf>
    <xf numFmtId="0" fontId="5" fillId="4" borderId="46" xfId="0" applyFont="1" applyFill="1" applyBorder="1" applyAlignment="1">
      <alignment horizontal="left" vertical="center"/>
    </xf>
    <xf numFmtId="0" fontId="6" fillId="0" borderId="23" xfId="0" applyFont="1" applyBorder="1" applyAlignment="1">
      <alignment horizontal="left" vertical="center" wrapText="1"/>
    </xf>
    <xf numFmtId="0" fontId="6" fillId="0" borderId="141" xfId="0" applyFont="1" applyBorder="1" applyAlignment="1">
      <alignment horizontal="left" vertical="center" wrapText="1"/>
    </xf>
    <xf numFmtId="0" fontId="5" fillId="4" borderId="40" xfId="0" applyFont="1" applyFill="1" applyBorder="1" applyAlignment="1">
      <alignment horizontal="left" vertical="center"/>
    </xf>
    <xf numFmtId="0" fontId="5" fillId="4" borderId="61" xfId="0" applyFont="1" applyFill="1" applyBorder="1" applyAlignment="1">
      <alignment horizontal="left" vertical="center"/>
    </xf>
    <xf numFmtId="0" fontId="6" fillId="5" borderId="1" xfId="0" applyFont="1" applyFill="1" applyBorder="1"/>
    <xf numFmtId="0" fontId="5" fillId="4" borderId="31" xfId="0" applyFont="1" applyFill="1" applyBorder="1" applyAlignment="1">
      <alignment horizontal="left" vertical="center"/>
    </xf>
    <xf numFmtId="0" fontId="51" fillId="0" borderId="40" xfId="0" applyFont="1" applyFill="1" applyBorder="1" applyAlignment="1">
      <alignment horizontal="center" vertical="center"/>
    </xf>
    <xf numFmtId="0" fontId="52" fillId="0" borderId="0" xfId="0" applyFont="1" applyAlignment="1">
      <alignment vertical="center"/>
    </xf>
    <xf numFmtId="0" fontId="26" fillId="6" borderId="10" xfId="0" applyFont="1" applyFill="1" applyBorder="1" applyAlignment="1">
      <alignment vertical="center" wrapText="1"/>
    </xf>
    <xf numFmtId="0" fontId="26" fillId="6" borderId="16" xfId="0" applyFont="1" applyFill="1" applyBorder="1" applyAlignment="1" applyProtection="1">
      <alignment horizontal="center" vertical="center"/>
    </xf>
    <xf numFmtId="0" fontId="53" fillId="0" borderId="0" xfId="0" applyFont="1" applyAlignment="1">
      <alignment vertical="center"/>
    </xf>
    <xf numFmtId="0" fontId="45" fillId="0" borderId="26" xfId="0" applyFont="1" applyFill="1" applyBorder="1" applyAlignment="1" applyProtection="1">
      <alignment horizontal="left" vertical="center"/>
    </xf>
    <xf numFmtId="0" fontId="5" fillId="6" borderId="10" xfId="0" applyFont="1" applyFill="1" applyBorder="1" applyAlignment="1">
      <alignment horizontal="left" vertical="center" wrapText="1"/>
    </xf>
    <xf numFmtId="0" fontId="49" fillId="3" borderId="40" xfId="0" applyFont="1" applyFill="1" applyBorder="1" applyAlignment="1">
      <alignment horizontal="left" vertical="center" wrapText="1"/>
    </xf>
    <xf numFmtId="0" fontId="49" fillId="3" borderId="0" xfId="0" applyFont="1" applyFill="1" applyAlignment="1">
      <alignment horizontal="left" vertical="center" wrapText="1"/>
    </xf>
    <xf numFmtId="0" fontId="26" fillId="4" borderId="48" xfId="0" applyFont="1" applyFill="1" applyBorder="1" applyAlignment="1">
      <alignment horizontal="center" vertical="center"/>
    </xf>
    <xf numFmtId="0" fontId="26" fillId="4" borderId="49" xfId="0" applyFont="1" applyFill="1" applyBorder="1" applyAlignment="1">
      <alignment horizontal="center" vertical="center"/>
    </xf>
    <xf numFmtId="0" fontId="26" fillId="4" borderId="41" xfId="0" applyFont="1" applyFill="1" applyBorder="1" applyAlignment="1">
      <alignment horizontal="center" vertical="center"/>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26" fillId="6" borderId="10" xfId="0" applyFont="1" applyFill="1" applyBorder="1" applyAlignment="1">
      <alignment horizontal="left" vertical="center" wrapText="1"/>
    </xf>
    <xf numFmtId="0" fontId="6" fillId="0" borderId="32" xfId="0" applyFont="1" applyBorder="1" applyAlignment="1">
      <alignment horizontal="left" vertical="center" wrapText="1"/>
    </xf>
    <xf numFmtId="0" fontId="5" fillId="5" borderId="1" xfId="0" applyFont="1" applyFill="1" applyBorder="1" applyAlignment="1">
      <alignment vertical="center" wrapText="1"/>
    </xf>
    <xf numFmtId="0" fontId="6" fillId="0" borderId="23" xfId="0" applyFont="1" applyFill="1" applyBorder="1" applyAlignment="1">
      <alignment vertical="center" wrapText="1"/>
    </xf>
    <xf numFmtId="0" fontId="6" fillId="0" borderId="24" xfId="0" applyFont="1" applyFill="1" applyBorder="1" applyAlignment="1">
      <alignment vertical="center" wrapText="1"/>
    </xf>
    <xf numFmtId="0" fontId="6" fillId="0" borderId="25" xfId="0" applyFont="1" applyFill="1" applyBorder="1" applyAlignment="1">
      <alignment vertical="center" wrapText="1"/>
    </xf>
    <xf numFmtId="0" fontId="6" fillId="0" borderId="45" xfId="0" applyFont="1" applyFill="1" applyBorder="1" applyAlignment="1">
      <alignment vertical="center" wrapText="1"/>
    </xf>
    <xf numFmtId="0" fontId="6" fillId="0" borderId="19" xfId="0" applyFont="1" applyFill="1" applyBorder="1" applyAlignment="1">
      <alignment vertical="center" wrapText="1"/>
    </xf>
    <xf numFmtId="0" fontId="6" fillId="0" borderId="44" xfId="0" applyFont="1" applyFill="1" applyBorder="1" applyAlignment="1">
      <alignment vertical="center" wrapText="1"/>
    </xf>
    <xf numFmtId="0" fontId="45" fillId="0" borderId="36" xfId="0" applyFont="1" applyFill="1" applyBorder="1" applyAlignment="1">
      <alignment vertical="center"/>
    </xf>
    <xf numFmtId="0" fontId="45" fillId="0" borderId="24" xfId="0" applyFont="1" applyFill="1" applyBorder="1" applyAlignment="1">
      <alignment vertical="center"/>
    </xf>
    <xf numFmtId="0" fontId="45" fillId="0" borderId="25" xfId="0" applyFont="1" applyFill="1" applyBorder="1" applyAlignment="1">
      <alignment vertical="center"/>
    </xf>
    <xf numFmtId="0" fontId="5" fillId="6" borderId="31" xfId="0" applyFont="1" applyFill="1" applyBorder="1" applyAlignment="1">
      <alignment vertical="center" wrapText="1"/>
    </xf>
    <xf numFmtId="0" fontId="6" fillId="0" borderId="36" xfId="0" applyFont="1" applyBorder="1" applyAlignment="1">
      <alignment vertical="center" wrapText="1"/>
    </xf>
    <xf numFmtId="0" fontId="6" fillId="0" borderId="24" xfId="0" applyFont="1" applyBorder="1" applyAlignment="1">
      <alignment vertical="center" wrapText="1"/>
    </xf>
    <xf numFmtId="0" fontId="6" fillId="0" borderId="25" xfId="0" applyFont="1" applyBorder="1" applyAlignment="1">
      <alignment vertical="center" wrapText="1"/>
    </xf>
    <xf numFmtId="0" fontId="45" fillId="0" borderId="23" xfId="0" applyFont="1" applyFill="1" applyBorder="1" applyAlignment="1">
      <alignment vertical="center"/>
    </xf>
    <xf numFmtId="0" fontId="45" fillId="0" borderId="61" xfId="0" applyFont="1" applyFill="1" applyBorder="1" applyAlignment="1">
      <alignment vertical="center"/>
    </xf>
    <xf numFmtId="0" fontId="6" fillId="0" borderId="23" xfId="0" applyFont="1" applyBorder="1" applyAlignment="1">
      <alignment vertical="center" wrapText="1"/>
    </xf>
    <xf numFmtId="0" fontId="7" fillId="5" borderId="0" xfId="0" applyFont="1" applyFill="1" applyAlignment="1">
      <alignment vertical="center" wrapText="1"/>
    </xf>
    <xf numFmtId="0" fontId="11" fillId="4" borderId="150" xfId="0" applyFont="1" applyFill="1" applyBorder="1" applyAlignment="1">
      <alignment vertical="center" wrapText="1"/>
    </xf>
    <xf numFmtId="0" fontId="11" fillId="5" borderId="150" xfId="0" applyFont="1" applyFill="1" applyBorder="1" applyAlignment="1">
      <alignment vertical="top" wrapText="1"/>
    </xf>
    <xf numFmtId="0" fontId="11" fillId="5" borderId="150" xfId="0" applyFont="1" applyFill="1" applyBorder="1" applyAlignment="1">
      <alignment vertical="center" wrapText="1"/>
    </xf>
    <xf numFmtId="0" fontId="11" fillId="5" borderId="153" xfId="0" applyFont="1" applyFill="1" applyBorder="1" applyAlignment="1">
      <alignment vertical="center" wrapText="1"/>
    </xf>
    <xf numFmtId="0" fontId="11" fillId="5" borderId="171" xfId="0" applyFont="1" applyFill="1" applyBorder="1" applyAlignment="1">
      <alignment vertical="center" wrapText="1"/>
    </xf>
    <xf numFmtId="0" fontId="11" fillId="5" borderId="168" xfId="0" applyFont="1" applyFill="1" applyBorder="1" applyAlignment="1">
      <alignment vertical="center" wrapText="1"/>
    </xf>
    <xf numFmtId="0" fontId="11" fillId="5" borderId="174" xfId="0" applyFont="1" applyFill="1" applyBorder="1" applyAlignment="1">
      <alignment vertical="center" wrapText="1"/>
    </xf>
    <xf numFmtId="0" fontId="11" fillId="5" borderId="160" xfId="0" applyFont="1" applyFill="1" applyBorder="1" applyAlignment="1">
      <alignment vertical="center" wrapText="1"/>
    </xf>
    <xf numFmtId="0" fontId="11" fillId="5" borderId="159" xfId="0" applyFont="1" applyFill="1" applyBorder="1" applyAlignment="1">
      <alignment vertical="center" wrapText="1"/>
    </xf>
    <xf numFmtId="0" fontId="11" fillId="0" borderId="162" xfId="0" applyFont="1" applyFill="1" applyBorder="1" applyAlignment="1">
      <alignment vertical="center" wrapText="1"/>
    </xf>
    <xf numFmtId="0" fontId="11" fillId="0" borderId="163" xfId="0" applyFont="1" applyFill="1" applyBorder="1" applyAlignment="1">
      <alignment vertical="center" wrapText="1"/>
    </xf>
    <xf numFmtId="0" fontId="11" fillId="5" borderId="164" xfId="0" applyFont="1" applyFill="1" applyBorder="1" applyAlignment="1">
      <alignment vertical="center" wrapText="1"/>
    </xf>
    <xf numFmtId="0" fontId="12" fillId="5" borderId="180" xfId="0" applyFont="1" applyFill="1" applyBorder="1" applyAlignment="1">
      <alignment vertical="center" wrapText="1"/>
    </xf>
    <xf numFmtId="0" fontId="12" fillId="5" borderId="182" xfId="0" applyFont="1" applyFill="1" applyBorder="1" applyAlignment="1">
      <alignment vertical="center" wrapText="1"/>
    </xf>
    <xf numFmtId="0" fontId="12" fillId="5" borderId="153" xfId="0" applyFont="1" applyFill="1" applyBorder="1" applyAlignment="1">
      <alignment vertical="center" wrapText="1"/>
    </xf>
    <xf numFmtId="0" fontId="12" fillId="0" borderId="150" xfId="0" applyFont="1" applyFill="1" applyBorder="1" applyAlignment="1">
      <alignment vertical="center" wrapText="1"/>
    </xf>
    <xf numFmtId="0" fontId="12" fillId="0" borderId="153" xfId="0" applyFont="1" applyFill="1" applyBorder="1" applyAlignment="1">
      <alignment vertical="center" wrapText="1"/>
    </xf>
    <xf numFmtId="0" fontId="12" fillId="0" borderId="180" xfId="0" applyFont="1" applyFill="1" applyBorder="1" applyAlignment="1">
      <alignment vertical="center" wrapText="1"/>
    </xf>
    <xf numFmtId="0" fontId="12" fillId="5" borderId="181" xfId="0" applyFont="1" applyFill="1" applyBorder="1" applyAlignment="1">
      <alignment vertical="center" wrapText="1"/>
    </xf>
    <xf numFmtId="0" fontId="12" fillId="0" borderId="187" xfId="0" applyFont="1" applyFill="1" applyBorder="1" applyAlignment="1">
      <alignment vertical="center" wrapText="1"/>
    </xf>
    <xf numFmtId="0" fontId="12" fillId="5" borderId="161" xfId="0" applyFont="1" applyFill="1" applyBorder="1" applyAlignment="1">
      <alignment vertical="center" wrapText="1"/>
    </xf>
    <xf numFmtId="0" fontId="12" fillId="5" borderId="158" xfId="0" applyFont="1" applyFill="1" applyBorder="1" applyAlignment="1">
      <alignment vertical="center" wrapText="1"/>
    </xf>
    <xf numFmtId="0" fontId="7" fillId="5" borderId="150" xfId="0" applyFont="1" applyFill="1" applyBorder="1" applyAlignment="1">
      <alignment vertical="center" wrapText="1"/>
    </xf>
    <xf numFmtId="0" fontId="7" fillId="5" borderId="0" xfId="0" applyFont="1" applyFill="1" applyBorder="1" applyAlignment="1">
      <alignment vertical="center" wrapText="1"/>
    </xf>
    <xf numFmtId="0" fontId="5" fillId="0" borderId="0" xfId="0" applyFont="1" applyFill="1" applyBorder="1" applyAlignment="1">
      <alignment vertical="center"/>
    </xf>
    <xf numFmtId="0" fontId="26" fillId="6" borderId="16" xfId="0" applyFont="1" applyFill="1" applyBorder="1" applyAlignment="1" applyProtection="1">
      <alignment horizontal="left" vertical="center"/>
    </xf>
    <xf numFmtId="0" fontId="7" fillId="5" borderId="0" xfId="0" applyFont="1" applyFill="1" applyAlignment="1">
      <alignment horizontal="left" vertical="top" wrapText="1"/>
    </xf>
    <xf numFmtId="0" fontId="12" fillId="5" borderId="0" xfId="0" applyFont="1" applyFill="1" applyAlignment="1">
      <alignment horizontal="left" vertical="top" wrapText="1"/>
    </xf>
    <xf numFmtId="0" fontId="26" fillId="10" borderId="48" xfId="0" applyFont="1" applyFill="1" applyBorder="1" applyAlignment="1">
      <alignment vertical="center" wrapText="1"/>
    </xf>
    <xf numFmtId="0" fontId="45" fillId="0" borderId="36" xfId="0" applyFont="1" applyFill="1" applyBorder="1" applyAlignment="1">
      <alignment horizontal="left" vertical="center"/>
    </xf>
    <xf numFmtId="0" fontId="45" fillId="0" borderId="24" xfId="0" applyFont="1" applyFill="1" applyBorder="1" applyAlignment="1">
      <alignment horizontal="left" vertical="center"/>
    </xf>
    <xf numFmtId="0" fontId="45" fillId="0" borderId="25" xfId="0" applyFont="1" applyFill="1" applyBorder="1" applyAlignment="1">
      <alignment horizontal="left" vertical="center"/>
    </xf>
    <xf numFmtId="0" fontId="49" fillId="3" borderId="0" xfId="0" applyFont="1" applyFill="1" applyBorder="1" applyAlignment="1">
      <alignment horizontal="left" vertical="center" wrapText="1"/>
    </xf>
    <xf numFmtId="0" fontId="54" fillId="0" borderId="24" xfId="0" applyFont="1" applyBorder="1" applyAlignment="1">
      <alignment vertical="center" wrapText="1"/>
    </xf>
    <xf numFmtId="0" fontId="55" fillId="4" borderId="46" xfId="0" applyFont="1" applyFill="1" applyBorder="1" applyAlignment="1">
      <alignment horizontal="left" vertical="center"/>
    </xf>
    <xf numFmtId="0" fontId="54" fillId="0" borderId="23" xfId="0" applyFont="1" applyBorder="1" applyAlignment="1">
      <alignment horizontal="left" vertical="center" wrapText="1"/>
    </xf>
    <xf numFmtId="0" fontId="54" fillId="5" borderId="1" xfId="0" applyFont="1" applyFill="1" applyBorder="1"/>
    <xf numFmtId="0" fontId="54" fillId="5" borderId="0" xfId="0" applyFont="1" applyFill="1"/>
    <xf numFmtId="0" fontId="55" fillId="0" borderId="42" xfId="0" applyFont="1" applyBorder="1" applyAlignment="1">
      <alignment vertical="center" wrapText="1"/>
    </xf>
    <xf numFmtId="0" fontId="55" fillId="4" borderId="61" xfId="0" applyFont="1" applyFill="1" applyBorder="1" applyAlignment="1">
      <alignment horizontal="left" vertical="center"/>
    </xf>
    <xf numFmtId="0" fontId="54" fillId="14" borderId="20" xfId="0" applyFont="1" applyFill="1" applyBorder="1" applyAlignment="1">
      <alignment vertical="center" wrapText="1"/>
    </xf>
    <xf numFmtId="0" fontId="55" fillId="14" borderId="22" xfId="0" applyFont="1" applyFill="1" applyBorder="1" applyAlignment="1">
      <alignment vertical="center" wrapText="1"/>
    </xf>
    <xf numFmtId="0" fontId="54" fillId="0" borderId="20" xfId="0" applyFont="1" applyBorder="1" applyAlignment="1">
      <alignment vertical="center" wrapText="1"/>
    </xf>
    <xf numFmtId="0" fontId="55" fillId="0" borderId="22" xfId="0" applyFont="1" applyBorder="1" applyAlignment="1">
      <alignment vertical="center" wrapText="1"/>
    </xf>
    <xf numFmtId="0" fontId="25" fillId="4" borderId="48" xfId="0" applyFont="1" applyFill="1" applyBorder="1" applyAlignment="1">
      <alignment horizontal="center" vertical="center"/>
    </xf>
    <xf numFmtId="0" fontId="25" fillId="4" borderId="49" xfId="0" applyFont="1" applyFill="1" applyBorder="1" applyAlignment="1">
      <alignment horizontal="center" vertical="center"/>
    </xf>
    <xf numFmtId="0" fontId="54" fillId="6" borderId="20" xfId="0" applyFont="1" applyFill="1" applyBorder="1" applyAlignment="1">
      <alignment vertical="center" wrapText="1"/>
    </xf>
    <xf numFmtId="0" fontId="55" fillId="6" borderId="22" xfId="0" applyFont="1" applyFill="1" applyBorder="1" applyAlignment="1">
      <alignment vertical="center" wrapText="1"/>
    </xf>
    <xf numFmtId="0" fontId="54" fillId="0" borderId="23" xfId="0" applyFont="1" applyBorder="1" applyAlignment="1">
      <alignment vertical="center" wrapText="1"/>
    </xf>
    <xf numFmtId="0" fontId="54" fillId="5" borderId="1" xfId="0" applyFont="1" applyFill="1" applyBorder="1" applyAlignment="1">
      <alignment vertical="center"/>
    </xf>
    <xf numFmtId="0" fontId="55" fillId="4" borderId="40" xfId="0" applyFont="1" applyFill="1" applyBorder="1" applyAlignment="1">
      <alignment horizontal="left" vertical="center"/>
    </xf>
    <xf numFmtId="0" fontId="55" fillId="0" borderId="25" xfId="0" applyFont="1" applyBorder="1" applyAlignment="1">
      <alignment vertical="center" wrapText="1"/>
    </xf>
    <xf numFmtId="0" fontId="56" fillId="3" borderId="31" xfId="0" applyFont="1" applyFill="1" applyBorder="1" applyAlignment="1">
      <alignment horizontal="left" vertical="center" wrapText="1"/>
    </xf>
    <xf numFmtId="0" fontId="55" fillId="6" borderId="36" xfId="0" applyFont="1" applyFill="1" applyBorder="1" applyAlignment="1">
      <alignment vertical="center" wrapText="1"/>
    </xf>
    <xf numFmtId="0" fontId="55" fillId="6" borderId="25" xfId="0" applyFont="1" applyFill="1" applyBorder="1" applyAlignment="1">
      <alignment vertical="center" wrapText="1"/>
    </xf>
    <xf numFmtId="0" fontId="54" fillId="0" borderId="20" xfId="0" applyFont="1" applyBorder="1" applyAlignment="1">
      <alignment horizontal="left" vertical="center" wrapText="1"/>
    </xf>
    <xf numFmtId="0" fontId="54" fillId="0" borderId="21" xfId="0" applyFont="1" applyBorder="1" applyAlignment="1">
      <alignment horizontal="left" vertical="center" wrapText="1"/>
    </xf>
    <xf numFmtId="0" fontId="54" fillId="0" borderId="64" xfId="0" applyFont="1" applyBorder="1" applyAlignment="1">
      <alignment horizontal="left" vertical="center" wrapText="1"/>
    </xf>
    <xf numFmtId="0" fontId="54" fillId="0" borderId="25" xfId="0" applyFont="1" applyBorder="1" applyAlignment="1">
      <alignment vertical="center" wrapText="1"/>
    </xf>
    <xf numFmtId="0" fontId="55" fillId="6" borderId="10" xfId="0" applyFont="1" applyFill="1" applyBorder="1" applyAlignment="1">
      <alignment horizontal="left" vertical="center" wrapText="1"/>
    </xf>
    <xf numFmtId="0" fontId="55" fillId="6" borderId="10" xfId="0" applyFont="1" applyFill="1" applyBorder="1" applyAlignment="1">
      <alignment vertical="center" wrapText="1"/>
    </xf>
    <xf numFmtId="0" fontId="55" fillId="4" borderId="39" xfId="0" applyFont="1" applyFill="1" applyBorder="1" applyAlignment="1">
      <alignment horizontal="left" vertical="center"/>
    </xf>
    <xf numFmtId="0" fontId="54" fillId="0" borderId="32" xfId="0" applyFont="1" applyBorder="1" applyAlignment="1">
      <alignment horizontal="left" vertical="center" wrapText="1"/>
    </xf>
    <xf numFmtId="0" fontId="54" fillId="0" borderId="36" xfId="0" applyFont="1" applyBorder="1" applyAlignment="1">
      <alignment vertical="center" wrapText="1"/>
    </xf>
    <xf numFmtId="0" fontId="54" fillId="0" borderId="22" xfId="0" applyFont="1" applyBorder="1" applyAlignment="1">
      <alignment horizontal="left" vertical="center" wrapText="1"/>
    </xf>
    <xf numFmtId="0" fontId="56" fillId="3" borderId="31" xfId="0" applyFont="1" applyFill="1" applyBorder="1" applyAlignment="1">
      <alignment vertical="center" wrapText="1"/>
    </xf>
    <xf numFmtId="0" fontId="55" fillId="4" borderId="31" xfId="0" applyFont="1" applyFill="1" applyBorder="1" applyAlignment="1">
      <alignment horizontal="left" vertical="center"/>
    </xf>
    <xf numFmtId="0" fontId="55" fillId="6" borderId="31" xfId="0" applyFont="1" applyFill="1" applyBorder="1" applyAlignment="1">
      <alignment vertical="center" wrapText="1"/>
    </xf>
    <xf numFmtId="0" fontId="54" fillId="5" borderId="140" xfId="0" applyFont="1" applyFill="1" applyBorder="1" applyAlignment="1">
      <alignment horizontal="left" vertical="center"/>
    </xf>
    <xf numFmtId="0" fontId="54" fillId="5" borderId="1" xfId="0" applyFont="1" applyFill="1" applyBorder="1" applyAlignment="1">
      <alignment horizontal="left" vertical="center"/>
    </xf>
    <xf numFmtId="0" fontId="54" fillId="5" borderId="1" xfId="0" applyFont="1" applyFill="1" applyBorder="1" applyAlignment="1">
      <alignment horizontal="left" vertical="top" wrapText="1"/>
    </xf>
    <xf numFmtId="0" fontId="54" fillId="0" borderId="33" xfId="0" applyFont="1" applyBorder="1" applyAlignment="1">
      <alignment horizontal="left" vertical="center" wrapText="1"/>
    </xf>
    <xf numFmtId="0" fontId="54" fillId="0" borderId="42" xfId="0" applyFont="1" applyBorder="1" applyAlignment="1">
      <alignment vertical="center" wrapText="1"/>
    </xf>
    <xf numFmtId="0" fontId="56" fillId="5" borderId="136" xfId="0" applyFont="1" applyFill="1" applyBorder="1" applyAlignment="1">
      <alignment horizontal="left" vertical="center" wrapText="1"/>
    </xf>
    <xf numFmtId="0" fontId="56" fillId="5" borderId="137" xfId="0" applyFont="1" applyFill="1" applyBorder="1" applyAlignment="1">
      <alignment vertical="center" wrapText="1"/>
    </xf>
    <xf numFmtId="0" fontId="56" fillId="5" borderId="137" xfId="0" applyFont="1" applyFill="1" applyBorder="1" applyAlignment="1">
      <alignment horizontal="left" vertical="center"/>
    </xf>
    <xf numFmtId="0" fontId="56" fillId="5" borderId="138" xfId="0" applyFont="1" applyFill="1" applyBorder="1" applyAlignment="1">
      <alignment horizontal="left" vertical="center" wrapText="1"/>
    </xf>
    <xf numFmtId="0" fontId="56" fillId="5" borderId="139" xfId="0" applyFont="1" applyFill="1" applyBorder="1" applyAlignment="1">
      <alignment vertical="center" wrapText="1"/>
    </xf>
    <xf numFmtId="0" fontId="34" fillId="0" borderId="36" xfId="0" applyFont="1" applyFill="1" applyBorder="1" applyAlignment="1">
      <alignment vertical="center"/>
    </xf>
    <xf numFmtId="0" fontId="25" fillId="4" borderId="41" xfId="0" applyFont="1" applyFill="1" applyBorder="1" applyAlignment="1">
      <alignment horizontal="center" vertical="center"/>
    </xf>
    <xf numFmtId="0" fontId="34" fillId="0" borderId="24" xfId="0" applyFont="1" applyFill="1" applyBorder="1" applyAlignment="1">
      <alignment vertical="center"/>
    </xf>
    <xf numFmtId="0" fontId="34" fillId="0" borderId="25" xfId="0" applyFont="1" applyFill="1" applyBorder="1" applyAlignment="1">
      <alignment vertical="center"/>
    </xf>
    <xf numFmtId="0" fontId="55" fillId="6" borderId="125" xfId="0" applyFont="1" applyFill="1" applyBorder="1" applyAlignment="1">
      <alignment horizontal="left" vertical="center" wrapText="1"/>
    </xf>
    <xf numFmtId="0" fontId="55" fillId="6" borderId="31" xfId="0" applyFont="1" applyFill="1" applyBorder="1" applyAlignment="1">
      <alignment horizontal="left" vertical="center"/>
    </xf>
    <xf numFmtId="0" fontId="54" fillId="0" borderId="36" xfId="0" applyFont="1" applyBorder="1" applyAlignment="1">
      <alignment horizontal="left" vertical="center" wrapText="1"/>
    </xf>
    <xf numFmtId="0" fontId="54" fillId="0" borderId="24" xfId="0" applyFont="1" applyBorder="1" applyAlignment="1">
      <alignment horizontal="left" vertical="center" wrapText="1"/>
    </xf>
    <xf numFmtId="0" fontId="54" fillId="0" borderId="25" xfId="0" applyFont="1" applyBorder="1" applyAlignment="1">
      <alignment horizontal="left" vertical="center" wrapText="1"/>
    </xf>
    <xf numFmtId="0" fontId="55" fillId="6" borderId="20" xfId="0" applyFont="1" applyFill="1" applyBorder="1" applyAlignment="1">
      <alignment horizontal="left" vertical="center" wrapText="1"/>
    </xf>
    <xf numFmtId="0" fontId="55" fillId="6" borderId="23" xfId="0" applyFont="1" applyFill="1" applyBorder="1" applyAlignment="1">
      <alignment vertical="center" wrapText="1"/>
    </xf>
    <xf numFmtId="0" fontId="55" fillId="6" borderId="38" xfId="0" applyFont="1" applyFill="1" applyBorder="1" applyAlignment="1">
      <alignment horizontal="left" vertical="center" wrapText="1"/>
    </xf>
    <xf numFmtId="0" fontId="55" fillId="6" borderId="120" xfId="0" applyFont="1" applyFill="1" applyBorder="1" applyAlignment="1">
      <alignment horizontal="left" vertical="center"/>
    </xf>
    <xf numFmtId="0" fontId="54" fillId="5" borderId="196" xfId="0" applyFont="1" applyFill="1" applyBorder="1" applyAlignment="1">
      <alignment horizontal="left" vertical="top" wrapText="1"/>
    </xf>
    <xf numFmtId="0" fontId="54" fillId="5" borderId="196" xfId="0" applyFont="1" applyFill="1" applyBorder="1" applyAlignment="1">
      <alignment horizontal="left" vertical="center"/>
    </xf>
    <xf numFmtId="0" fontId="25" fillId="6" borderId="48" xfId="0" applyFont="1" applyFill="1" applyBorder="1" applyAlignment="1">
      <alignment horizontal="left" vertical="center" wrapText="1"/>
    </xf>
    <xf numFmtId="0" fontId="25" fillId="6" borderId="48" xfId="0" applyFont="1" applyFill="1" applyBorder="1" applyAlignment="1">
      <alignment vertical="center"/>
    </xf>
    <xf numFmtId="0" fontId="25" fillId="4" borderId="40" xfId="0" applyFont="1" applyFill="1" applyBorder="1" applyAlignment="1">
      <alignment horizontal="center" vertical="center"/>
    </xf>
    <xf numFmtId="0" fontId="54" fillId="5" borderId="150" xfId="0" applyFont="1" applyFill="1" applyBorder="1" applyAlignment="1">
      <alignment horizontal="left" vertical="top" wrapText="1"/>
    </xf>
    <xf numFmtId="0" fontId="54" fillId="5" borderId="150" xfId="0" applyFont="1" applyFill="1" applyBorder="1" applyAlignment="1">
      <alignment horizontal="left" vertical="center"/>
    </xf>
    <xf numFmtId="0" fontId="34" fillId="0" borderId="23" xfId="0" applyFont="1" applyFill="1" applyBorder="1" applyAlignment="1">
      <alignment vertical="center"/>
    </xf>
    <xf numFmtId="0" fontId="25" fillId="4" borderId="46" xfId="0" applyFont="1" applyFill="1" applyBorder="1" applyAlignment="1">
      <alignment horizontal="center" vertical="center"/>
    </xf>
    <xf numFmtId="0" fontId="34" fillId="0" borderId="24" xfId="0" applyFont="1" applyFill="1" applyBorder="1" applyAlignment="1">
      <alignment vertical="center" wrapText="1"/>
    </xf>
    <xf numFmtId="0" fontId="25" fillId="4" borderId="61" xfId="0" applyFont="1" applyFill="1" applyBorder="1" applyAlignment="1">
      <alignment horizontal="center" vertical="center"/>
    </xf>
    <xf numFmtId="0" fontId="23" fillId="3" borderId="0" xfId="0" applyFont="1" applyFill="1" applyBorder="1" applyAlignment="1">
      <alignment horizontal="left" vertical="center"/>
    </xf>
    <xf numFmtId="0" fontId="23" fillId="3" borderId="31" xfId="0" applyFont="1" applyFill="1" applyBorder="1" applyAlignment="1">
      <alignment horizontal="left" vertical="center"/>
    </xf>
    <xf numFmtId="0" fontId="33" fillId="0" borderId="32" xfId="0" applyFont="1" applyFill="1" applyBorder="1" applyAlignment="1">
      <alignment horizontal="left" vertical="center" wrapText="1"/>
    </xf>
    <xf numFmtId="0" fontId="26" fillId="4" borderId="46" xfId="0" applyFont="1" applyFill="1" applyBorder="1" applyAlignment="1">
      <alignment horizontal="center" vertical="center"/>
    </xf>
    <xf numFmtId="0" fontId="26" fillId="4" borderId="40" xfId="0" applyFont="1" applyFill="1" applyBorder="1" applyAlignment="1">
      <alignment horizontal="center" vertical="center"/>
    </xf>
    <xf numFmtId="0" fontId="23" fillId="3" borderId="120" xfId="0" applyFont="1" applyFill="1" applyBorder="1" applyAlignment="1">
      <alignment horizontal="left" vertical="center"/>
    </xf>
    <xf numFmtId="0" fontId="23" fillId="3" borderId="121" xfId="0" applyFont="1" applyFill="1" applyBorder="1" applyAlignment="1">
      <alignment horizontal="left" vertical="center"/>
    </xf>
    <xf numFmtId="0" fontId="26" fillId="4" borderId="48" xfId="0" applyFont="1" applyFill="1" applyBorder="1" applyAlignment="1">
      <alignment horizontal="center" vertical="center"/>
    </xf>
    <xf numFmtId="0" fontId="26" fillId="4" borderId="49" xfId="0" applyFont="1" applyFill="1" applyBorder="1" applyAlignment="1">
      <alignment horizontal="center" vertical="center"/>
    </xf>
    <xf numFmtId="0" fontId="26" fillId="4" borderId="41" xfId="0" applyFont="1" applyFill="1" applyBorder="1" applyAlignment="1">
      <alignment horizontal="center" vertical="center"/>
    </xf>
    <xf numFmtId="0" fontId="27" fillId="0" borderId="40" xfId="0" applyFont="1" applyFill="1" applyBorder="1" applyAlignment="1">
      <alignment horizontal="center" vertical="center" wrapText="1"/>
    </xf>
    <xf numFmtId="0" fontId="4" fillId="0" borderId="0" xfId="0" applyFont="1" applyAlignment="1">
      <alignment vertical="center" wrapText="1"/>
    </xf>
    <xf numFmtId="0" fontId="25" fillId="2" borderId="201" xfId="0" applyFont="1" applyFill="1" applyBorder="1" applyAlignment="1">
      <alignment horizontal="left" vertical="center"/>
    </xf>
    <xf numFmtId="0" fontId="25" fillId="2" borderId="201" xfId="0" applyFont="1" applyFill="1" applyBorder="1" applyAlignment="1">
      <alignment vertical="center"/>
    </xf>
    <xf numFmtId="0" fontId="22" fillId="3" borderId="202" xfId="0" applyFont="1" applyFill="1" applyBorder="1" applyAlignment="1">
      <alignment horizontal="center" vertical="center"/>
    </xf>
    <xf numFmtId="0" fontId="42" fillId="6" borderId="36" xfId="0" applyFont="1" applyFill="1" applyBorder="1" applyAlignment="1">
      <alignment horizontal="center" vertical="center"/>
    </xf>
    <xf numFmtId="0" fontId="22" fillId="3" borderId="47" xfId="0" applyFont="1" applyFill="1" applyBorder="1" applyAlignment="1">
      <alignment horizontal="center" vertical="center"/>
    </xf>
    <xf numFmtId="0" fontId="34" fillId="6" borderId="203" xfId="0" applyFont="1" applyFill="1" applyBorder="1" applyAlignment="1" applyProtection="1">
      <alignment horizontal="center" vertical="center"/>
    </xf>
    <xf numFmtId="0" fontId="34" fillId="6" borderId="204" xfId="0" applyFont="1" applyFill="1" applyBorder="1" applyAlignment="1" applyProtection="1">
      <alignment horizontal="center" vertical="center"/>
    </xf>
    <xf numFmtId="0" fontId="34" fillId="6" borderId="205" xfId="0" applyFont="1" applyFill="1" applyBorder="1" applyAlignment="1" applyProtection="1">
      <alignment horizontal="center" vertical="center"/>
    </xf>
    <xf numFmtId="0" fontId="44" fillId="0" borderId="101" xfId="0" applyFont="1" applyBorder="1" applyAlignment="1" applyProtection="1">
      <alignment horizontal="center" vertical="center"/>
      <protection locked="0"/>
    </xf>
    <xf numFmtId="0" fontId="34" fillId="4" borderId="206" xfId="0" applyFont="1" applyFill="1" applyBorder="1" applyAlignment="1" applyProtection="1">
      <alignment horizontal="center" vertical="center"/>
    </xf>
    <xf numFmtId="0" fontId="34" fillId="0" borderId="206" xfId="0" applyFont="1" applyBorder="1" applyAlignment="1" applyProtection="1">
      <alignment horizontal="center" vertical="center"/>
      <protection locked="0"/>
    </xf>
    <xf numFmtId="0" fontId="34" fillId="4" borderId="207" xfId="0" applyFont="1" applyFill="1" applyBorder="1" applyAlignment="1" applyProtection="1">
      <alignment horizontal="center" vertical="center"/>
    </xf>
    <xf numFmtId="0" fontId="34" fillId="0" borderId="208" xfId="0" applyFont="1" applyBorder="1" applyAlignment="1" applyProtection="1">
      <alignment horizontal="center" vertical="center"/>
      <protection locked="0"/>
    </xf>
    <xf numFmtId="0" fontId="34" fillId="4" borderId="208" xfId="0" applyFont="1" applyFill="1" applyBorder="1" applyAlignment="1" applyProtection="1">
      <alignment horizontal="center" vertical="center"/>
    </xf>
    <xf numFmtId="0" fontId="34" fillId="0" borderId="209" xfId="0" applyFont="1" applyBorder="1" applyAlignment="1" applyProtection="1">
      <alignment horizontal="center" vertical="center"/>
      <protection locked="0"/>
    </xf>
    <xf numFmtId="0" fontId="34" fillId="0" borderId="210" xfId="0" applyFont="1" applyBorder="1" applyAlignment="1" applyProtection="1">
      <alignment horizontal="center" vertical="center"/>
      <protection locked="0"/>
    </xf>
    <xf numFmtId="0" fontId="34" fillId="4" borderId="211" xfId="0" applyFont="1" applyFill="1" applyBorder="1" applyAlignment="1" applyProtection="1">
      <alignment horizontal="center" vertical="center"/>
    </xf>
    <xf numFmtId="0" fontId="34" fillId="0" borderId="211" xfId="0" applyFont="1" applyBorder="1" applyAlignment="1" applyProtection="1">
      <alignment horizontal="center" vertical="center"/>
      <protection locked="0"/>
    </xf>
    <xf numFmtId="0" fontId="34" fillId="4" borderId="210" xfId="0" applyFont="1" applyFill="1" applyBorder="1" applyAlignment="1" applyProtection="1">
      <alignment horizontal="center" vertical="center"/>
    </xf>
    <xf numFmtId="0" fontId="34" fillId="4" borderId="212" xfId="0" applyFont="1" applyFill="1" applyBorder="1" applyAlignment="1" applyProtection="1">
      <alignment horizontal="center" vertical="center"/>
    </xf>
    <xf numFmtId="0" fontId="34" fillId="0" borderId="213" xfId="0" applyFont="1" applyBorder="1" applyAlignment="1" applyProtection="1">
      <alignment horizontal="center" vertical="center"/>
      <protection locked="0"/>
    </xf>
    <xf numFmtId="0" fontId="34" fillId="4" borderId="213" xfId="0" applyFont="1" applyFill="1" applyBorder="1" applyAlignment="1" applyProtection="1">
      <alignment horizontal="center" vertical="center"/>
    </xf>
    <xf numFmtId="0" fontId="34" fillId="0" borderId="214" xfId="0" applyFont="1" applyBorder="1" applyAlignment="1" applyProtection="1">
      <alignment horizontal="center" vertical="center"/>
      <protection locked="0"/>
    </xf>
    <xf numFmtId="0" fontId="34" fillId="0" borderId="215" xfId="0" applyFont="1" applyBorder="1" applyAlignment="1" applyProtection="1">
      <alignment horizontal="center" vertical="center"/>
      <protection locked="0"/>
    </xf>
    <xf numFmtId="0" fontId="34" fillId="4" borderId="216" xfId="0" applyFont="1" applyFill="1" applyBorder="1" applyAlignment="1" applyProtection="1">
      <alignment horizontal="center" vertical="center"/>
    </xf>
    <xf numFmtId="0" fontId="34" fillId="0" borderId="216" xfId="0" applyFont="1" applyBorder="1" applyAlignment="1" applyProtection="1">
      <alignment horizontal="center" vertical="center"/>
      <protection locked="0"/>
    </xf>
    <xf numFmtId="0" fontId="34" fillId="4" borderId="217" xfId="0" applyFont="1" applyFill="1" applyBorder="1" applyAlignment="1" applyProtection="1">
      <alignment horizontal="center" vertical="center"/>
    </xf>
    <xf numFmtId="0" fontId="34" fillId="0" borderId="218" xfId="0" applyFont="1" applyBorder="1" applyAlignment="1" applyProtection="1">
      <alignment horizontal="center" vertical="center"/>
      <protection locked="0"/>
    </xf>
    <xf numFmtId="0" fontId="34" fillId="4" borderId="218" xfId="0" applyFont="1" applyFill="1" applyBorder="1" applyAlignment="1" applyProtection="1">
      <alignment horizontal="center" vertical="center"/>
    </xf>
    <xf numFmtId="0" fontId="34" fillId="0" borderId="219" xfId="0" applyFont="1" applyBorder="1" applyAlignment="1" applyProtection="1">
      <alignment horizontal="center" vertical="center"/>
      <protection locked="0"/>
    </xf>
    <xf numFmtId="0" fontId="34" fillId="0" borderId="220" xfId="0" applyFont="1" applyBorder="1" applyAlignment="1" applyProtection="1">
      <alignment horizontal="center" vertical="center"/>
      <protection locked="0"/>
    </xf>
    <xf numFmtId="0" fontId="34" fillId="4" borderId="221" xfId="0" applyFont="1" applyFill="1" applyBorder="1" applyAlignment="1" applyProtection="1">
      <alignment horizontal="center" vertical="center"/>
    </xf>
    <xf numFmtId="0" fontId="34" fillId="0" borderId="221" xfId="0" applyFont="1" applyBorder="1" applyAlignment="1" applyProtection="1">
      <alignment horizontal="center" vertical="center"/>
      <protection locked="0"/>
    </xf>
    <xf numFmtId="0" fontId="34" fillId="4" borderId="222" xfId="0" applyFont="1" applyFill="1" applyBorder="1" applyAlignment="1" applyProtection="1">
      <alignment horizontal="center" vertical="center"/>
    </xf>
    <xf numFmtId="0" fontId="34" fillId="4" borderId="223" xfId="0" applyFont="1" applyFill="1" applyBorder="1" applyAlignment="1" applyProtection="1">
      <alignment horizontal="center" vertical="center"/>
    </xf>
    <xf numFmtId="0" fontId="34" fillId="4" borderId="224" xfId="0" applyFont="1" applyFill="1" applyBorder="1" applyAlignment="1" applyProtection="1">
      <alignment horizontal="center" vertical="center"/>
    </xf>
    <xf numFmtId="0" fontId="26" fillId="4" borderId="41" xfId="0" applyFont="1" applyFill="1" applyBorder="1" applyAlignment="1">
      <alignment horizontal="center" vertical="center"/>
    </xf>
    <xf numFmtId="0" fontId="63" fillId="0" borderId="25" xfId="0" applyFont="1" applyFill="1" applyBorder="1" applyAlignment="1">
      <alignment horizontal="left" vertical="center"/>
    </xf>
    <xf numFmtId="0" fontId="6" fillId="5" borderId="0" xfId="0" applyFont="1" applyFill="1" applyBorder="1"/>
    <xf numFmtId="0" fontId="64" fillId="0" borderId="25" xfId="0" applyFont="1" applyFill="1" applyBorder="1" applyAlignment="1">
      <alignment horizontal="left" vertical="center"/>
    </xf>
    <xf numFmtId="0" fontId="64" fillId="0" borderId="22" xfId="0" applyFont="1" applyFill="1" applyBorder="1" applyAlignment="1">
      <alignment horizontal="left" vertical="center" wrapText="1"/>
    </xf>
    <xf numFmtId="0" fontId="62" fillId="3" borderId="31" xfId="0" applyFont="1" applyFill="1" applyBorder="1" applyAlignment="1">
      <alignment horizontal="left" vertical="center" wrapText="1"/>
    </xf>
    <xf numFmtId="0" fontId="62" fillId="3" borderId="39" xfId="0" applyFont="1" applyFill="1" applyBorder="1" applyAlignment="1">
      <alignment horizontal="left" vertical="center"/>
    </xf>
    <xf numFmtId="0" fontId="62" fillId="3" borderId="122" xfId="0" applyFont="1" applyFill="1" applyBorder="1" applyAlignment="1">
      <alignment horizontal="left" vertical="center"/>
    </xf>
    <xf numFmtId="0" fontId="62" fillId="3" borderId="101" xfId="0" applyFont="1" applyFill="1" applyBorder="1" applyAlignment="1">
      <alignment horizontal="left" vertical="center"/>
    </xf>
    <xf numFmtId="0" fontId="36" fillId="3" borderId="31" xfId="0" applyFont="1" applyFill="1" applyBorder="1" applyAlignment="1">
      <alignment horizontal="left" vertical="center"/>
    </xf>
    <xf numFmtId="0" fontId="36" fillId="3" borderId="39" xfId="0" applyFont="1" applyFill="1" applyBorder="1" applyAlignment="1">
      <alignment horizontal="left" vertical="center"/>
    </xf>
    <xf numFmtId="0" fontId="36" fillId="3" borderId="0" xfId="0" applyFont="1" applyFill="1" applyBorder="1" applyAlignment="1">
      <alignment horizontal="left" vertical="center"/>
    </xf>
    <xf numFmtId="0" fontId="36" fillId="3" borderId="120" xfId="0" applyFont="1" applyFill="1" applyBorder="1" applyAlignment="1">
      <alignment horizontal="left" vertical="center"/>
    </xf>
    <xf numFmtId="0" fontId="36" fillId="3" borderId="122" xfId="0" applyFont="1" applyFill="1" applyBorder="1" applyAlignment="1">
      <alignment horizontal="left" vertical="center"/>
    </xf>
    <xf numFmtId="0" fontId="36" fillId="3" borderId="89" xfId="0" applyFont="1" applyFill="1" applyBorder="1" applyAlignment="1">
      <alignment horizontal="left" vertical="center"/>
    </xf>
    <xf numFmtId="0" fontId="59" fillId="3" borderId="31" xfId="0" applyFont="1" applyFill="1" applyBorder="1" applyAlignment="1">
      <alignment horizontal="left" vertical="center"/>
    </xf>
    <xf numFmtId="0" fontId="59" fillId="3" borderId="39" xfId="0" applyFont="1" applyFill="1" applyBorder="1" applyAlignment="1">
      <alignment horizontal="left" vertical="center"/>
    </xf>
    <xf numFmtId="0" fontId="59" fillId="3" borderId="122" xfId="0" applyFont="1" applyFill="1" applyBorder="1" applyAlignment="1">
      <alignment horizontal="left" vertical="center"/>
    </xf>
    <xf numFmtId="0" fontId="59" fillId="3" borderId="101" xfId="0" applyFont="1" applyFill="1" applyBorder="1" applyAlignment="1">
      <alignment horizontal="left" vertical="center"/>
    </xf>
    <xf numFmtId="0" fontId="36" fillId="3" borderId="31" xfId="0" applyFont="1" applyFill="1" applyBorder="1" applyAlignment="1">
      <alignment horizontal="left" vertical="center" wrapText="1"/>
    </xf>
    <xf numFmtId="0" fontId="36" fillId="3" borderId="39" xfId="0" applyFont="1" applyFill="1" applyBorder="1" applyAlignment="1">
      <alignment horizontal="left" vertical="center" wrapText="1"/>
    </xf>
    <xf numFmtId="0" fontId="45" fillId="0" borderId="48" xfId="0" applyFont="1" applyFill="1" applyBorder="1" applyAlignment="1">
      <alignment horizontal="left" vertical="center" wrapText="1"/>
    </xf>
    <xf numFmtId="0" fontId="45" fillId="0" borderId="41" xfId="0" applyFont="1" applyFill="1" applyBorder="1" applyAlignment="1">
      <alignment horizontal="left" vertical="center" wrapText="1"/>
    </xf>
    <xf numFmtId="0" fontId="45" fillId="0" borderId="49" xfId="0" applyFont="1" applyFill="1" applyBorder="1" applyAlignment="1">
      <alignment horizontal="left" vertical="center" wrapText="1"/>
    </xf>
    <xf numFmtId="0" fontId="36" fillId="3" borderId="121" xfId="0" applyFont="1" applyFill="1" applyBorder="1" applyAlignment="1">
      <alignment horizontal="left" vertical="center"/>
    </xf>
    <xf numFmtId="0" fontId="54" fillId="5" borderId="46" xfId="0" applyFont="1" applyFill="1" applyBorder="1" applyAlignment="1">
      <alignment horizontal="left" vertical="center" wrapText="1"/>
    </xf>
    <xf numFmtId="0" fontId="54" fillId="5" borderId="40" xfId="0" applyFont="1" applyFill="1" applyBorder="1" applyAlignment="1">
      <alignment horizontal="left" vertical="center" wrapText="1"/>
    </xf>
    <xf numFmtId="0" fontId="54" fillId="5" borderId="61" xfId="0" applyFont="1" applyFill="1" applyBorder="1" applyAlignment="1">
      <alignment horizontal="left" vertical="center" wrapText="1"/>
    </xf>
    <xf numFmtId="0" fontId="54" fillId="5" borderId="48" xfId="0" applyFont="1" applyFill="1" applyBorder="1" applyAlignment="1">
      <alignment horizontal="left" vertical="center" wrapText="1"/>
    </xf>
    <xf numFmtId="0" fontId="54" fillId="5" borderId="41" xfId="0" applyFont="1" applyFill="1" applyBorder="1" applyAlignment="1">
      <alignment horizontal="left" vertical="center" wrapText="1"/>
    </xf>
    <xf numFmtId="0" fontId="54" fillId="5" borderId="49" xfId="0" applyFont="1" applyFill="1" applyBorder="1" applyAlignment="1">
      <alignment horizontal="left" vertical="center" wrapText="1"/>
    </xf>
    <xf numFmtId="0" fontId="34" fillId="0" borderId="48" xfId="0" applyFont="1" applyFill="1" applyBorder="1" applyAlignment="1">
      <alignment horizontal="left" vertical="center" wrapText="1"/>
    </xf>
    <xf numFmtId="0" fontId="34" fillId="0" borderId="41" xfId="0" applyFont="1" applyFill="1" applyBorder="1" applyAlignment="1">
      <alignment horizontal="left" vertical="center" wrapText="1"/>
    </xf>
    <xf numFmtId="0" fontId="34" fillId="0" borderId="49" xfId="0" applyFont="1" applyFill="1" applyBorder="1" applyAlignment="1">
      <alignment horizontal="left" vertical="center" wrapText="1"/>
    </xf>
    <xf numFmtId="0" fontId="25" fillId="0" borderId="197" xfId="0" applyFont="1" applyBorder="1" applyAlignment="1">
      <alignment horizontal="center" vertical="center" wrapText="1"/>
    </xf>
    <xf numFmtId="0" fontId="25" fillId="0" borderId="198" xfId="0" applyFont="1" applyBorder="1" applyAlignment="1">
      <alignment horizontal="center" vertical="center" wrapText="1"/>
    </xf>
    <xf numFmtId="0" fontId="25" fillId="0" borderId="199" xfId="0" applyFont="1" applyBorder="1" applyAlignment="1">
      <alignment horizontal="center" vertical="center" wrapText="1"/>
    </xf>
    <xf numFmtId="0" fontId="59" fillId="3" borderId="0" xfId="0" applyFont="1" applyFill="1" applyBorder="1" applyAlignment="1">
      <alignment horizontal="left" vertical="center"/>
    </xf>
    <xf numFmtId="0" fontId="59" fillId="3" borderId="89" xfId="0" applyFont="1" applyFill="1" applyBorder="1" applyAlignment="1">
      <alignment horizontal="left" vertical="center"/>
    </xf>
    <xf numFmtId="0" fontId="36" fillId="3" borderId="101" xfId="0" applyFont="1" applyFill="1" applyBorder="1" applyAlignment="1">
      <alignment horizontal="left" vertical="center"/>
    </xf>
    <xf numFmtId="0" fontId="36" fillId="3" borderId="40" xfId="0" applyFont="1" applyFill="1" applyBorder="1" applyAlignment="1">
      <alignment horizontal="left" vertical="center"/>
    </xf>
    <xf numFmtId="0" fontId="54" fillId="0" borderId="41" xfId="0" applyFont="1" applyBorder="1" applyAlignment="1">
      <alignment horizontal="left" vertical="center" wrapText="1"/>
    </xf>
    <xf numFmtId="0" fontId="54" fillId="0" borderId="49" xfId="0" applyFont="1" applyBorder="1" applyAlignment="1">
      <alignment horizontal="left" vertical="center" wrapText="1"/>
    </xf>
    <xf numFmtId="0" fontId="54" fillId="0" borderId="48" xfId="0" applyFont="1" applyBorder="1" applyAlignment="1">
      <alignment horizontal="left" vertical="center" wrapText="1"/>
    </xf>
    <xf numFmtId="0" fontId="25" fillId="0" borderId="48" xfId="0" applyFont="1" applyFill="1" applyBorder="1" applyAlignment="1">
      <alignment horizontal="center" vertical="center" wrapText="1"/>
    </xf>
    <xf numFmtId="0" fontId="25" fillId="0" borderId="41" xfId="0" applyFont="1" applyFill="1" applyBorder="1" applyAlignment="1">
      <alignment horizontal="center" vertical="center" wrapText="1"/>
    </xf>
    <xf numFmtId="0" fontId="25" fillId="0" borderId="49" xfId="0" applyFont="1" applyFill="1" applyBorder="1" applyAlignment="1">
      <alignment horizontal="center" vertical="center" wrapText="1"/>
    </xf>
    <xf numFmtId="0" fontId="45" fillId="0" borderId="32" xfId="0" applyFont="1" applyFill="1" applyBorder="1" applyAlignment="1">
      <alignment horizontal="left" vertical="center" wrapText="1"/>
    </xf>
    <xf numFmtId="0" fontId="11" fillId="12" borderId="31" xfId="0" applyFont="1" applyFill="1" applyBorder="1" applyAlignment="1">
      <alignment horizontal="center" wrapText="1"/>
    </xf>
    <xf numFmtId="0" fontId="11" fillId="12" borderId="39" xfId="0" applyFont="1" applyFill="1" applyBorder="1" applyAlignment="1">
      <alignment horizontal="center" wrapText="1"/>
    </xf>
    <xf numFmtId="0" fontId="11" fillId="12" borderId="101" xfId="0" applyFont="1" applyFill="1" applyBorder="1" applyAlignment="1">
      <alignment horizontal="center" wrapText="1"/>
    </xf>
    <xf numFmtId="0" fontId="56" fillId="3" borderId="40" xfId="0" applyFont="1" applyFill="1" applyBorder="1" applyAlignment="1">
      <alignment horizontal="center" vertical="center" wrapText="1"/>
    </xf>
    <xf numFmtId="0" fontId="56" fillId="3" borderId="0" xfId="0" applyFont="1" applyFill="1" applyAlignment="1">
      <alignment horizontal="center" vertical="center" wrapText="1"/>
    </xf>
    <xf numFmtId="0" fontId="56" fillId="3" borderId="40" xfId="0" applyFont="1" applyFill="1" applyBorder="1" applyAlignment="1">
      <alignment horizontal="left" vertical="center" wrapText="1"/>
    </xf>
    <xf numFmtId="0" fontId="56" fillId="3" borderId="0" xfId="0" applyFont="1" applyFill="1" applyAlignment="1">
      <alignment horizontal="left" vertical="center" wrapText="1"/>
    </xf>
    <xf numFmtId="0" fontId="56" fillId="3" borderId="55" xfId="0" applyFont="1" applyFill="1" applyBorder="1" applyAlignment="1">
      <alignment horizontal="left" vertical="center" wrapText="1"/>
    </xf>
    <xf numFmtId="0" fontId="54" fillId="0" borderId="32" xfId="0" applyFont="1" applyBorder="1" applyAlignment="1">
      <alignment horizontal="left" vertical="center" wrapText="1"/>
    </xf>
    <xf numFmtId="0" fontId="21" fillId="13" borderId="0" xfId="0" applyFont="1" applyFill="1" applyBorder="1" applyAlignment="1">
      <alignment horizontal="center" vertical="center" wrapText="1"/>
    </xf>
    <xf numFmtId="0" fontId="49" fillId="5" borderId="134" xfId="0" applyFont="1" applyFill="1" applyBorder="1" applyAlignment="1">
      <alignment horizontal="center" vertical="center" wrapText="1"/>
    </xf>
    <xf numFmtId="0" fontId="49" fillId="5" borderId="6" xfId="0" applyFont="1" applyFill="1" applyBorder="1" applyAlignment="1">
      <alignment horizontal="center" vertical="center" wrapText="1"/>
    </xf>
    <xf numFmtId="0" fontId="49" fillId="5" borderId="135" xfId="0" applyFont="1" applyFill="1" applyBorder="1" applyAlignment="1">
      <alignment horizontal="center" vertical="center" wrapText="1"/>
    </xf>
    <xf numFmtId="0" fontId="5" fillId="5" borderId="3" xfId="0" applyFont="1" applyFill="1" applyBorder="1" applyAlignment="1">
      <alignment horizontal="center"/>
    </xf>
    <xf numFmtId="0" fontId="5" fillId="5" borderId="4" xfId="0" applyFont="1" applyFill="1" applyBorder="1" applyAlignment="1">
      <alignment horizontal="center"/>
    </xf>
    <xf numFmtId="0" fontId="5" fillId="0" borderId="48" xfId="0" applyFont="1" applyFill="1" applyBorder="1" applyAlignment="1">
      <alignment horizontal="left" vertical="center" wrapText="1"/>
    </xf>
    <xf numFmtId="0" fontId="5" fillId="0" borderId="41" xfId="0" applyFont="1" applyFill="1" applyBorder="1" applyAlignment="1">
      <alignment horizontal="left" vertical="center" wrapText="1"/>
    </xf>
    <xf numFmtId="0" fontId="5" fillId="0" borderId="49" xfId="0" applyFont="1" applyFill="1" applyBorder="1" applyAlignment="1">
      <alignment horizontal="left" vertical="center" wrapText="1"/>
    </xf>
    <xf numFmtId="0" fontId="49" fillId="3" borderId="40" xfId="0" applyFont="1" applyFill="1" applyBorder="1" applyAlignment="1">
      <alignment horizontal="left" vertical="center" wrapText="1"/>
    </xf>
    <xf numFmtId="0" fontId="49" fillId="3" borderId="0" xfId="0" applyFont="1" applyFill="1" applyAlignment="1">
      <alignment horizontal="left" vertical="center" wrapText="1"/>
    </xf>
    <xf numFmtId="0" fontId="49" fillId="3" borderId="55" xfId="0" applyFont="1" applyFill="1" applyBorder="1" applyAlignment="1">
      <alignment horizontal="left" vertical="center" wrapText="1"/>
    </xf>
    <xf numFmtId="0" fontId="11" fillId="5" borderId="46" xfId="0" applyFont="1" applyFill="1" applyBorder="1" applyAlignment="1">
      <alignment horizontal="left" vertical="center" wrapText="1"/>
    </xf>
    <xf numFmtId="0" fontId="11" fillId="5" borderId="120" xfId="0" applyFont="1" applyFill="1" applyBorder="1" applyAlignment="1">
      <alignment horizontal="left" vertical="center" wrapText="1"/>
    </xf>
    <xf numFmtId="0" fontId="11" fillId="5" borderId="121" xfId="0" applyFont="1" applyFill="1" applyBorder="1" applyAlignment="1">
      <alignment horizontal="left" vertical="center" wrapText="1"/>
    </xf>
    <xf numFmtId="0" fontId="11" fillId="5" borderId="61" xfId="0" applyFont="1" applyFill="1" applyBorder="1" applyAlignment="1">
      <alignment horizontal="left" vertical="center" wrapText="1"/>
    </xf>
    <xf numFmtId="0" fontId="11" fillId="5" borderId="122" xfId="0" applyFont="1" applyFill="1" applyBorder="1" applyAlignment="1">
      <alignment horizontal="left" vertical="center" wrapText="1"/>
    </xf>
    <xf numFmtId="0" fontId="11" fillId="5" borderId="89" xfId="0" applyFont="1" applyFill="1" applyBorder="1" applyAlignment="1">
      <alignment horizontal="left" vertical="center" wrapText="1"/>
    </xf>
    <xf numFmtId="0" fontId="54" fillId="0" borderId="125" xfId="0" applyFont="1" applyBorder="1" applyAlignment="1">
      <alignment horizontal="left" vertical="center" wrapText="1"/>
    </xf>
    <xf numFmtId="0" fontId="54" fillId="0" borderId="124" xfId="0" applyFont="1" applyBorder="1" applyAlignment="1">
      <alignment horizontal="left" vertical="center" wrapText="1"/>
    </xf>
    <xf numFmtId="0" fontId="5" fillId="0" borderId="87" xfId="0" applyFont="1" applyBorder="1" applyAlignment="1">
      <alignment horizontal="left" vertical="center" wrapText="1"/>
    </xf>
    <xf numFmtId="0" fontId="5" fillId="0" borderId="123" xfId="0" applyFont="1" applyBorder="1" applyAlignment="1">
      <alignment horizontal="left" vertical="center" wrapText="1"/>
    </xf>
    <xf numFmtId="0" fontId="34" fillId="0" borderId="46" xfId="0" applyFont="1" applyFill="1" applyBorder="1" applyAlignment="1">
      <alignment horizontal="left" vertical="center" wrapText="1"/>
    </xf>
    <xf numFmtId="0" fontId="34" fillId="0" borderId="40" xfId="0" applyFont="1" applyFill="1" applyBorder="1" applyAlignment="1">
      <alignment horizontal="left" vertical="center" wrapText="1"/>
    </xf>
    <xf numFmtId="0" fontId="34" fillId="0" borderId="61" xfId="0" applyFont="1" applyFill="1" applyBorder="1" applyAlignment="1">
      <alignment horizontal="left" vertical="center" wrapText="1"/>
    </xf>
    <xf numFmtId="0" fontId="34" fillId="0" borderId="48" xfId="0" applyFont="1" applyBorder="1" applyAlignment="1">
      <alignment horizontal="left" vertical="center" wrapText="1"/>
    </xf>
    <xf numFmtId="0" fontId="34" fillId="0" borderId="41" xfId="0" applyFont="1" applyBorder="1" applyAlignment="1">
      <alignment horizontal="left" vertical="center" wrapText="1"/>
    </xf>
    <xf numFmtId="0" fontId="34" fillId="0" borderId="49" xfId="0" applyFont="1" applyBorder="1" applyAlignment="1">
      <alignment horizontal="left" vertical="center" wrapText="1"/>
    </xf>
    <xf numFmtId="0" fontId="26" fillId="10" borderId="48" xfId="0" applyFont="1" applyFill="1" applyBorder="1" applyAlignment="1">
      <alignment horizontal="center" vertical="center" wrapText="1"/>
    </xf>
    <xf numFmtId="0" fontId="26" fillId="10" borderId="41" xfId="0" applyFont="1" applyFill="1" applyBorder="1" applyAlignment="1">
      <alignment horizontal="center" vertical="center" wrapText="1"/>
    </xf>
    <xf numFmtId="0" fontId="26" fillId="10" borderId="49" xfId="0" applyFont="1" applyFill="1" applyBorder="1" applyAlignment="1">
      <alignment horizontal="center" vertical="center" wrapText="1"/>
    </xf>
    <xf numFmtId="0" fontId="41" fillId="2" borderId="48" xfId="0" applyFont="1" applyFill="1" applyBorder="1" applyAlignment="1">
      <alignment horizontal="center" vertical="center" wrapText="1"/>
    </xf>
    <xf numFmtId="0" fontId="41" fillId="2" borderId="41" xfId="0" applyFont="1" applyFill="1" applyBorder="1" applyAlignment="1">
      <alignment horizontal="center" vertical="center" wrapText="1"/>
    </xf>
    <xf numFmtId="0" fontId="41" fillId="2" borderId="49" xfId="0" applyFont="1" applyFill="1" applyBorder="1" applyAlignment="1">
      <alignment horizontal="center" vertical="center" wrapText="1"/>
    </xf>
    <xf numFmtId="0" fontId="33" fillId="0" borderId="48" xfId="0" applyFont="1" applyFill="1" applyBorder="1" applyAlignment="1">
      <alignment horizontal="left" vertical="center" wrapText="1"/>
    </xf>
    <xf numFmtId="0" fontId="33" fillId="0" borderId="41" xfId="0" applyFont="1" applyFill="1" applyBorder="1" applyAlignment="1">
      <alignment horizontal="left" vertical="center" wrapText="1"/>
    </xf>
    <xf numFmtId="0" fontId="33" fillId="0" borderId="49" xfId="0" applyFont="1" applyFill="1" applyBorder="1" applyAlignment="1">
      <alignment horizontal="left" vertical="center" wrapText="1"/>
    </xf>
    <xf numFmtId="0" fontId="33" fillId="0" borderId="32" xfId="0" applyFont="1" applyFill="1" applyBorder="1" applyAlignment="1">
      <alignment horizontal="left" vertical="center" wrapText="1"/>
    </xf>
    <xf numFmtId="49" fontId="31" fillId="4" borderId="17" xfId="1" applyNumberFormat="1" applyFont="1" applyFill="1" applyBorder="1" applyAlignment="1">
      <alignment horizontal="center" vertical="center"/>
    </xf>
    <xf numFmtId="49" fontId="31" fillId="4" borderId="30" xfId="1" applyNumberFormat="1" applyFont="1" applyFill="1" applyBorder="1" applyAlignment="1">
      <alignment horizontal="center" vertical="center"/>
    </xf>
    <xf numFmtId="0" fontId="25" fillId="4" borderId="15" xfId="0" applyFont="1" applyFill="1" applyBorder="1" applyAlignment="1">
      <alignment horizontal="center" vertical="center" wrapText="1"/>
    </xf>
    <xf numFmtId="0" fontId="25" fillId="4" borderId="51" xfId="0" applyFont="1" applyFill="1" applyBorder="1" applyAlignment="1">
      <alignment horizontal="center" vertical="center" wrapText="1"/>
    </xf>
    <xf numFmtId="0" fontId="26" fillId="4" borderId="48" xfId="0" applyFont="1" applyFill="1" applyBorder="1" applyAlignment="1">
      <alignment horizontal="center" vertical="center"/>
    </xf>
    <xf numFmtId="0" fontId="26" fillId="4" borderId="41" xfId="0" applyFont="1" applyFill="1" applyBorder="1" applyAlignment="1">
      <alignment horizontal="center" vertical="center"/>
    </xf>
    <xf numFmtId="49" fontId="31" fillId="4" borderId="9" xfId="1" applyNumberFormat="1" applyFont="1" applyFill="1" applyBorder="1" applyAlignment="1">
      <alignment horizontal="center" vertical="center"/>
    </xf>
    <xf numFmtId="0" fontId="23" fillId="3" borderId="31" xfId="0" applyFont="1" applyFill="1" applyBorder="1" applyAlignment="1">
      <alignment horizontal="left" vertical="center"/>
    </xf>
    <xf numFmtId="0" fontId="23" fillId="3" borderId="39" xfId="0" applyFont="1" applyFill="1" applyBorder="1" applyAlignment="1">
      <alignment horizontal="left" vertical="center"/>
    </xf>
    <xf numFmtId="0" fontId="23" fillId="3" borderId="0" xfId="0" applyFont="1" applyFill="1" applyBorder="1" applyAlignment="1">
      <alignment horizontal="left" vertical="center"/>
    </xf>
    <xf numFmtId="0" fontId="23" fillId="3" borderId="101" xfId="0" applyFont="1" applyFill="1" applyBorder="1" applyAlignment="1">
      <alignment horizontal="left" vertical="center"/>
    </xf>
    <xf numFmtId="0" fontId="23" fillId="3" borderId="122" xfId="0" applyFont="1" applyFill="1" applyBorder="1" applyAlignment="1">
      <alignment horizontal="left" vertical="center"/>
    </xf>
    <xf numFmtId="0" fontId="25" fillId="4" borderId="118" xfId="0" applyFont="1" applyFill="1" applyBorder="1" applyAlignment="1">
      <alignment horizontal="center" vertical="center" wrapText="1"/>
    </xf>
    <xf numFmtId="0" fontId="25" fillId="4" borderId="62" xfId="0" applyFont="1" applyFill="1" applyBorder="1" applyAlignment="1">
      <alignment horizontal="center" vertical="center" wrapText="1"/>
    </xf>
    <xf numFmtId="0" fontId="25" fillId="7" borderId="121" xfId="0" applyFont="1" applyFill="1" applyBorder="1" applyAlignment="1">
      <alignment horizontal="center" vertical="center"/>
    </xf>
    <xf numFmtId="0" fontId="25" fillId="7" borderId="60" xfId="0" applyFont="1" applyFill="1" applyBorder="1" applyAlignment="1">
      <alignment horizontal="center" vertical="center"/>
    </xf>
    <xf numFmtId="0" fontId="33" fillId="0" borderId="48" xfId="0" applyFont="1" applyBorder="1" applyAlignment="1">
      <alignment horizontal="left" vertical="center" wrapText="1"/>
    </xf>
    <xf numFmtId="0" fontId="33" fillId="0" borderId="41" xfId="0" applyFont="1" applyBorder="1" applyAlignment="1">
      <alignment horizontal="left" vertical="center" wrapText="1"/>
    </xf>
    <xf numFmtId="49" fontId="31" fillId="4" borderId="119" xfId="1" applyNumberFormat="1" applyFont="1" applyFill="1" applyBorder="1" applyAlignment="1">
      <alignment horizontal="center" vertical="center"/>
    </xf>
    <xf numFmtId="49" fontId="31" fillId="4" borderId="26" xfId="1" applyNumberFormat="1" applyFont="1" applyFill="1" applyBorder="1" applyAlignment="1">
      <alignment horizontal="center" vertical="center"/>
    </xf>
    <xf numFmtId="0" fontId="33" fillId="0" borderId="49" xfId="0" applyFont="1" applyBorder="1" applyAlignment="1">
      <alignment horizontal="left" vertical="center" wrapText="1"/>
    </xf>
    <xf numFmtId="0" fontId="22" fillId="2" borderId="48" xfId="0" applyFont="1" applyFill="1" applyBorder="1" applyAlignment="1">
      <alignment horizontal="left" vertical="center" wrapText="1"/>
    </xf>
    <xf numFmtId="0" fontId="22" fillId="2" borderId="49" xfId="0" applyFont="1" applyFill="1" applyBorder="1" applyAlignment="1">
      <alignment horizontal="left" vertical="center" wrapText="1"/>
    </xf>
    <xf numFmtId="0" fontId="25" fillId="8" borderId="41" xfId="0" applyFont="1" applyFill="1" applyBorder="1" applyAlignment="1">
      <alignment horizontal="center" vertical="center"/>
    </xf>
    <xf numFmtId="0" fontId="25" fillId="8" borderId="32" xfId="0" applyFont="1" applyFill="1" applyBorder="1" applyAlignment="1">
      <alignment horizontal="center" vertical="center"/>
    </xf>
    <xf numFmtId="0" fontId="33" fillId="11" borderId="48" xfId="0" applyFont="1" applyFill="1" applyBorder="1" applyAlignment="1">
      <alignment horizontal="left" vertical="top" wrapText="1"/>
    </xf>
    <xf numFmtId="0" fontId="33" fillId="11" borderId="41" xfId="0" applyFont="1" applyFill="1" applyBorder="1" applyAlignment="1">
      <alignment horizontal="left" vertical="top" wrapText="1"/>
    </xf>
    <xf numFmtId="0" fontId="33" fillId="11" borderId="49" xfId="0" applyFont="1" applyFill="1" applyBorder="1" applyAlignment="1">
      <alignment horizontal="left" vertical="top" wrapText="1"/>
    </xf>
    <xf numFmtId="0" fontId="25" fillId="8" borderId="48" xfId="0" applyFont="1" applyFill="1" applyBorder="1" applyAlignment="1">
      <alignment horizontal="center" vertical="center"/>
    </xf>
    <xf numFmtId="0" fontId="26" fillId="7" borderId="48" xfId="0" applyFont="1" applyFill="1" applyBorder="1" applyAlignment="1">
      <alignment horizontal="center" vertical="center" wrapText="1"/>
    </xf>
    <xf numFmtId="0" fontId="26" fillId="7" borderId="49" xfId="0" applyFont="1" applyFill="1" applyBorder="1" applyAlignment="1">
      <alignment horizontal="center" vertical="center" wrapText="1"/>
    </xf>
    <xf numFmtId="0" fontId="25" fillId="8" borderId="49" xfId="0" applyFont="1" applyFill="1" applyBorder="1" applyAlignment="1">
      <alignment horizontal="center" vertical="center"/>
    </xf>
    <xf numFmtId="0" fontId="25" fillId="4" borderId="52" xfId="0" applyFont="1" applyFill="1" applyBorder="1" applyAlignment="1">
      <alignment horizontal="center" vertical="center" wrapText="1"/>
    </xf>
    <xf numFmtId="0" fontId="25" fillId="7" borderId="118" xfId="0" applyFont="1" applyFill="1" applyBorder="1" applyAlignment="1">
      <alignment horizontal="center" vertical="center"/>
    </xf>
    <xf numFmtId="0" fontId="25" fillId="7" borderId="62" xfId="0" applyFont="1" applyFill="1" applyBorder="1" applyAlignment="1">
      <alignment horizontal="center" vertical="center"/>
    </xf>
    <xf numFmtId="0" fontId="26" fillId="4" borderId="46" xfId="0" applyFont="1" applyFill="1" applyBorder="1" applyAlignment="1">
      <alignment horizontal="center" vertical="center"/>
    </xf>
    <xf numFmtId="0" fontId="26" fillId="4" borderId="40" xfId="0" applyFont="1" applyFill="1" applyBorder="1" applyAlignment="1">
      <alignment horizontal="center" vertical="center"/>
    </xf>
    <xf numFmtId="49" fontId="38" fillId="4" borderId="119" xfId="1" applyNumberFormat="1" applyFont="1" applyFill="1" applyBorder="1" applyAlignment="1">
      <alignment horizontal="center" vertical="center"/>
    </xf>
    <xf numFmtId="49" fontId="38" fillId="4" borderId="26" xfId="1" applyNumberFormat="1" applyFont="1" applyFill="1" applyBorder="1" applyAlignment="1">
      <alignment horizontal="center" vertical="center"/>
    </xf>
    <xf numFmtId="49" fontId="38" fillId="4" borderId="23" xfId="1" applyNumberFormat="1" applyFont="1" applyFill="1" applyBorder="1" applyAlignment="1">
      <alignment horizontal="center" vertical="center"/>
    </xf>
    <xf numFmtId="0" fontId="22" fillId="2" borderId="41" xfId="0" applyFont="1" applyFill="1" applyBorder="1" applyAlignment="1">
      <alignment horizontal="left" vertical="center" wrapText="1"/>
    </xf>
    <xf numFmtId="0" fontId="23" fillId="3" borderId="40" xfId="0" applyFont="1" applyFill="1" applyBorder="1" applyAlignment="1">
      <alignment horizontal="left" vertical="center"/>
    </xf>
    <xf numFmtId="0" fontId="23" fillId="3" borderId="120" xfId="0" applyFont="1" applyFill="1" applyBorder="1" applyAlignment="1">
      <alignment horizontal="left" vertical="center"/>
    </xf>
    <xf numFmtId="0" fontId="23" fillId="3" borderId="121" xfId="0" applyFont="1" applyFill="1" applyBorder="1" applyAlignment="1">
      <alignment horizontal="left" vertical="center"/>
    </xf>
    <xf numFmtId="0" fontId="33" fillId="5" borderId="48" xfId="0" applyFont="1" applyFill="1" applyBorder="1" applyAlignment="1">
      <alignment horizontal="left" vertical="center" wrapText="1"/>
    </xf>
    <xf numFmtId="0" fontId="33" fillId="5" borderId="41" xfId="0" applyFont="1" applyFill="1" applyBorder="1" applyAlignment="1">
      <alignment horizontal="left" vertical="center" wrapText="1"/>
    </xf>
    <xf numFmtId="0" fontId="33" fillId="5" borderId="49" xfId="0" applyFont="1" applyFill="1" applyBorder="1" applyAlignment="1">
      <alignment horizontal="left" vertical="center" wrapText="1"/>
    </xf>
    <xf numFmtId="0" fontId="9" fillId="0" borderId="67" xfId="0" applyFont="1" applyBorder="1" applyAlignment="1">
      <alignment horizontal="left" vertical="top" wrapText="1"/>
    </xf>
    <xf numFmtId="0" fontId="9" fillId="0" borderId="68" xfId="0" applyFont="1" applyBorder="1" applyAlignment="1">
      <alignment horizontal="left" vertical="top" wrapText="1"/>
    </xf>
    <xf numFmtId="0" fontId="9" fillId="0" borderId="69" xfId="0" applyFont="1" applyBorder="1" applyAlignment="1">
      <alignment horizontal="left" vertical="top" wrapText="1"/>
    </xf>
    <xf numFmtId="0" fontId="9" fillId="0" borderId="70" xfId="0" applyFont="1" applyBorder="1" applyAlignment="1">
      <alignment horizontal="left" vertical="top" wrapText="1"/>
    </xf>
    <xf numFmtId="0" fontId="9" fillId="0" borderId="0" xfId="0" applyFont="1" applyBorder="1" applyAlignment="1">
      <alignment horizontal="left" vertical="top" wrapText="1"/>
    </xf>
    <xf numFmtId="0" fontId="9" fillId="0" borderId="71" xfId="0" applyFont="1" applyBorder="1" applyAlignment="1">
      <alignment horizontal="left" vertical="top" wrapText="1"/>
    </xf>
    <xf numFmtId="0" fontId="9" fillId="0" borderId="72" xfId="0" applyFont="1" applyBorder="1" applyAlignment="1">
      <alignment horizontal="left" vertical="top" wrapText="1"/>
    </xf>
    <xf numFmtId="0" fontId="9" fillId="0" borderId="73" xfId="0" applyFont="1" applyBorder="1" applyAlignment="1">
      <alignment horizontal="left" vertical="top" wrapText="1"/>
    </xf>
    <xf numFmtId="0" fontId="9" fillId="0" borderId="74" xfId="0" applyFont="1" applyBorder="1" applyAlignment="1">
      <alignment horizontal="left" vertical="top" wrapText="1"/>
    </xf>
    <xf numFmtId="0" fontId="18" fillId="0" borderId="67" xfId="0" applyFont="1" applyBorder="1" applyAlignment="1" applyProtection="1">
      <alignment horizontal="left" vertical="top"/>
      <protection locked="0"/>
    </xf>
    <xf numFmtId="0" fontId="18" fillId="0" borderId="68" xfId="0" applyFont="1" applyBorder="1" applyAlignment="1" applyProtection="1">
      <alignment horizontal="left" vertical="top"/>
      <protection locked="0"/>
    </xf>
    <xf numFmtId="0" fontId="18" fillId="0" borderId="69" xfId="0" applyFont="1" applyBorder="1" applyAlignment="1" applyProtection="1">
      <alignment horizontal="left" vertical="top"/>
      <protection locked="0"/>
    </xf>
    <xf numFmtId="0" fontId="18" fillId="0" borderId="70" xfId="0" applyFont="1" applyBorder="1" applyAlignment="1" applyProtection="1">
      <alignment horizontal="left" vertical="top"/>
      <protection locked="0"/>
    </xf>
    <xf numFmtId="0" fontId="18" fillId="0" borderId="0" xfId="0" applyFont="1" applyBorder="1" applyAlignment="1" applyProtection="1">
      <alignment horizontal="left" vertical="top"/>
      <protection locked="0"/>
    </xf>
    <xf numFmtId="0" fontId="18" fillId="0" borderId="71" xfId="0" applyFont="1" applyBorder="1" applyAlignment="1" applyProtection="1">
      <alignment horizontal="left" vertical="top"/>
      <protection locked="0"/>
    </xf>
    <xf numFmtId="0" fontId="18" fillId="0" borderId="72" xfId="0" applyFont="1" applyBorder="1" applyAlignment="1" applyProtection="1">
      <alignment horizontal="left" vertical="top"/>
      <protection locked="0"/>
    </xf>
    <xf numFmtId="0" fontId="18" fillId="0" borderId="73" xfId="0" applyFont="1" applyBorder="1" applyAlignment="1" applyProtection="1">
      <alignment horizontal="left" vertical="top"/>
      <protection locked="0"/>
    </xf>
    <xf numFmtId="0" fontId="18" fillId="0" borderId="74" xfId="0" applyFont="1" applyBorder="1" applyAlignment="1" applyProtection="1">
      <alignment horizontal="left" vertical="top"/>
      <protection locked="0"/>
    </xf>
    <xf numFmtId="0" fontId="11" fillId="12" borderId="65" xfId="0" applyFont="1" applyFill="1" applyBorder="1" applyAlignment="1">
      <alignment horizontal="center" vertical="top" wrapText="1"/>
    </xf>
    <xf numFmtId="0" fontId="11" fillId="12" borderId="0" xfId="0" applyFont="1" applyFill="1" applyBorder="1" applyAlignment="1">
      <alignment horizontal="center" vertical="top" wrapText="1"/>
    </xf>
    <xf numFmtId="0" fontId="11" fillId="12" borderId="66" xfId="0" applyFont="1" applyFill="1" applyBorder="1" applyAlignment="1">
      <alignment horizontal="center" vertical="top" wrapText="1"/>
    </xf>
    <xf numFmtId="0" fontId="11" fillId="12" borderId="0" xfId="0" applyFont="1" applyFill="1" applyBorder="1" applyAlignment="1">
      <alignment horizontal="left" vertical="top" wrapText="1"/>
    </xf>
    <xf numFmtId="0" fontId="11" fillId="12" borderId="55" xfId="0" applyFont="1" applyFill="1" applyBorder="1" applyAlignment="1">
      <alignment horizontal="left" vertical="top" wrapText="1"/>
    </xf>
    <xf numFmtId="0" fontId="10" fillId="0" borderId="75" xfId="0" applyFont="1" applyBorder="1" applyAlignment="1">
      <alignment horizontal="left" vertical="top" wrapText="1"/>
    </xf>
    <xf numFmtId="0" fontId="10" fillId="0" borderId="76" xfId="0" applyFont="1" applyBorder="1" applyAlignment="1">
      <alignment horizontal="left" vertical="top" wrapText="1"/>
    </xf>
    <xf numFmtId="0" fontId="10" fillId="0" borderId="77" xfId="0" applyFont="1" applyBorder="1" applyAlignment="1">
      <alignment horizontal="left" vertical="top" wrapText="1"/>
    </xf>
    <xf numFmtId="0" fontId="10" fillId="0" borderId="78" xfId="0" applyFont="1" applyBorder="1" applyAlignment="1">
      <alignment horizontal="left" vertical="top" wrapText="1"/>
    </xf>
    <xf numFmtId="0" fontId="10" fillId="0" borderId="0" xfId="0" applyFont="1" applyBorder="1" applyAlignment="1">
      <alignment horizontal="left" vertical="top" wrapText="1"/>
    </xf>
    <xf numFmtId="0" fontId="10" fillId="0" borderId="79" xfId="0" applyFont="1" applyBorder="1" applyAlignment="1">
      <alignment horizontal="left" vertical="top" wrapText="1"/>
    </xf>
    <xf numFmtId="0" fontId="10" fillId="0" borderId="80" xfId="0" applyFont="1" applyBorder="1" applyAlignment="1">
      <alignment horizontal="left" vertical="top" wrapText="1"/>
    </xf>
    <xf numFmtId="0" fontId="10" fillId="0" borderId="81" xfId="0" applyFont="1" applyBorder="1" applyAlignment="1">
      <alignment horizontal="left" vertical="top" wrapText="1"/>
    </xf>
    <xf numFmtId="0" fontId="10" fillId="0" borderId="82" xfId="0" applyFont="1" applyBorder="1" applyAlignment="1">
      <alignment horizontal="left" vertical="top" wrapText="1"/>
    </xf>
    <xf numFmtId="0" fontId="16" fillId="13" borderId="83" xfId="0" applyFont="1" applyFill="1" applyBorder="1" applyAlignment="1">
      <alignment horizontal="center" vertical="center" wrapText="1"/>
    </xf>
    <xf numFmtId="0" fontId="16" fillId="13" borderId="84" xfId="0" applyFont="1" applyFill="1" applyBorder="1" applyAlignment="1">
      <alignment horizontal="center" vertical="center" wrapText="1"/>
    </xf>
    <xf numFmtId="0" fontId="16" fillId="13" borderId="86" xfId="0" applyFont="1" applyFill="1" applyBorder="1" applyAlignment="1">
      <alignment horizontal="center" vertical="center" wrapText="1"/>
    </xf>
    <xf numFmtId="0" fontId="16" fillId="13" borderId="85" xfId="0" applyFont="1" applyFill="1" applyBorder="1" applyAlignment="1">
      <alignment horizontal="center" vertical="center" wrapText="1"/>
    </xf>
    <xf numFmtId="0" fontId="17" fillId="0" borderId="75" xfId="0" applyFont="1" applyBorder="1" applyAlignment="1" applyProtection="1">
      <alignment horizontal="left" vertical="top" wrapText="1"/>
      <protection locked="0"/>
    </xf>
    <xf numFmtId="0" fontId="17" fillId="0" borderId="76" xfId="0" applyFont="1" applyBorder="1" applyAlignment="1" applyProtection="1">
      <alignment horizontal="left" vertical="top" wrapText="1"/>
      <protection locked="0"/>
    </xf>
    <xf numFmtId="0" fontId="17" fillId="0" borderId="77" xfId="0" applyFont="1" applyBorder="1" applyAlignment="1" applyProtection="1">
      <alignment horizontal="left" vertical="top" wrapText="1"/>
      <protection locked="0"/>
    </xf>
    <xf numFmtId="0" fontId="17" fillId="0" borderId="78"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79" xfId="0" applyFont="1" applyBorder="1" applyAlignment="1" applyProtection="1">
      <alignment horizontal="left" vertical="top" wrapText="1"/>
      <protection locked="0"/>
    </xf>
    <xf numFmtId="0" fontId="17" fillId="0" borderId="80" xfId="0" applyFont="1" applyBorder="1" applyAlignment="1" applyProtection="1">
      <alignment horizontal="left" vertical="top" wrapText="1"/>
      <protection locked="0"/>
    </xf>
    <xf numFmtId="0" fontId="17" fillId="0" borderId="81" xfId="0" applyFont="1" applyBorder="1" applyAlignment="1" applyProtection="1">
      <alignment horizontal="left" vertical="top" wrapText="1"/>
      <protection locked="0"/>
    </xf>
    <xf numFmtId="0" fontId="17" fillId="0" borderId="82" xfId="0" applyFont="1" applyBorder="1" applyAlignment="1" applyProtection="1">
      <alignment horizontal="left" vertical="top" wrapText="1"/>
      <protection locked="0"/>
    </xf>
    <xf numFmtId="0" fontId="33" fillId="0" borderId="41" xfId="0" applyFont="1" applyBorder="1" applyAlignment="1">
      <alignment horizontal="left" vertical="center"/>
    </xf>
    <xf numFmtId="0" fontId="23" fillId="3" borderId="31" xfId="0" applyFont="1" applyFill="1" applyBorder="1" applyAlignment="1">
      <alignment horizontal="left" vertical="center" wrapText="1"/>
    </xf>
    <xf numFmtId="0" fontId="23" fillId="3" borderId="39" xfId="0" applyFont="1" applyFill="1" applyBorder="1" applyAlignment="1">
      <alignment horizontal="left" vertical="center" wrapText="1"/>
    </xf>
    <xf numFmtId="0" fontId="23" fillId="3" borderId="122" xfId="0" applyFont="1" applyFill="1" applyBorder="1" applyAlignment="1">
      <alignment horizontal="left" vertical="center" wrapText="1"/>
    </xf>
    <xf numFmtId="0" fontId="23" fillId="3" borderId="101" xfId="0" applyFont="1" applyFill="1" applyBorder="1" applyAlignment="1">
      <alignment horizontal="left" vertical="center" wrapText="1"/>
    </xf>
    <xf numFmtId="0" fontId="22" fillId="2" borderId="32" xfId="0" applyFont="1" applyFill="1" applyBorder="1" applyAlignment="1">
      <alignment horizontal="left" wrapText="1"/>
    </xf>
    <xf numFmtId="0" fontId="22" fillId="2" borderId="22" xfId="0" applyFont="1" applyFill="1" applyBorder="1" applyAlignment="1">
      <alignment horizontal="left" wrapText="1"/>
    </xf>
    <xf numFmtId="0" fontId="26" fillId="4" borderId="32" xfId="0" applyFont="1" applyFill="1" applyBorder="1" applyAlignment="1">
      <alignment horizontal="center" vertical="center"/>
    </xf>
    <xf numFmtId="0" fontId="26" fillId="4" borderId="22" xfId="0" applyFont="1" applyFill="1" applyBorder="1" applyAlignment="1">
      <alignment horizontal="center" vertical="center"/>
    </xf>
    <xf numFmtId="0" fontId="46" fillId="0" borderId="39" xfId="0" applyFont="1" applyBorder="1" applyAlignment="1">
      <alignment horizontal="left" vertical="center" wrapText="1"/>
    </xf>
    <xf numFmtId="0" fontId="22" fillId="0" borderId="31" xfId="0" applyFont="1" applyBorder="1" applyAlignment="1">
      <alignment horizontal="center" vertical="center"/>
    </xf>
    <xf numFmtId="0" fontId="22" fillId="0" borderId="39" xfId="0" applyFont="1" applyBorder="1" applyAlignment="1">
      <alignment horizontal="center" vertical="center"/>
    </xf>
    <xf numFmtId="0" fontId="22" fillId="0" borderId="101" xfId="0" applyFont="1" applyBorder="1" applyAlignment="1">
      <alignment horizontal="center" vertical="center"/>
    </xf>
    <xf numFmtId="0" fontId="22" fillId="6" borderId="31" xfId="0" applyFont="1" applyFill="1" applyBorder="1" applyAlignment="1">
      <alignment horizontal="center" vertical="center"/>
    </xf>
    <xf numFmtId="0" fontId="22" fillId="6" borderId="101" xfId="0" applyFont="1" applyFill="1" applyBorder="1" applyAlignment="1">
      <alignment horizontal="center" vertical="center"/>
    </xf>
    <xf numFmtId="0" fontId="36" fillId="0" borderId="39" xfId="0" applyFont="1" applyBorder="1" applyAlignment="1">
      <alignment horizontal="center" vertical="center" wrapText="1"/>
    </xf>
    <xf numFmtId="0" fontId="36" fillId="0" borderId="101" xfId="0" applyFont="1" applyBorder="1" applyAlignment="1">
      <alignment horizontal="center" vertical="center" wrapText="1"/>
    </xf>
    <xf numFmtId="0" fontId="29" fillId="0" borderId="31" xfId="0" applyFont="1" applyBorder="1" applyAlignment="1">
      <alignment horizontal="center" vertical="center" wrapText="1"/>
    </xf>
    <xf numFmtId="0" fontId="29" fillId="0" borderId="39" xfId="0" applyFont="1" applyBorder="1" applyAlignment="1">
      <alignment horizontal="center" vertical="center" wrapText="1"/>
    </xf>
    <xf numFmtId="0" fontId="25" fillId="4" borderId="9" xfId="0" applyFont="1" applyFill="1" applyBorder="1" applyAlignment="1">
      <alignment horizontal="center" wrapText="1"/>
    </xf>
    <xf numFmtId="0" fontId="25" fillId="4" borderId="14" xfId="0" applyFont="1" applyFill="1" applyBorder="1" applyAlignment="1">
      <alignment horizontal="center" wrapText="1"/>
    </xf>
    <xf numFmtId="0" fontId="25" fillId="7" borderId="17" xfId="0" applyFont="1" applyFill="1" applyBorder="1" applyAlignment="1">
      <alignment horizontal="center" vertical="center"/>
    </xf>
    <xf numFmtId="0" fontId="25" fillId="7" borderId="37" xfId="0" applyFont="1" applyFill="1" applyBorder="1" applyAlignment="1">
      <alignment horizontal="center" vertical="center"/>
    </xf>
    <xf numFmtId="0" fontId="25" fillId="8" borderId="30" xfId="0" applyFont="1" applyFill="1" applyBorder="1" applyAlignment="1">
      <alignment horizontal="center" vertical="center"/>
    </xf>
    <xf numFmtId="0" fontId="25" fillId="8" borderId="27" xfId="0" applyFont="1" applyFill="1" applyBorder="1" applyAlignment="1">
      <alignment horizontal="center" vertical="center"/>
    </xf>
    <xf numFmtId="0" fontId="22" fillId="0" borderId="31" xfId="0" applyFont="1" applyBorder="1" applyAlignment="1">
      <alignment horizontal="center" vertical="center" wrapText="1"/>
    </xf>
    <xf numFmtId="0" fontId="22" fillId="0" borderId="101" xfId="0" applyFont="1" applyBorder="1" applyAlignment="1">
      <alignment horizontal="center" vertical="center" wrapText="1"/>
    </xf>
    <xf numFmtId="0" fontId="32" fillId="8" borderId="118" xfId="0" applyFont="1" applyFill="1" applyBorder="1" applyAlignment="1">
      <alignment horizontal="center" vertical="center" wrapText="1"/>
    </xf>
    <xf numFmtId="0" fontId="32" fillId="8" borderId="62" xfId="0" applyFont="1" applyFill="1" applyBorder="1" applyAlignment="1">
      <alignment horizontal="center" vertical="center" wrapText="1"/>
    </xf>
    <xf numFmtId="0" fontId="23" fillId="3" borderId="56" xfId="0" applyFont="1" applyFill="1" applyBorder="1" applyAlignment="1">
      <alignment horizontal="left" vertical="center"/>
    </xf>
    <xf numFmtId="0" fontId="23" fillId="3" borderId="51" xfId="0" applyFont="1" applyFill="1" applyBorder="1" applyAlignment="1">
      <alignment horizontal="left" vertical="center"/>
    </xf>
    <xf numFmtId="0" fontId="23" fillId="3" borderId="15" xfId="0" applyFont="1" applyFill="1" applyBorder="1" applyAlignment="1">
      <alignment horizontal="left" vertical="center"/>
    </xf>
    <xf numFmtId="0" fontId="23" fillId="3" borderId="16" xfId="0" applyFont="1" applyFill="1" applyBorder="1" applyAlignment="1">
      <alignment horizontal="left" vertical="center"/>
    </xf>
    <xf numFmtId="0" fontId="23" fillId="3" borderId="43" xfId="0" applyFont="1" applyFill="1" applyBorder="1" applyAlignment="1">
      <alignment horizontal="left" vertical="center"/>
    </xf>
    <xf numFmtId="0" fontId="23" fillId="9" borderId="31" xfId="0" applyFont="1" applyFill="1" applyBorder="1" applyAlignment="1">
      <alignment horizontal="center" vertical="center" wrapText="1"/>
    </xf>
    <xf numFmtId="0" fontId="23" fillId="9" borderId="39" xfId="0" applyFont="1" applyFill="1" applyBorder="1" applyAlignment="1">
      <alignment horizontal="center" vertical="center" wrapText="1"/>
    </xf>
    <xf numFmtId="0" fontId="23" fillId="9" borderId="101" xfId="0" applyFont="1" applyFill="1" applyBorder="1" applyAlignment="1">
      <alignment horizontal="center" vertical="center" wrapText="1"/>
    </xf>
    <xf numFmtId="0" fontId="25" fillId="0" borderId="0" xfId="0" applyFont="1" applyAlignment="1">
      <alignment horizontal="center" wrapText="1"/>
    </xf>
    <xf numFmtId="0" fontId="32" fillId="7" borderId="118" xfId="0" applyFont="1" applyFill="1" applyBorder="1" applyAlignment="1">
      <alignment horizontal="center" vertical="center"/>
    </xf>
    <xf numFmtId="0" fontId="32" fillId="7" borderId="62" xfId="0" applyFont="1" applyFill="1" applyBorder="1" applyAlignment="1">
      <alignment horizontal="center" vertical="center"/>
    </xf>
    <xf numFmtId="0" fontId="32" fillId="4" borderId="52" xfId="0" applyFont="1" applyFill="1" applyBorder="1" applyAlignment="1">
      <alignment horizontal="center" wrapText="1"/>
    </xf>
    <xf numFmtId="0" fontId="32" fillId="4" borderId="51" xfId="0" applyFont="1" applyFill="1" applyBorder="1" applyAlignment="1">
      <alignment horizontal="center" wrapText="1"/>
    </xf>
    <xf numFmtId="0" fontId="26" fillId="4" borderId="49" xfId="0" applyFont="1" applyFill="1" applyBorder="1" applyAlignment="1">
      <alignment horizontal="center" vertical="center"/>
    </xf>
    <xf numFmtId="0" fontId="32" fillId="2" borderId="48" xfId="0" applyFont="1" applyFill="1" applyBorder="1" applyAlignment="1">
      <alignment horizontal="left" wrapText="1"/>
    </xf>
    <xf numFmtId="0" fontId="32" fillId="2" borderId="49" xfId="0" applyFont="1" applyFill="1" applyBorder="1" applyAlignment="1">
      <alignment horizontal="left" wrapText="1"/>
    </xf>
    <xf numFmtId="0" fontId="32" fillId="2" borderId="48" xfId="0" applyFont="1" applyFill="1" applyBorder="1" applyAlignment="1">
      <alignment horizontal="left" vertical="top" wrapText="1"/>
    </xf>
    <xf numFmtId="0" fontId="32" fillId="2" borderId="41" xfId="0" applyFont="1" applyFill="1" applyBorder="1" applyAlignment="1">
      <alignment horizontal="left" vertical="top" wrapText="1"/>
    </xf>
    <xf numFmtId="0" fontId="22" fillId="6" borderId="39" xfId="0" applyFont="1" applyFill="1" applyBorder="1" applyAlignment="1">
      <alignment horizontal="center" vertical="center"/>
    </xf>
    <xf numFmtId="0" fontId="23" fillId="3" borderId="46" xfId="0" applyFont="1" applyFill="1" applyBorder="1" applyAlignment="1">
      <alignment horizontal="left" vertical="center"/>
    </xf>
    <xf numFmtId="0" fontId="22" fillId="2" borderId="32" xfId="0" applyFont="1" applyFill="1" applyBorder="1" applyAlignment="1">
      <alignment horizontal="left" vertical="top" wrapText="1"/>
    </xf>
    <xf numFmtId="0" fontId="22" fillId="2" borderId="22" xfId="0" applyFont="1" applyFill="1" applyBorder="1" applyAlignment="1">
      <alignment horizontal="left" vertical="top" wrapText="1"/>
    </xf>
    <xf numFmtId="0" fontId="32" fillId="8" borderId="47" xfId="0" applyFont="1" applyFill="1" applyBorder="1" applyAlignment="1">
      <alignment horizontal="center" vertical="center"/>
    </xf>
    <xf numFmtId="0" fontId="32" fillId="8" borderId="56" xfId="0" applyFont="1" applyFill="1" applyBorder="1" applyAlignment="1">
      <alignment horizontal="center" vertical="center"/>
    </xf>
    <xf numFmtId="0" fontId="26" fillId="8" borderId="48" xfId="0" applyFont="1" applyFill="1" applyBorder="1" applyAlignment="1">
      <alignment horizontal="center" vertical="center" wrapText="1"/>
    </xf>
    <xf numFmtId="0" fontId="26" fillId="8" borderId="41" xfId="0" applyFont="1" applyFill="1" applyBorder="1" applyAlignment="1">
      <alignment horizontal="center" vertical="center" wrapText="1"/>
    </xf>
    <xf numFmtId="0" fontId="26" fillId="8" borderId="49" xfId="0" applyFont="1" applyFill="1" applyBorder="1" applyAlignment="1">
      <alignment horizontal="center" vertical="center" wrapText="1"/>
    </xf>
    <xf numFmtId="0" fontId="32" fillId="7" borderId="48" xfId="0" applyFont="1" applyFill="1" applyBorder="1" applyAlignment="1">
      <alignment horizontal="center" vertical="center" wrapText="1"/>
    </xf>
    <xf numFmtId="0" fontId="32" fillId="7" borderId="49" xfId="0" applyFont="1" applyFill="1" applyBorder="1" applyAlignment="1">
      <alignment horizontal="center" vertical="center" wrapText="1"/>
    </xf>
    <xf numFmtId="0" fontId="22" fillId="0" borderId="48" xfId="0" applyFont="1" applyBorder="1" applyAlignment="1">
      <alignment horizontal="left" vertical="center" wrapText="1"/>
    </xf>
    <xf numFmtId="0" fontId="22" fillId="0" borderId="41" xfId="0" applyFont="1" applyBorder="1" applyAlignment="1">
      <alignment horizontal="left" vertical="center" wrapText="1"/>
    </xf>
    <xf numFmtId="0" fontId="22" fillId="0" borderId="49" xfId="0" applyFont="1" applyBorder="1" applyAlignment="1">
      <alignment horizontal="left" vertical="center" wrapText="1"/>
    </xf>
    <xf numFmtId="0" fontId="22" fillId="0" borderId="48" xfId="0" applyFont="1" applyBorder="1" applyAlignment="1">
      <alignment horizontal="left" vertical="center"/>
    </xf>
    <xf numFmtId="0" fontId="22" fillId="0" borderId="41" xfId="0" applyFont="1" applyBorder="1" applyAlignment="1">
      <alignment horizontal="left" vertical="center"/>
    </xf>
    <xf numFmtId="0" fontId="22" fillId="0" borderId="49" xfId="0" applyFont="1" applyBorder="1" applyAlignment="1">
      <alignment horizontal="left" vertical="center"/>
    </xf>
    <xf numFmtId="0" fontId="22" fillId="0" borderId="87" xfId="0" applyFont="1" applyBorder="1" applyAlignment="1">
      <alignment horizontal="left" vertical="center" wrapText="1"/>
    </xf>
    <xf numFmtId="0" fontId="22" fillId="0" borderId="123" xfId="0" applyFont="1" applyBorder="1" applyAlignment="1">
      <alignment horizontal="left" vertical="center" wrapText="1"/>
    </xf>
    <xf numFmtId="0" fontId="35" fillId="2" borderId="48" xfId="0" applyFont="1" applyFill="1" applyBorder="1" applyAlignment="1">
      <alignment horizontal="center" vertical="center" wrapText="1"/>
    </xf>
    <xf numFmtId="0" fontId="35" fillId="2" borderId="41" xfId="0" applyFont="1" applyFill="1" applyBorder="1" applyAlignment="1">
      <alignment horizontal="center" vertical="center" wrapText="1"/>
    </xf>
    <xf numFmtId="0" fontId="35" fillId="2" borderId="49" xfId="0" applyFont="1" applyFill="1" applyBorder="1" applyAlignment="1">
      <alignment horizontal="center" vertical="center" wrapText="1"/>
    </xf>
    <xf numFmtId="0" fontId="23" fillId="5" borderId="131" xfId="0" applyFont="1" applyFill="1" applyBorder="1" applyAlignment="1">
      <alignment horizontal="left" vertical="center"/>
    </xf>
    <xf numFmtId="0" fontId="23" fillId="5" borderId="132" xfId="0" applyFont="1" applyFill="1" applyBorder="1" applyAlignment="1">
      <alignment horizontal="left" vertical="center"/>
    </xf>
    <xf numFmtId="0" fontId="23" fillId="5" borderId="133" xfId="0" applyFont="1" applyFill="1" applyBorder="1" applyAlignment="1">
      <alignment horizontal="left" vertical="center"/>
    </xf>
    <xf numFmtId="0" fontId="25" fillId="10" borderId="154" xfId="0" applyFont="1" applyFill="1" applyBorder="1" applyAlignment="1">
      <alignment horizontal="center" vertical="center" wrapText="1"/>
    </xf>
    <xf numFmtId="0" fontId="25" fillId="10" borderId="155" xfId="0" applyFont="1" applyFill="1" applyBorder="1" applyAlignment="1">
      <alignment horizontal="center" vertical="center" wrapText="1"/>
    </xf>
    <xf numFmtId="0" fontId="25" fillId="10" borderId="156" xfId="0" applyFont="1" applyFill="1" applyBorder="1" applyAlignment="1">
      <alignment horizontal="center" vertical="center" wrapText="1"/>
    </xf>
    <xf numFmtId="0" fontId="23" fillId="3" borderId="89" xfId="0" applyFont="1" applyFill="1" applyBorder="1" applyAlignment="1">
      <alignment horizontal="left" vertical="center"/>
    </xf>
    <xf numFmtId="0" fontId="26" fillId="10" borderId="48" xfId="0" applyFont="1" applyFill="1" applyBorder="1" applyAlignment="1">
      <alignment horizontal="left" vertical="center" wrapText="1"/>
    </xf>
    <xf numFmtId="0" fontId="26" fillId="10" borderId="41" xfId="0" applyFont="1" applyFill="1" applyBorder="1" applyAlignment="1">
      <alignment horizontal="left" vertical="center" wrapText="1"/>
    </xf>
    <xf numFmtId="0" fontId="33" fillId="5" borderId="46" xfId="0" applyFont="1" applyFill="1" applyBorder="1" applyAlignment="1">
      <alignment horizontal="left" vertical="center" wrapText="1"/>
    </xf>
    <xf numFmtId="0" fontId="33" fillId="5" borderId="40" xfId="0" applyFont="1" applyFill="1" applyBorder="1" applyAlignment="1">
      <alignment horizontal="left" vertical="center" wrapText="1"/>
    </xf>
    <xf numFmtId="0" fontId="33" fillId="5" borderId="61" xfId="0" applyFont="1" applyFill="1" applyBorder="1" applyAlignment="1">
      <alignment horizontal="left" vertical="center" wrapText="1"/>
    </xf>
    <xf numFmtId="0" fontId="25" fillId="7" borderId="55" xfId="0" applyFont="1" applyFill="1" applyBorder="1" applyAlignment="1">
      <alignment horizontal="center" vertical="center"/>
    </xf>
    <xf numFmtId="0" fontId="25" fillId="7" borderId="89" xfId="0" applyFont="1" applyFill="1" applyBorder="1" applyAlignment="1">
      <alignment horizontal="center" vertical="center"/>
    </xf>
    <xf numFmtId="0" fontId="23" fillId="3" borderId="61" xfId="0" applyFont="1" applyFill="1" applyBorder="1" applyAlignment="1">
      <alignment horizontal="left" vertical="center"/>
    </xf>
    <xf numFmtId="0" fontId="61" fillId="0" borderId="48" xfId="0" applyFont="1" applyFill="1" applyBorder="1" applyAlignment="1">
      <alignment horizontal="left" vertical="center" wrapText="1"/>
    </xf>
    <xf numFmtId="0" fontId="61" fillId="0" borderId="41" xfId="0" applyFont="1" applyFill="1" applyBorder="1" applyAlignment="1">
      <alignment horizontal="left" vertical="center" wrapText="1"/>
    </xf>
    <xf numFmtId="0" fontId="61" fillId="0" borderId="49" xfId="0" applyFont="1" applyFill="1" applyBorder="1" applyAlignment="1">
      <alignment horizontal="left" vertical="center" wrapText="1"/>
    </xf>
    <xf numFmtId="0" fontId="61" fillId="0" borderId="197" xfId="0" applyFont="1" applyBorder="1" applyAlignment="1">
      <alignment horizontal="left" vertical="center" wrapText="1"/>
    </xf>
    <xf numFmtId="0" fontId="61" fillId="0" borderId="198" xfId="0" applyFont="1" applyBorder="1" applyAlignment="1">
      <alignment horizontal="left" vertical="center" wrapText="1"/>
    </xf>
    <xf numFmtId="0" fontId="61" fillId="0" borderId="199" xfId="0" applyFont="1" applyBorder="1" applyAlignment="1">
      <alignment horizontal="left" vertical="center" wrapText="1"/>
    </xf>
    <xf numFmtId="0" fontId="33" fillId="0" borderId="46" xfId="0" applyFont="1" applyFill="1" applyBorder="1" applyAlignment="1">
      <alignment horizontal="left" vertical="center" wrapText="1"/>
    </xf>
    <xf numFmtId="0" fontId="33" fillId="0" borderId="40" xfId="0" applyFont="1" applyFill="1" applyBorder="1" applyAlignment="1">
      <alignment horizontal="left" vertical="center" wrapText="1"/>
    </xf>
    <xf numFmtId="0" fontId="33" fillId="0" borderId="61" xfId="0" applyFont="1" applyFill="1" applyBorder="1" applyAlignment="1">
      <alignment horizontal="left" vertical="center" wrapText="1"/>
    </xf>
    <xf numFmtId="49" fontId="31" fillId="4" borderId="11" xfId="1" applyNumberFormat="1" applyFont="1" applyFill="1" applyBorder="1" applyAlignment="1">
      <alignment horizontal="center" vertical="center"/>
    </xf>
    <xf numFmtId="0" fontId="23" fillId="5" borderId="200" xfId="0" applyFont="1" applyFill="1" applyBorder="1" applyAlignment="1">
      <alignment horizontal="left" vertical="center"/>
    </xf>
    <xf numFmtId="0" fontId="23" fillId="5" borderId="157" xfId="0" applyFont="1" applyFill="1" applyBorder="1" applyAlignment="1">
      <alignment horizontal="left" vertical="center"/>
    </xf>
    <xf numFmtId="0" fontId="41" fillId="2" borderId="48" xfId="0" applyFont="1" applyFill="1" applyBorder="1" applyAlignment="1">
      <alignment horizontal="left" vertical="center" wrapText="1"/>
    </xf>
    <xf numFmtId="0" fontId="41" fillId="2" borderId="41" xfId="0" applyFont="1" applyFill="1" applyBorder="1" applyAlignment="1">
      <alignment horizontal="left" vertical="center" wrapText="1"/>
    </xf>
    <xf numFmtId="0" fontId="22" fillId="0" borderId="48" xfId="0" applyFont="1" applyFill="1" applyBorder="1" applyAlignment="1">
      <alignment horizontal="left" vertical="center" wrapText="1"/>
    </xf>
    <xf numFmtId="0" fontId="22" fillId="0" borderId="41" xfId="0" applyFont="1" applyFill="1" applyBorder="1" applyAlignment="1">
      <alignment horizontal="left" vertical="center" wrapText="1"/>
    </xf>
    <xf numFmtId="0" fontId="22" fillId="0" borderId="49" xfId="0" applyFont="1" applyFill="1" applyBorder="1" applyAlignment="1">
      <alignment horizontal="left" vertical="center" wrapText="1"/>
    </xf>
    <xf numFmtId="0" fontId="33" fillId="0" borderId="125" xfId="0" applyFont="1" applyBorder="1" applyAlignment="1">
      <alignment horizontal="left" vertical="center"/>
    </xf>
    <xf numFmtId="0" fontId="33" fillId="0" borderId="124" xfId="0" applyFont="1" applyBorder="1" applyAlignment="1">
      <alignment horizontal="left" vertical="center"/>
    </xf>
    <xf numFmtId="0" fontId="33" fillId="0" borderId="48" xfId="0" applyFont="1" applyBorder="1" applyAlignment="1">
      <alignment horizontal="left" vertical="center"/>
    </xf>
    <xf numFmtId="0" fontId="33" fillId="0" borderId="49" xfId="0" applyFont="1" applyBorder="1" applyAlignment="1">
      <alignment horizontal="left" vertical="center"/>
    </xf>
    <xf numFmtId="0" fontId="26" fillId="2" borderId="48" xfId="0" applyFont="1" applyFill="1" applyBorder="1" applyAlignment="1">
      <alignment horizontal="center" vertical="center" wrapText="1"/>
    </xf>
    <xf numFmtId="0" fontId="26" fillId="2" borderId="41" xfId="0" applyFont="1" applyFill="1" applyBorder="1" applyAlignment="1">
      <alignment horizontal="center" vertical="center" wrapText="1"/>
    </xf>
    <xf numFmtId="0" fontId="26" fillId="2" borderId="49" xfId="0" applyFont="1" applyFill="1" applyBorder="1" applyAlignment="1">
      <alignment horizontal="center" vertical="center" wrapText="1"/>
    </xf>
    <xf numFmtId="0" fontId="34" fillId="0" borderId="145" xfId="0" applyFont="1" applyBorder="1" applyAlignment="1" applyProtection="1">
      <alignment horizontal="center" vertical="center"/>
    </xf>
    <xf numFmtId="0" fontId="34" fillId="0" borderId="192" xfId="0" applyFont="1" applyBorder="1" applyAlignment="1" applyProtection="1">
      <alignment horizontal="center" vertical="center"/>
    </xf>
    <xf numFmtId="0" fontId="34" fillId="0" borderId="148" xfId="0" applyFont="1" applyBorder="1" applyAlignment="1" applyProtection="1">
      <alignment horizontal="center" vertical="center"/>
    </xf>
    <xf numFmtId="0" fontId="34" fillId="0" borderId="204" xfId="0" applyFont="1" applyBorder="1" applyAlignment="1" applyProtection="1">
      <alignment horizontal="center" vertical="center"/>
    </xf>
  </cellXfs>
  <cellStyles count="2">
    <cellStyle name="Normal" xfId="0" builtinId="0"/>
    <cellStyle name="Normal 3" xfId="1"/>
  </cellStyles>
  <dxfs count="758">
    <dxf>
      <font>
        <color theme="9" tint="0.39994506668294322"/>
      </font>
      <fill>
        <patternFill>
          <bgColor theme="9" tint="0.39994506668294322"/>
        </patternFill>
      </fill>
    </dxf>
    <dxf>
      <font>
        <color theme="0"/>
      </font>
      <fill>
        <patternFill>
          <bgColor rgb="FFFF0000"/>
        </patternFill>
      </fill>
    </dxf>
    <dxf>
      <font>
        <color theme="9" tint="0.39994506668294322"/>
      </font>
      <fill>
        <patternFill>
          <bgColor theme="9" tint="0.39994506668294322"/>
        </patternFill>
      </fill>
    </dxf>
    <dxf>
      <font>
        <color theme="0"/>
      </font>
      <fill>
        <patternFill>
          <bgColor rgb="FFFF0000"/>
        </patternFill>
      </fill>
    </dxf>
    <dxf>
      <font>
        <color theme="9" tint="0.39994506668294322"/>
      </font>
      <fill>
        <patternFill>
          <bgColor theme="9" tint="0.39994506668294322"/>
        </patternFill>
      </fill>
    </dxf>
    <dxf>
      <font>
        <color theme="0"/>
      </font>
      <fill>
        <patternFill>
          <bgColor rgb="FFFF0000"/>
        </patternFill>
      </fill>
    </dxf>
    <dxf>
      <font>
        <color theme="9" tint="0.39994506668294322"/>
      </font>
      <fill>
        <patternFill>
          <bgColor theme="9" tint="0.39994506668294322"/>
        </patternFill>
      </fill>
    </dxf>
    <dxf>
      <font>
        <color theme="0"/>
      </font>
      <fill>
        <patternFill>
          <bgColor rgb="FFFF0000"/>
        </patternFill>
      </fill>
    </dxf>
    <dxf>
      <font>
        <color theme="9" tint="0.39994506668294322"/>
      </font>
      <fill>
        <patternFill>
          <bgColor theme="9" tint="0.39994506668294322"/>
        </patternFill>
      </fill>
    </dxf>
    <dxf>
      <font>
        <color theme="0"/>
      </font>
      <fill>
        <patternFill>
          <bgColor rgb="FFFF0000"/>
        </patternFill>
      </fill>
    </dxf>
    <dxf>
      <font>
        <color theme="9" tint="0.39994506668294322"/>
      </font>
      <fill>
        <patternFill>
          <bgColor theme="9" tint="0.39994506668294322"/>
        </patternFill>
      </fill>
    </dxf>
    <dxf>
      <font>
        <color theme="0"/>
      </font>
      <fill>
        <patternFill>
          <bgColor rgb="FFFF0000"/>
        </patternFill>
      </fill>
    </dxf>
    <dxf>
      <font>
        <color theme="9" tint="0.39994506668294322"/>
      </font>
      <fill>
        <patternFill>
          <bgColor theme="9" tint="0.39994506668294322"/>
        </patternFill>
      </fill>
    </dxf>
    <dxf>
      <font>
        <color theme="0"/>
      </font>
      <fill>
        <patternFill>
          <bgColor rgb="FFFF0000"/>
        </patternFill>
      </fill>
    </dxf>
    <dxf>
      <font>
        <color theme="9" tint="0.39994506668294322"/>
      </font>
      <fill>
        <patternFill>
          <bgColor theme="9" tint="0.39994506668294322"/>
        </patternFill>
      </fill>
    </dxf>
    <dxf>
      <font>
        <color theme="0"/>
      </font>
      <fill>
        <patternFill>
          <bgColor rgb="FFFF0000"/>
        </patternFill>
      </fill>
    </dxf>
    <dxf>
      <font>
        <color theme="9" tint="0.39994506668294322"/>
      </font>
      <fill>
        <patternFill>
          <bgColor theme="9" tint="0.39994506668294322"/>
        </patternFill>
      </fill>
    </dxf>
    <dxf>
      <font>
        <color theme="0"/>
      </font>
      <fill>
        <patternFill>
          <bgColor rgb="FFFF0000"/>
        </patternFill>
      </fill>
    </dxf>
    <dxf>
      <font>
        <color theme="9" tint="0.39994506668294322"/>
      </font>
      <fill>
        <patternFill>
          <bgColor theme="9" tint="0.39994506668294322"/>
        </patternFill>
      </fill>
    </dxf>
    <dxf>
      <font>
        <color theme="0"/>
      </font>
      <fill>
        <patternFill>
          <bgColor rgb="FFFF0000"/>
        </patternFill>
      </fill>
    </dxf>
    <dxf>
      <font>
        <color theme="9" tint="0.39994506668294322"/>
      </font>
      <fill>
        <patternFill>
          <bgColor theme="9" tint="0.39994506668294322"/>
        </patternFill>
      </fill>
    </dxf>
    <dxf>
      <font>
        <color theme="0"/>
      </font>
      <fill>
        <patternFill>
          <bgColor rgb="FFFF0000"/>
        </patternFill>
      </fill>
    </dxf>
    <dxf>
      <font>
        <color theme="9" tint="0.39994506668294322"/>
      </font>
      <fill>
        <patternFill>
          <bgColor theme="9" tint="0.39994506668294322"/>
        </patternFill>
      </fill>
    </dxf>
    <dxf>
      <font>
        <color theme="0"/>
      </font>
      <fill>
        <patternFill>
          <bgColor rgb="FFFF0000"/>
        </patternFill>
      </fill>
    </dxf>
    <dxf>
      <font>
        <color theme="9" tint="0.39994506668294322"/>
      </font>
      <fill>
        <patternFill>
          <bgColor theme="9" tint="0.39994506668294322"/>
        </patternFill>
      </fill>
    </dxf>
    <dxf>
      <font>
        <color theme="0"/>
      </font>
      <fill>
        <patternFill>
          <bgColor rgb="FFFF0000"/>
        </patternFill>
      </fill>
    </dxf>
    <dxf>
      <font>
        <color theme="9" tint="0.39994506668294322"/>
      </font>
      <fill>
        <patternFill>
          <bgColor theme="9" tint="0.39994506668294322"/>
        </patternFill>
      </fill>
    </dxf>
    <dxf>
      <font>
        <color theme="0"/>
      </font>
      <fill>
        <patternFill>
          <bgColor rgb="FFFF0000"/>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1"/>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1"/>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fill>
        <patternFill>
          <bgColor theme="9"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fill>
        <patternFill>
          <bgColor theme="9"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fill>
        <patternFill>
          <bgColor theme="9"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color theme="1"/>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57"/>
      <tableStyleElement type="headerRow" dxfId="7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K420"/>
  <sheetViews>
    <sheetView showGridLines="0" showWhiteSpace="0" zoomScale="50" zoomScaleNormal="50" zoomScalePageLayoutView="30" workbookViewId="0">
      <pane xSplit="4" ySplit="2" topLeftCell="E3" activePane="bottomRight" state="frozen"/>
      <selection pane="topRight" activeCell="D1" sqref="D1"/>
      <selection pane="bottomLeft" activeCell="A3" sqref="A3"/>
      <selection pane="bottomRight" activeCell="E60" sqref="E60"/>
    </sheetView>
  </sheetViews>
  <sheetFormatPr defaultColWidth="9" defaultRowHeight="27"/>
  <cols>
    <col min="1" max="1" width="9.7109375" style="17" customWidth="1" collapsed="1"/>
    <col min="2" max="2" width="56.85546875" style="23" customWidth="1" collapsed="1"/>
    <col min="3" max="3" width="105.140625" style="435" bestFit="1" customWidth="1" collapsed="1"/>
    <col min="4" max="4" width="16.42578125" style="25" bestFit="1" customWidth="1" collapsed="1"/>
    <col min="5" max="5" width="255.7109375" style="462" bestFit="1" customWidth="1" collapsed="1"/>
    <col min="6" max="6" width="211.5703125" style="22" bestFit="1" customWidth="1" collapsed="1"/>
    <col min="7" max="37" width="9" style="17"/>
    <col min="38" max="16384" width="9" style="17" collapsed="1"/>
  </cols>
  <sheetData>
    <row r="1" spans="2:33" ht="27.75">
      <c r="B1" s="647" t="s">
        <v>72</v>
      </c>
      <c r="C1" s="648"/>
      <c r="D1" s="648"/>
      <c r="E1" s="648"/>
      <c r="F1" s="388"/>
      <c r="G1" s="389"/>
      <c r="H1" s="389"/>
      <c r="I1" s="389"/>
      <c r="J1" s="389"/>
      <c r="K1" s="389"/>
      <c r="L1" s="389"/>
      <c r="M1" s="389"/>
      <c r="N1" s="389"/>
      <c r="O1" s="389"/>
      <c r="P1" s="389"/>
      <c r="Q1" s="389"/>
      <c r="R1" s="389"/>
      <c r="S1" s="389"/>
      <c r="T1" s="389"/>
      <c r="U1" s="389"/>
      <c r="V1" s="389"/>
      <c r="W1" s="389"/>
      <c r="X1" s="389"/>
      <c r="Y1" s="389"/>
      <c r="Z1" s="389"/>
      <c r="AA1" s="389"/>
      <c r="AB1" s="389"/>
      <c r="AC1" s="389"/>
      <c r="AD1" s="389"/>
      <c r="AE1" s="389"/>
      <c r="AF1" s="389"/>
      <c r="AG1" s="389"/>
    </row>
    <row r="2" spans="2:33" s="21" customFormat="1" ht="27.75">
      <c r="B2" s="390" t="s">
        <v>17</v>
      </c>
      <c r="C2" s="418" t="s">
        <v>18</v>
      </c>
      <c r="D2" s="391" t="s">
        <v>20</v>
      </c>
      <c r="E2" s="392" t="s">
        <v>16</v>
      </c>
      <c r="F2" s="393" t="s">
        <v>416</v>
      </c>
      <c r="G2" s="394"/>
      <c r="H2" s="394"/>
      <c r="I2" s="394"/>
      <c r="J2" s="394"/>
      <c r="K2" s="394"/>
      <c r="L2" s="394"/>
      <c r="M2" s="394"/>
      <c r="N2" s="394"/>
      <c r="O2" s="394"/>
      <c r="P2" s="394"/>
      <c r="Q2" s="394"/>
      <c r="R2" s="394"/>
      <c r="S2" s="394"/>
      <c r="T2" s="394"/>
      <c r="U2" s="394"/>
      <c r="V2" s="394"/>
      <c r="W2" s="394"/>
      <c r="X2" s="394"/>
      <c r="Y2" s="394"/>
      <c r="Z2" s="394"/>
      <c r="AA2" s="394"/>
      <c r="AB2" s="394"/>
      <c r="AC2" s="394"/>
      <c r="AD2" s="394"/>
      <c r="AE2" s="394"/>
      <c r="AF2" s="394"/>
      <c r="AG2" s="394"/>
    </row>
    <row r="3" spans="2:33">
      <c r="B3" s="644" t="s">
        <v>415</v>
      </c>
      <c r="C3" s="645"/>
      <c r="D3" s="645"/>
      <c r="E3" s="645"/>
      <c r="F3" s="646"/>
      <c r="G3" s="389"/>
      <c r="H3" s="389"/>
      <c r="I3" s="389"/>
      <c r="J3" s="389"/>
      <c r="K3" s="389"/>
      <c r="L3" s="389"/>
      <c r="M3" s="389"/>
      <c r="N3" s="389"/>
      <c r="O3" s="389"/>
      <c r="P3" s="389"/>
      <c r="Q3" s="389"/>
      <c r="R3" s="389"/>
      <c r="S3" s="389"/>
      <c r="T3" s="389"/>
      <c r="U3" s="389"/>
      <c r="V3" s="389"/>
      <c r="W3" s="389"/>
      <c r="X3" s="389"/>
      <c r="Y3" s="389"/>
      <c r="Z3" s="389"/>
      <c r="AA3" s="389"/>
      <c r="AB3" s="389"/>
      <c r="AC3" s="389"/>
      <c r="AD3" s="389"/>
      <c r="AE3" s="389"/>
      <c r="AF3" s="389"/>
      <c r="AG3" s="389"/>
    </row>
    <row r="4" spans="2:33" ht="27.75" thickBot="1">
      <c r="B4" s="652" t="s">
        <v>939</v>
      </c>
      <c r="C4" s="653"/>
      <c r="D4" s="653"/>
      <c r="E4" s="653"/>
      <c r="F4" s="654"/>
      <c r="G4" s="389"/>
      <c r="H4" s="389"/>
      <c r="I4" s="389"/>
      <c r="J4" s="389"/>
      <c r="K4" s="389"/>
      <c r="L4" s="389"/>
      <c r="M4" s="389"/>
      <c r="N4" s="389"/>
      <c r="O4" s="389"/>
      <c r="P4" s="389"/>
      <c r="Q4" s="389"/>
      <c r="R4" s="389"/>
      <c r="S4" s="389"/>
      <c r="T4" s="389"/>
      <c r="U4" s="389"/>
      <c r="V4" s="389"/>
      <c r="W4" s="389"/>
      <c r="X4" s="389"/>
      <c r="Y4" s="389"/>
      <c r="Z4" s="389"/>
      <c r="AA4" s="389"/>
      <c r="AB4" s="389"/>
      <c r="AC4" s="389"/>
      <c r="AD4" s="389"/>
      <c r="AE4" s="389"/>
      <c r="AF4" s="389"/>
      <c r="AG4" s="389"/>
    </row>
    <row r="5" spans="2:33" ht="27.75" thickBot="1">
      <c r="B5" s="649" t="s">
        <v>74</v>
      </c>
      <c r="C5" s="419" t="s">
        <v>75</v>
      </c>
      <c r="D5" s="395" t="s">
        <v>79</v>
      </c>
      <c r="E5" s="396" t="s">
        <v>417</v>
      </c>
      <c r="F5" s="397" t="s">
        <v>418</v>
      </c>
      <c r="G5" s="389"/>
      <c r="H5" s="389"/>
      <c r="I5" s="389"/>
      <c r="J5" s="389"/>
      <c r="K5" s="389"/>
      <c r="L5" s="389"/>
      <c r="M5" s="389"/>
      <c r="N5" s="389"/>
      <c r="O5" s="389"/>
      <c r="P5" s="389"/>
      <c r="Q5" s="389"/>
      <c r="R5" s="389"/>
      <c r="S5" s="389"/>
      <c r="T5" s="389"/>
      <c r="U5" s="389"/>
      <c r="V5" s="389"/>
      <c r="W5" s="389"/>
      <c r="X5" s="389"/>
      <c r="Y5" s="389"/>
      <c r="Z5" s="389"/>
      <c r="AA5" s="389"/>
      <c r="AB5" s="389"/>
      <c r="AC5" s="389"/>
      <c r="AD5" s="389"/>
      <c r="AE5" s="389"/>
      <c r="AF5" s="389"/>
      <c r="AG5" s="389"/>
    </row>
    <row r="6" spans="2:33" ht="27.75" thickBot="1">
      <c r="B6" s="650"/>
      <c r="C6" s="420" t="s">
        <v>76</v>
      </c>
      <c r="D6" s="398" t="s">
        <v>80</v>
      </c>
      <c r="E6" s="396" t="s">
        <v>419</v>
      </c>
      <c r="F6" s="397" t="s">
        <v>420</v>
      </c>
      <c r="G6" s="389"/>
      <c r="H6" s="389"/>
      <c r="I6" s="389"/>
      <c r="J6" s="389"/>
      <c r="K6" s="389"/>
      <c r="L6" s="389"/>
      <c r="M6" s="389"/>
      <c r="N6" s="389"/>
      <c r="O6" s="389"/>
      <c r="P6" s="389"/>
      <c r="Q6" s="389"/>
      <c r="R6" s="389"/>
      <c r="S6" s="389"/>
      <c r="T6" s="389"/>
      <c r="U6" s="389"/>
      <c r="V6" s="389"/>
      <c r="W6" s="389"/>
      <c r="X6" s="389"/>
      <c r="Y6" s="389"/>
      <c r="Z6" s="389"/>
      <c r="AA6" s="389"/>
      <c r="AB6" s="389"/>
      <c r="AC6" s="389"/>
      <c r="AD6" s="389"/>
      <c r="AE6" s="389"/>
      <c r="AF6" s="389"/>
      <c r="AG6" s="389"/>
    </row>
    <row r="7" spans="2:33" ht="27.75" thickBot="1">
      <c r="B7" s="650"/>
      <c r="C7" s="420" t="s">
        <v>421</v>
      </c>
      <c r="D7" s="398" t="s">
        <v>81</v>
      </c>
      <c r="E7" s="396" t="s">
        <v>422</v>
      </c>
      <c r="F7" s="397" t="s">
        <v>423</v>
      </c>
      <c r="G7" s="389"/>
      <c r="H7" s="389"/>
      <c r="I7" s="389"/>
      <c r="J7" s="389"/>
      <c r="K7" s="389"/>
      <c r="L7" s="389"/>
      <c r="M7" s="389"/>
      <c r="N7" s="389"/>
      <c r="O7" s="389"/>
      <c r="P7" s="389"/>
      <c r="Q7" s="389"/>
      <c r="R7" s="389"/>
      <c r="S7" s="389"/>
      <c r="T7" s="389"/>
      <c r="U7" s="389"/>
      <c r="V7" s="389"/>
      <c r="W7" s="389"/>
      <c r="X7" s="389"/>
      <c r="Y7" s="389"/>
      <c r="Z7" s="389"/>
      <c r="AA7" s="389"/>
      <c r="AB7" s="389"/>
      <c r="AC7" s="389"/>
      <c r="AD7" s="389"/>
      <c r="AE7" s="389"/>
      <c r="AF7" s="389"/>
      <c r="AG7" s="389"/>
    </row>
    <row r="8" spans="2:33" ht="27.75" thickBot="1">
      <c r="B8" s="650"/>
      <c r="C8" s="420" t="s">
        <v>78</v>
      </c>
      <c r="D8" s="398" t="s">
        <v>82</v>
      </c>
      <c r="E8" s="396" t="s">
        <v>424</v>
      </c>
      <c r="F8" s="397" t="s">
        <v>423</v>
      </c>
      <c r="G8" s="389"/>
      <c r="H8" s="389"/>
      <c r="I8" s="389"/>
      <c r="J8" s="389"/>
      <c r="K8" s="389"/>
      <c r="L8" s="389"/>
      <c r="M8" s="389"/>
      <c r="N8" s="389"/>
      <c r="O8" s="389"/>
      <c r="P8" s="389"/>
      <c r="Q8" s="389"/>
      <c r="R8" s="389"/>
      <c r="S8" s="389"/>
      <c r="T8" s="389"/>
      <c r="U8" s="389"/>
      <c r="V8" s="389"/>
      <c r="W8" s="389"/>
      <c r="X8" s="389"/>
      <c r="Y8" s="389"/>
      <c r="Z8" s="389"/>
      <c r="AA8" s="389"/>
      <c r="AB8" s="389"/>
      <c r="AC8" s="389"/>
      <c r="AD8" s="389"/>
      <c r="AE8" s="389"/>
      <c r="AF8" s="389"/>
      <c r="AG8" s="389"/>
    </row>
    <row r="9" spans="2:33" ht="27.75" thickBot="1">
      <c r="B9" s="651"/>
      <c r="C9" s="421" t="s">
        <v>34</v>
      </c>
      <c r="D9" s="399" t="s">
        <v>83</v>
      </c>
      <c r="E9" s="396" t="s">
        <v>425</v>
      </c>
      <c r="F9" s="397" t="s">
        <v>420</v>
      </c>
      <c r="G9" s="389"/>
      <c r="H9" s="389"/>
      <c r="I9" s="389"/>
      <c r="J9" s="389"/>
      <c r="K9" s="389"/>
      <c r="L9" s="389"/>
      <c r="M9" s="389"/>
      <c r="N9" s="389"/>
      <c r="O9" s="389"/>
      <c r="P9" s="389"/>
      <c r="Q9" s="389"/>
      <c r="R9" s="389"/>
      <c r="S9" s="389"/>
      <c r="T9" s="389"/>
      <c r="U9" s="389"/>
      <c r="V9" s="389"/>
      <c r="W9" s="389"/>
      <c r="X9" s="389"/>
      <c r="Y9" s="389"/>
      <c r="Z9" s="389"/>
      <c r="AA9" s="389"/>
      <c r="AB9" s="389"/>
      <c r="AC9" s="389"/>
      <c r="AD9" s="389"/>
      <c r="AE9" s="389"/>
      <c r="AF9" s="389"/>
      <c r="AG9" s="389"/>
    </row>
    <row r="10" spans="2:33" ht="27.75" thickBot="1">
      <c r="B10" s="649" t="s">
        <v>75</v>
      </c>
      <c r="C10" s="422" t="s">
        <v>21</v>
      </c>
      <c r="D10" s="395" t="s">
        <v>84</v>
      </c>
      <c r="E10" s="396" t="s">
        <v>426</v>
      </c>
      <c r="F10" s="397" t="s">
        <v>427</v>
      </c>
      <c r="G10" s="389"/>
      <c r="H10" s="389"/>
      <c r="I10" s="389"/>
      <c r="J10" s="389"/>
      <c r="K10" s="389"/>
      <c r="L10" s="389"/>
      <c r="M10" s="389"/>
      <c r="N10" s="389"/>
      <c r="O10" s="389"/>
      <c r="P10" s="389"/>
      <c r="Q10" s="389"/>
      <c r="R10" s="389"/>
      <c r="S10" s="389"/>
      <c r="T10" s="389"/>
      <c r="U10" s="389"/>
      <c r="V10" s="389"/>
      <c r="W10" s="389"/>
      <c r="X10" s="389"/>
      <c r="Y10" s="389"/>
      <c r="Z10" s="389"/>
      <c r="AA10" s="389"/>
      <c r="AB10" s="389"/>
      <c r="AC10" s="389"/>
      <c r="AD10" s="389"/>
      <c r="AE10" s="389"/>
      <c r="AF10" s="389"/>
      <c r="AG10" s="389"/>
    </row>
    <row r="11" spans="2:33" ht="27.75" thickBot="1">
      <c r="B11" s="650"/>
      <c r="C11" s="423" t="s">
        <v>428</v>
      </c>
      <c r="D11" s="398" t="s">
        <v>85</v>
      </c>
      <c r="E11" s="396" t="s">
        <v>429</v>
      </c>
      <c r="F11" s="397" t="s">
        <v>430</v>
      </c>
      <c r="G11" s="389"/>
      <c r="H11" s="389"/>
      <c r="I11" s="389"/>
      <c r="J11" s="389"/>
      <c r="K11" s="389"/>
      <c r="L11" s="389"/>
      <c r="M11" s="389"/>
      <c r="N11" s="389"/>
      <c r="O11" s="389"/>
      <c r="P11" s="389"/>
      <c r="Q11" s="389"/>
      <c r="R11" s="389"/>
      <c r="S11" s="389"/>
      <c r="T11" s="389"/>
      <c r="U11" s="389"/>
      <c r="V11" s="389"/>
      <c r="W11" s="389"/>
      <c r="X11" s="389"/>
      <c r="Y11" s="389"/>
      <c r="Z11" s="389"/>
      <c r="AA11" s="389"/>
      <c r="AB11" s="389"/>
      <c r="AC11" s="389"/>
      <c r="AD11" s="389"/>
      <c r="AE11" s="389"/>
      <c r="AF11" s="389"/>
      <c r="AG11" s="389"/>
    </row>
    <row r="12" spans="2:33" ht="27.75" thickBot="1">
      <c r="B12" s="651"/>
      <c r="C12" s="424" t="s">
        <v>431</v>
      </c>
      <c r="D12" s="399" t="s">
        <v>86</v>
      </c>
      <c r="E12" s="396" t="s">
        <v>432</v>
      </c>
      <c r="F12" s="397" t="s">
        <v>433</v>
      </c>
      <c r="G12" s="389"/>
      <c r="H12" s="389"/>
      <c r="I12" s="389"/>
      <c r="J12" s="389"/>
      <c r="K12" s="389"/>
      <c r="L12" s="389"/>
      <c r="M12" s="389"/>
      <c r="N12" s="389"/>
      <c r="O12" s="389"/>
      <c r="P12" s="389"/>
      <c r="Q12" s="389"/>
      <c r="R12" s="389"/>
      <c r="S12" s="389"/>
      <c r="T12" s="389"/>
      <c r="U12" s="389"/>
      <c r="V12" s="389"/>
      <c r="W12" s="389"/>
      <c r="X12" s="389"/>
      <c r="Y12" s="389"/>
      <c r="Z12" s="389"/>
      <c r="AA12" s="389"/>
      <c r="AB12" s="389"/>
      <c r="AC12" s="389"/>
      <c r="AD12" s="389"/>
      <c r="AE12" s="389"/>
      <c r="AF12" s="389"/>
      <c r="AG12" s="389"/>
    </row>
    <row r="13" spans="2:33" ht="27.75" thickBot="1">
      <c r="B13" s="649" t="s">
        <v>76</v>
      </c>
      <c r="C13" s="422" t="s">
        <v>21</v>
      </c>
      <c r="D13" s="395" t="s">
        <v>87</v>
      </c>
      <c r="E13" s="396" t="s">
        <v>434</v>
      </c>
      <c r="F13" s="397" t="s">
        <v>435</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row>
    <row r="14" spans="2:33" ht="27.75" thickBot="1">
      <c r="B14" s="650"/>
      <c r="C14" s="423" t="s">
        <v>428</v>
      </c>
      <c r="D14" s="398" t="s">
        <v>88</v>
      </c>
      <c r="E14" s="396" t="s">
        <v>436</v>
      </c>
      <c r="F14" s="397" t="s">
        <v>430</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row>
    <row r="15" spans="2:33" ht="27.75" thickBot="1">
      <c r="B15" s="651"/>
      <c r="C15" s="424" t="s">
        <v>431</v>
      </c>
      <c r="D15" s="399" t="s">
        <v>89</v>
      </c>
      <c r="E15" s="396" t="s">
        <v>437</v>
      </c>
      <c r="F15" s="397" t="s">
        <v>433</v>
      </c>
      <c r="G15" s="389"/>
      <c r="H15" s="389"/>
      <c r="I15" s="389"/>
      <c r="J15" s="389"/>
      <c r="K15" s="389"/>
      <c r="L15" s="389"/>
      <c r="M15" s="389"/>
      <c r="N15" s="389"/>
      <c r="O15" s="389"/>
      <c r="P15" s="389"/>
      <c r="Q15" s="389"/>
      <c r="R15" s="389"/>
      <c r="S15" s="389"/>
      <c r="T15" s="389"/>
      <c r="U15" s="389"/>
      <c r="V15" s="389"/>
      <c r="W15" s="389"/>
      <c r="X15" s="389"/>
      <c r="Y15" s="389"/>
      <c r="Z15" s="389"/>
      <c r="AA15" s="389"/>
      <c r="AB15" s="389"/>
      <c r="AC15" s="389"/>
      <c r="AD15" s="389"/>
      <c r="AE15" s="389"/>
      <c r="AF15" s="389"/>
      <c r="AG15" s="389"/>
    </row>
    <row r="16" spans="2:33" ht="51.75" thickBot="1">
      <c r="B16" s="649" t="s">
        <v>421</v>
      </c>
      <c r="C16" s="422" t="s">
        <v>21</v>
      </c>
      <c r="D16" s="395" t="s">
        <v>90</v>
      </c>
      <c r="E16" s="396" t="s">
        <v>438</v>
      </c>
      <c r="F16" s="397" t="s">
        <v>439</v>
      </c>
      <c r="G16" s="389"/>
      <c r="H16" s="389"/>
      <c r="I16" s="389"/>
      <c r="J16" s="389"/>
      <c r="K16" s="389"/>
      <c r="L16" s="389"/>
      <c r="M16" s="389"/>
      <c r="N16" s="389"/>
      <c r="O16" s="389"/>
      <c r="P16" s="389"/>
      <c r="Q16" s="389"/>
      <c r="R16" s="389"/>
      <c r="S16" s="389"/>
      <c r="T16" s="389"/>
      <c r="U16" s="389"/>
      <c r="V16" s="389"/>
      <c r="W16" s="389"/>
      <c r="X16" s="389"/>
      <c r="Y16" s="389"/>
      <c r="Z16" s="389"/>
      <c r="AA16" s="389"/>
      <c r="AB16" s="389"/>
      <c r="AC16" s="389"/>
      <c r="AD16" s="389"/>
      <c r="AE16" s="389"/>
      <c r="AF16" s="389"/>
      <c r="AG16" s="389"/>
    </row>
    <row r="17" spans="2:33" ht="27.75" thickBot="1">
      <c r="B17" s="650" t="s">
        <v>77</v>
      </c>
      <c r="C17" s="423" t="s">
        <v>428</v>
      </c>
      <c r="D17" s="398" t="s">
        <v>91</v>
      </c>
      <c r="E17" s="396" t="s">
        <v>440</v>
      </c>
      <c r="F17" s="397" t="s">
        <v>430</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row>
    <row r="18" spans="2:33" ht="27.75" thickBot="1">
      <c r="B18" s="651" t="s">
        <v>77</v>
      </c>
      <c r="C18" s="424" t="s">
        <v>431</v>
      </c>
      <c r="D18" s="399" t="s">
        <v>92</v>
      </c>
      <c r="E18" s="396" t="s">
        <v>441</v>
      </c>
      <c r="F18" s="397" t="s">
        <v>433</v>
      </c>
      <c r="G18" s="389"/>
      <c r="H18" s="389"/>
      <c r="I18" s="389"/>
      <c r="J18" s="389"/>
      <c r="K18" s="389"/>
      <c r="L18" s="389"/>
      <c r="M18" s="389"/>
      <c r="N18" s="389"/>
      <c r="O18" s="389"/>
      <c r="P18" s="389"/>
      <c r="Q18" s="389"/>
      <c r="R18" s="389"/>
      <c r="S18" s="389"/>
      <c r="T18" s="389"/>
      <c r="U18" s="389"/>
      <c r="V18" s="389"/>
      <c r="W18" s="389"/>
      <c r="X18" s="389"/>
      <c r="Y18" s="389"/>
      <c r="Z18" s="389"/>
      <c r="AA18" s="389"/>
      <c r="AB18" s="389"/>
      <c r="AC18" s="389"/>
      <c r="AD18" s="389"/>
      <c r="AE18" s="389"/>
      <c r="AF18" s="389"/>
      <c r="AG18" s="389"/>
    </row>
    <row r="19" spans="2:33" ht="27.75" thickBot="1">
      <c r="B19" s="649" t="s">
        <v>78</v>
      </c>
      <c r="C19" s="422" t="s">
        <v>21</v>
      </c>
      <c r="D19" s="395" t="s">
        <v>93</v>
      </c>
      <c r="E19" s="396" t="s">
        <v>442</v>
      </c>
      <c r="F19" s="397" t="s">
        <v>427</v>
      </c>
      <c r="G19" s="389"/>
      <c r="H19" s="389"/>
      <c r="I19" s="389"/>
      <c r="J19" s="389"/>
      <c r="K19" s="389"/>
      <c r="L19" s="389"/>
      <c r="M19" s="389"/>
      <c r="N19" s="389"/>
      <c r="O19" s="389"/>
      <c r="P19" s="389"/>
      <c r="Q19" s="389"/>
      <c r="R19" s="389"/>
      <c r="S19" s="389"/>
      <c r="T19" s="389"/>
      <c r="U19" s="389"/>
      <c r="V19" s="389"/>
      <c r="W19" s="389"/>
      <c r="X19" s="389"/>
      <c r="Y19" s="389"/>
      <c r="Z19" s="389"/>
      <c r="AA19" s="389"/>
      <c r="AB19" s="389"/>
      <c r="AC19" s="389"/>
      <c r="AD19" s="389"/>
      <c r="AE19" s="389"/>
      <c r="AF19" s="389"/>
      <c r="AG19" s="389"/>
    </row>
    <row r="20" spans="2:33" ht="27.75" thickBot="1">
      <c r="B20" s="650" t="s">
        <v>78</v>
      </c>
      <c r="C20" s="423" t="s">
        <v>428</v>
      </c>
      <c r="D20" s="398" t="s">
        <v>94</v>
      </c>
      <c r="E20" s="396" t="s">
        <v>443</v>
      </c>
      <c r="F20" s="397" t="s">
        <v>444</v>
      </c>
      <c r="G20" s="389"/>
      <c r="H20" s="389"/>
      <c r="I20" s="389"/>
      <c r="J20" s="389"/>
      <c r="K20" s="389"/>
      <c r="L20" s="389"/>
      <c r="M20" s="389"/>
      <c r="N20" s="389"/>
      <c r="O20" s="389"/>
      <c r="P20" s="389"/>
      <c r="Q20" s="389"/>
      <c r="R20" s="389"/>
      <c r="S20" s="389"/>
      <c r="T20" s="389"/>
      <c r="U20" s="389"/>
      <c r="V20" s="389"/>
      <c r="W20" s="389"/>
      <c r="X20" s="389"/>
      <c r="Y20" s="389"/>
      <c r="Z20" s="389"/>
      <c r="AA20" s="389"/>
      <c r="AB20" s="389"/>
      <c r="AC20" s="389"/>
      <c r="AD20" s="389"/>
      <c r="AE20" s="389"/>
      <c r="AF20" s="389"/>
      <c r="AG20" s="389"/>
    </row>
    <row r="21" spans="2:33" ht="27.75" thickBot="1">
      <c r="B21" s="651" t="s">
        <v>78</v>
      </c>
      <c r="C21" s="424" t="s">
        <v>431</v>
      </c>
      <c r="D21" s="399" t="s">
        <v>95</v>
      </c>
      <c r="E21" s="396" t="s">
        <v>445</v>
      </c>
      <c r="F21" s="397" t="s">
        <v>433</v>
      </c>
      <c r="G21" s="389"/>
      <c r="H21" s="389"/>
      <c r="I21" s="389"/>
      <c r="J21" s="389"/>
      <c r="K21" s="389"/>
      <c r="L21" s="389"/>
      <c r="M21" s="389"/>
      <c r="N21" s="389"/>
      <c r="O21" s="389"/>
      <c r="P21" s="389"/>
      <c r="Q21" s="389"/>
      <c r="R21" s="389"/>
      <c r="S21" s="389"/>
      <c r="T21" s="389"/>
      <c r="U21" s="389"/>
      <c r="V21" s="389"/>
      <c r="W21" s="389"/>
      <c r="X21" s="389"/>
      <c r="Y21" s="389"/>
      <c r="Z21" s="389"/>
      <c r="AA21" s="389"/>
      <c r="AB21" s="389"/>
      <c r="AC21" s="389"/>
      <c r="AD21" s="389"/>
      <c r="AE21" s="389"/>
      <c r="AF21" s="389"/>
      <c r="AG21" s="389"/>
    </row>
    <row r="22" spans="2:33" ht="51.75" thickBot="1">
      <c r="B22" s="650" t="s">
        <v>166</v>
      </c>
      <c r="C22" s="422" t="s">
        <v>21</v>
      </c>
      <c r="D22" s="398" t="s">
        <v>96</v>
      </c>
      <c r="E22" s="396" t="s">
        <v>446</v>
      </c>
      <c r="F22" s="397" t="s">
        <v>427</v>
      </c>
      <c r="G22" s="389"/>
      <c r="H22" s="389"/>
      <c r="I22" s="389"/>
      <c r="J22" s="389"/>
      <c r="K22" s="389"/>
      <c r="L22" s="389"/>
      <c r="M22" s="389"/>
      <c r="N22" s="389"/>
      <c r="O22" s="389"/>
      <c r="P22" s="389"/>
      <c r="Q22" s="389"/>
      <c r="R22" s="389"/>
      <c r="S22" s="389"/>
      <c r="T22" s="389"/>
      <c r="U22" s="389"/>
      <c r="V22" s="389"/>
      <c r="W22" s="389"/>
      <c r="X22" s="389"/>
      <c r="Y22" s="389"/>
      <c r="Z22" s="389"/>
      <c r="AA22" s="389"/>
      <c r="AB22" s="389"/>
      <c r="AC22" s="389"/>
      <c r="AD22" s="389"/>
      <c r="AE22" s="389"/>
      <c r="AF22" s="389"/>
      <c r="AG22" s="389"/>
    </row>
    <row r="23" spans="2:33" ht="27.75" thickBot="1">
      <c r="B23" s="650" t="s">
        <v>34</v>
      </c>
      <c r="C23" s="423" t="s">
        <v>428</v>
      </c>
      <c r="D23" s="398" t="s">
        <v>97</v>
      </c>
      <c r="E23" s="396" t="s">
        <v>447</v>
      </c>
      <c r="F23" s="397" t="s">
        <v>444</v>
      </c>
      <c r="G23" s="389"/>
      <c r="H23" s="389"/>
      <c r="I23" s="389"/>
      <c r="J23" s="389"/>
      <c r="K23" s="389"/>
      <c r="L23" s="389"/>
      <c r="M23" s="389"/>
      <c r="N23" s="389"/>
      <c r="O23" s="389"/>
      <c r="P23" s="389"/>
      <c r="Q23" s="389"/>
      <c r="R23" s="389"/>
      <c r="S23" s="389"/>
      <c r="T23" s="389"/>
      <c r="U23" s="389"/>
      <c r="V23" s="389"/>
      <c r="W23" s="389"/>
      <c r="X23" s="389"/>
      <c r="Y23" s="389"/>
      <c r="Z23" s="389"/>
      <c r="AA23" s="389"/>
      <c r="AB23" s="389"/>
      <c r="AC23" s="389"/>
      <c r="AD23" s="389"/>
      <c r="AE23" s="389"/>
      <c r="AF23" s="389"/>
      <c r="AG23" s="389"/>
    </row>
    <row r="24" spans="2:33" ht="27.75" thickBot="1">
      <c r="B24" s="651" t="s">
        <v>34</v>
      </c>
      <c r="C24" s="424" t="s">
        <v>431</v>
      </c>
      <c r="D24" s="399" t="s">
        <v>98</v>
      </c>
      <c r="E24" s="396" t="s">
        <v>448</v>
      </c>
      <c r="F24" s="397" t="s">
        <v>433</v>
      </c>
      <c r="G24" s="389"/>
      <c r="H24" s="389"/>
      <c r="I24" s="389"/>
      <c r="J24" s="389"/>
      <c r="K24" s="389"/>
      <c r="L24" s="389"/>
      <c r="M24" s="389"/>
      <c r="N24" s="389"/>
      <c r="O24" s="389"/>
      <c r="P24" s="389"/>
      <c r="Q24" s="389"/>
      <c r="R24" s="389"/>
      <c r="S24" s="389"/>
      <c r="T24" s="389"/>
      <c r="U24" s="389"/>
      <c r="V24" s="389"/>
      <c r="W24" s="389"/>
      <c r="X24" s="389"/>
      <c r="Y24" s="389"/>
      <c r="Z24" s="389"/>
      <c r="AA24" s="389"/>
      <c r="AB24" s="389"/>
      <c r="AC24" s="389"/>
      <c r="AD24" s="389"/>
      <c r="AE24" s="389"/>
      <c r="AF24" s="389"/>
      <c r="AG24" s="389"/>
    </row>
    <row r="25" spans="2:33" s="21" customFormat="1" ht="27.75" thickBot="1">
      <c r="B25" s="595" t="s">
        <v>1048</v>
      </c>
      <c r="C25" s="596"/>
      <c r="D25" s="597"/>
      <c r="E25" s="596"/>
      <c r="F25" s="596"/>
      <c r="G25" s="596"/>
      <c r="H25" s="596"/>
      <c r="I25" s="596"/>
      <c r="J25" s="596"/>
      <c r="K25" s="596"/>
      <c r="L25" s="596"/>
      <c r="M25" s="598"/>
      <c r="N25" s="598"/>
      <c r="O25" s="598"/>
      <c r="P25" s="598"/>
      <c r="Q25" s="598"/>
      <c r="R25" s="598"/>
      <c r="S25" s="598"/>
      <c r="T25" s="598"/>
      <c r="U25" s="598"/>
      <c r="V25" s="598"/>
      <c r="W25" s="598"/>
      <c r="X25" s="598"/>
      <c r="Y25" s="598"/>
      <c r="Z25" s="598"/>
      <c r="AA25" s="598"/>
      <c r="AB25" s="598"/>
      <c r="AC25" s="599"/>
      <c r="AD25" s="596"/>
      <c r="AE25" s="596"/>
      <c r="AF25" s="596"/>
      <c r="AG25" s="600"/>
    </row>
    <row r="26" spans="2:33" ht="27.75" thickBot="1">
      <c r="B26" s="607" t="s">
        <v>901</v>
      </c>
      <c r="C26" s="465" t="s">
        <v>944</v>
      </c>
      <c r="D26" s="413" t="s">
        <v>969</v>
      </c>
      <c r="E26" s="396"/>
      <c r="F26" s="400"/>
      <c r="G26" s="389"/>
      <c r="H26" s="389"/>
      <c r="I26" s="389"/>
      <c r="J26" s="389"/>
      <c r="K26" s="389"/>
      <c r="L26" s="389"/>
      <c r="M26" s="389"/>
      <c r="N26" s="389"/>
      <c r="O26" s="389"/>
      <c r="P26" s="389"/>
      <c r="Q26" s="389"/>
      <c r="R26" s="389"/>
      <c r="S26" s="389"/>
      <c r="T26" s="389"/>
      <c r="U26" s="389"/>
      <c r="V26" s="389"/>
      <c r="W26" s="389"/>
      <c r="X26" s="389"/>
      <c r="Y26" s="389"/>
      <c r="Z26" s="389"/>
      <c r="AA26" s="389"/>
      <c r="AB26" s="389"/>
      <c r="AC26" s="389"/>
      <c r="AD26" s="389"/>
      <c r="AE26" s="389"/>
      <c r="AF26" s="389"/>
      <c r="AG26" s="389"/>
    </row>
    <row r="27" spans="2:33" ht="27.75" thickBot="1">
      <c r="B27" s="608"/>
      <c r="C27" s="466" t="s">
        <v>945</v>
      </c>
      <c r="D27" s="413" t="s">
        <v>970</v>
      </c>
      <c r="E27" s="396"/>
      <c r="F27" s="400"/>
      <c r="G27" s="389"/>
      <c r="H27" s="389"/>
      <c r="I27" s="389"/>
      <c r="J27" s="389"/>
      <c r="K27" s="389"/>
      <c r="L27" s="389"/>
      <c r="M27" s="389"/>
      <c r="N27" s="389"/>
      <c r="O27" s="389"/>
      <c r="P27" s="389"/>
      <c r="Q27" s="389"/>
      <c r="R27" s="389"/>
      <c r="S27" s="389"/>
      <c r="T27" s="389"/>
      <c r="U27" s="389"/>
      <c r="V27" s="389"/>
      <c r="W27" s="389"/>
      <c r="X27" s="389"/>
      <c r="Y27" s="389"/>
      <c r="Z27" s="389"/>
      <c r="AA27" s="389"/>
      <c r="AB27" s="389"/>
      <c r="AC27" s="389"/>
      <c r="AD27" s="389"/>
      <c r="AE27" s="389"/>
      <c r="AF27" s="389"/>
      <c r="AG27" s="389"/>
    </row>
    <row r="28" spans="2:33" ht="27.75" thickBot="1">
      <c r="B28" s="608"/>
      <c r="C28" s="466" t="s">
        <v>946</v>
      </c>
      <c r="D28" s="413" t="s">
        <v>971</v>
      </c>
      <c r="E28" s="396"/>
      <c r="F28" s="400"/>
      <c r="G28" s="389"/>
      <c r="H28" s="389"/>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row>
    <row r="29" spans="2:33" ht="27.75" thickBot="1">
      <c r="B29" s="608"/>
      <c r="C29" s="466" t="s">
        <v>947</v>
      </c>
      <c r="D29" s="413" t="s">
        <v>972</v>
      </c>
      <c r="E29" s="396"/>
      <c r="F29" s="400"/>
      <c r="G29" s="389"/>
      <c r="H29" s="389"/>
      <c r="I29" s="389"/>
      <c r="J29" s="389"/>
      <c r="K29" s="389"/>
      <c r="L29" s="389"/>
      <c r="M29" s="389"/>
      <c r="N29" s="389"/>
      <c r="O29" s="389"/>
      <c r="P29" s="389"/>
      <c r="Q29" s="389"/>
      <c r="R29" s="389"/>
      <c r="S29" s="389"/>
      <c r="T29" s="389"/>
      <c r="U29" s="389"/>
      <c r="V29" s="389"/>
      <c r="W29" s="389"/>
      <c r="X29" s="389"/>
      <c r="Y29" s="389"/>
      <c r="Z29" s="389"/>
      <c r="AA29" s="389"/>
      <c r="AB29" s="389"/>
      <c r="AC29" s="389"/>
      <c r="AD29" s="389"/>
      <c r="AE29" s="389"/>
      <c r="AF29" s="389"/>
      <c r="AG29" s="389"/>
    </row>
    <row r="30" spans="2:33" ht="27.75" thickBot="1">
      <c r="B30" s="608"/>
      <c r="C30" s="467" t="s">
        <v>948</v>
      </c>
      <c r="D30" s="413" t="s">
        <v>973</v>
      </c>
      <c r="E30" s="396"/>
      <c r="F30" s="400"/>
      <c r="G30" s="389"/>
      <c r="H30" s="389"/>
      <c r="I30" s="389"/>
      <c r="J30" s="389"/>
      <c r="K30" s="389"/>
      <c r="L30" s="389"/>
      <c r="M30" s="389"/>
      <c r="N30" s="389"/>
      <c r="O30" s="389"/>
      <c r="P30" s="389"/>
      <c r="Q30" s="389"/>
      <c r="R30" s="389"/>
      <c r="S30" s="389"/>
      <c r="T30" s="389"/>
      <c r="U30" s="389"/>
      <c r="V30" s="389"/>
      <c r="W30" s="389"/>
      <c r="X30" s="389"/>
      <c r="Y30" s="389"/>
      <c r="Z30" s="389"/>
      <c r="AA30" s="389"/>
      <c r="AB30" s="389"/>
      <c r="AC30" s="389"/>
      <c r="AD30" s="389"/>
      <c r="AE30" s="389"/>
      <c r="AF30" s="389"/>
      <c r="AG30" s="389"/>
    </row>
    <row r="31" spans="2:33" ht="27.75" thickBot="1">
      <c r="B31" s="608"/>
      <c r="C31" s="466" t="s">
        <v>1012</v>
      </c>
      <c r="D31" s="413" t="s">
        <v>974</v>
      </c>
      <c r="E31" s="396"/>
      <c r="F31" s="400"/>
      <c r="G31" s="389"/>
      <c r="H31" s="389"/>
      <c r="I31" s="389"/>
      <c r="J31" s="389"/>
      <c r="K31" s="389"/>
      <c r="L31" s="389"/>
      <c r="M31" s="389"/>
      <c r="N31" s="389"/>
      <c r="O31" s="389"/>
      <c r="P31" s="389"/>
      <c r="Q31" s="389"/>
      <c r="R31" s="389"/>
      <c r="S31" s="389"/>
      <c r="T31" s="389"/>
      <c r="U31" s="389"/>
      <c r="V31" s="389"/>
      <c r="W31" s="389"/>
      <c r="X31" s="389"/>
      <c r="Y31" s="389"/>
      <c r="Z31" s="389"/>
      <c r="AA31" s="389"/>
      <c r="AB31" s="389"/>
      <c r="AC31" s="389"/>
      <c r="AD31" s="389"/>
      <c r="AE31" s="389"/>
      <c r="AF31" s="389"/>
      <c r="AG31" s="389"/>
    </row>
    <row r="32" spans="2:33" ht="27.75" thickBot="1">
      <c r="B32" s="608"/>
      <c r="C32" s="466" t="s">
        <v>1013</v>
      </c>
      <c r="D32" s="413" t="s">
        <v>975</v>
      </c>
      <c r="E32" s="396"/>
      <c r="F32" s="400"/>
      <c r="G32" s="389"/>
      <c r="H32" s="389"/>
      <c r="I32" s="389"/>
      <c r="J32" s="389"/>
      <c r="K32" s="389"/>
      <c r="L32" s="389"/>
      <c r="M32" s="389"/>
      <c r="N32" s="389"/>
      <c r="O32" s="389"/>
      <c r="P32" s="389"/>
      <c r="Q32" s="389"/>
      <c r="R32" s="389"/>
      <c r="S32" s="389"/>
      <c r="T32" s="389"/>
      <c r="U32" s="389"/>
      <c r="V32" s="389"/>
      <c r="W32" s="389"/>
      <c r="X32" s="389"/>
      <c r="Y32" s="389"/>
      <c r="Z32" s="389"/>
      <c r="AA32" s="389"/>
      <c r="AB32" s="389"/>
      <c r="AC32" s="389"/>
      <c r="AD32" s="389"/>
      <c r="AE32" s="389"/>
      <c r="AF32" s="389"/>
      <c r="AG32" s="389"/>
    </row>
    <row r="33" spans="2:33" ht="27.75" thickBot="1">
      <c r="B33" s="608"/>
      <c r="C33" s="466" t="s">
        <v>1014</v>
      </c>
      <c r="D33" s="413" t="s">
        <v>976</v>
      </c>
      <c r="E33" s="396"/>
      <c r="F33" s="400"/>
      <c r="G33" s="389"/>
      <c r="H33" s="389"/>
      <c r="I33" s="389"/>
      <c r="J33" s="389"/>
      <c r="K33" s="389"/>
      <c r="L33" s="389"/>
      <c r="M33" s="389"/>
      <c r="N33" s="389"/>
      <c r="O33" s="389"/>
      <c r="P33" s="389"/>
      <c r="Q33" s="389"/>
      <c r="R33" s="389"/>
      <c r="S33" s="389"/>
      <c r="T33" s="389"/>
      <c r="U33" s="389"/>
      <c r="V33" s="389"/>
      <c r="W33" s="389"/>
      <c r="X33" s="389"/>
      <c r="Y33" s="389"/>
      <c r="Z33" s="389"/>
      <c r="AA33" s="389"/>
      <c r="AB33" s="389"/>
      <c r="AC33" s="389"/>
      <c r="AD33" s="389"/>
      <c r="AE33" s="389"/>
      <c r="AF33" s="389"/>
      <c r="AG33" s="389"/>
    </row>
    <row r="34" spans="2:33" ht="27.75" thickBot="1">
      <c r="B34" s="609"/>
      <c r="C34" s="466" t="s">
        <v>1015</v>
      </c>
      <c r="D34" s="413" t="s">
        <v>977</v>
      </c>
      <c r="E34" s="396"/>
      <c r="F34" s="400"/>
      <c r="G34" s="389"/>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row>
    <row r="35" spans="2:33" s="21" customFormat="1" ht="32.25" customHeight="1" thickBot="1">
      <c r="B35" s="595" t="s">
        <v>1047</v>
      </c>
      <c r="C35" s="596"/>
      <c r="D35" s="597"/>
      <c r="E35" s="596"/>
      <c r="F35" s="596"/>
      <c r="G35" s="596"/>
      <c r="H35" s="596"/>
      <c r="I35" s="596"/>
      <c r="J35" s="596"/>
      <c r="K35" s="596"/>
      <c r="L35" s="596"/>
      <c r="M35" s="597"/>
      <c r="N35" s="597"/>
      <c r="O35" s="597"/>
      <c r="P35" s="597"/>
      <c r="Q35" s="597"/>
      <c r="R35" s="597"/>
      <c r="S35" s="597"/>
      <c r="T35" s="597"/>
      <c r="U35" s="597"/>
      <c r="V35" s="597"/>
      <c r="W35" s="597"/>
      <c r="X35" s="597"/>
      <c r="Y35" s="597"/>
      <c r="Z35" s="597"/>
      <c r="AA35" s="597"/>
      <c r="AB35" s="597"/>
      <c r="AC35" s="599"/>
      <c r="AD35" s="596"/>
      <c r="AE35" s="596"/>
      <c r="AF35" s="596"/>
      <c r="AG35" s="600"/>
    </row>
    <row r="36" spans="2:33" ht="27.75" thickBot="1">
      <c r="B36" s="607" t="s">
        <v>901</v>
      </c>
      <c r="C36" s="425" t="s">
        <v>906</v>
      </c>
      <c r="D36" s="413" t="s">
        <v>978</v>
      </c>
      <c r="E36" s="396"/>
      <c r="F36" s="400"/>
      <c r="G36" s="389"/>
      <c r="H36" s="389"/>
      <c r="I36" s="389"/>
      <c r="J36" s="389"/>
      <c r="K36" s="389"/>
      <c r="L36" s="389"/>
      <c r="M36" s="389"/>
      <c r="N36" s="389"/>
      <c r="O36" s="389"/>
      <c r="P36" s="389"/>
      <c r="Q36" s="389"/>
      <c r="R36" s="389"/>
      <c r="S36" s="389"/>
      <c r="T36" s="389"/>
      <c r="U36" s="389"/>
      <c r="V36" s="389"/>
      <c r="W36" s="389"/>
      <c r="X36" s="389"/>
      <c r="Y36" s="389"/>
      <c r="Z36" s="389"/>
      <c r="AA36" s="389"/>
      <c r="AB36" s="389"/>
      <c r="AC36" s="389"/>
      <c r="AD36" s="389"/>
      <c r="AE36" s="389"/>
      <c r="AF36" s="389"/>
      <c r="AG36" s="389"/>
    </row>
    <row r="37" spans="2:33" ht="27.75" thickBot="1">
      <c r="B37" s="608"/>
      <c r="C37" s="426" t="s">
        <v>902</v>
      </c>
      <c r="D37" s="413" t="s">
        <v>979</v>
      </c>
      <c r="E37" s="396"/>
      <c r="F37" s="400"/>
      <c r="G37" s="389"/>
      <c r="H37" s="389"/>
      <c r="I37" s="389"/>
      <c r="J37" s="389"/>
      <c r="K37" s="389"/>
      <c r="L37" s="389"/>
      <c r="M37" s="389"/>
      <c r="N37" s="389"/>
      <c r="O37" s="389"/>
      <c r="P37" s="389"/>
      <c r="Q37" s="389"/>
      <c r="R37" s="389"/>
      <c r="S37" s="389"/>
      <c r="T37" s="389"/>
      <c r="U37" s="389"/>
      <c r="V37" s="389"/>
      <c r="W37" s="389"/>
      <c r="X37" s="389"/>
      <c r="Y37" s="389"/>
      <c r="Z37" s="389"/>
      <c r="AA37" s="389"/>
      <c r="AB37" s="389"/>
      <c r="AC37" s="389"/>
      <c r="AD37" s="389"/>
      <c r="AE37" s="389"/>
      <c r="AF37" s="389"/>
      <c r="AG37" s="389"/>
    </row>
    <row r="38" spans="2:33" ht="27.75" thickBot="1">
      <c r="B38" s="608"/>
      <c r="C38" s="426" t="s">
        <v>903</v>
      </c>
      <c r="D38" s="413" t="s">
        <v>980</v>
      </c>
      <c r="E38" s="396"/>
      <c r="F38" s="400"/>
      <c r="G38" s="389"/>
      <c r="H38" s="389"/>
      <c r="I38" s="389"/>
      <c r="J38" s="389"/>
      <c r="K38" s="389"/>
      <c r="L38" s="389"/>
      <c r="M38" s="389"/>
      <c r="N38" s="389"/>
      <c r="O38" s="389"/>
      <c r="P38" s="389"/>
      <c r="Q38" s="389"/>
      <c r="R38" s="389"/>
      <c r="S38" s="389"/>
      <c r="T38" s="389"/>
      <c r="U38" s="389"/>
      <c r="V38" s="389"/>
      <c r="W38" s="389"/>
      <c r="X38" s="389"/>
      <c r="Y38" s="389"/>
      <c r="Z38" s="389"/>
      <c r="AA38" s="389"/>
      <c r="AB38" s="389"/>
      <c r="AC38" s="389"/>
      <c r="AD38" s="389"/>
      <c r="AE38" s="389"/>
      <c r="AF38" s="389"/>
      <c r="AG38" s="389"/>
    </row>
    <row r="39" spans="2:33" ht="27.75" thickBot="1">
      <c r="B39" s="608"/>
      <c r="C39" s="426" t="s">
        <v>904</v>
      </c>
      <c r="D39" s="413" t="s">
        <v>981</v>
      </c>
      <c r="E39" s="396"/>
      <c r="F39" s="400"/>
      <c r="G39" s="389"/>
      <c r="H39" s="389"/>
      <c r="I39" s="389"/>
      <c r="J39" s="389"/>
      <c r="K39" s="389"/>
      <c r="L39" s="389"/>
      <c r="M39" s="389"/>
      <c r="N39" s="389"/>
      <c r="O39" s="389"/>
      <c r="P39" s="389"/>
      <c r="Q39" s="389"/>
      <c r="R39" s="389"/>
      <c r="S39" s="389"/>
      <c r="T39" s="389"/>
      <c r="U39" s="389"/>
      <c r="V39" s="389"/>
      <c r="W39" s="389"/>
      <c r="X39" s="389"/>
      <c r="Y39" s="389"/>
      <c r="Z39" s="389"/>
      <c r="AA39" s="389"/>
      <c r="AB39" s="389"/>
      <c r="AC39" s="389"/>
      <c r="AD39" s="389"/>
      <c r="AE39" s="389"/>
      <c r="AF39" s="389"/>
      <c r="AG39" s="389"/>
    </row>
    <row r="40" spans="2:33" ht="27.75" thickBot="1">
      <c r="B40" s="608"/>
      <c r="C40" s="427" t="s">
        <v>905</v>
      </c>
      <c r="D40" s="413" t="s">
        <v>982</v>
      </c>
      <c r="E40" s="396"/>
      <c r="F40" s="400"/>
      <c r="G40" s="389"/>
      <c r="H40" s="389"/>
      <c r="I40" s="389"/>
      <c r="J40" s="389"/>
      <c r="K40" s="389"/>
      <c r="L40" s="389"/>
      <c r="M40" s="389"/>
      <c r="N40" s="389"/>
      <c r="O40" s="389"/>
      <c r="P40" s="389"/>
      <c r="Q40" s="389"/>
      <c r="R40" s="389"/>
      <c r="S40" s="389"/>
      <c r="T40" s="389"/>
      <c r="U40" s="389"/>
      <c r="V40" s="389"/>
      <c r="W40" s="389"/>
      <c r="X40" s="389"/>
      <c r="Y40" s="389"/>
      <c r="Z40" s="389"/>
      <c r="AA40" s="389"/>
      <c r="AB40" s="389"/>
      <c r="AC40" s="389"/>
      <c r="AD40" s="389"/>
      <c r="AE40" s="389"/>
      <c r="AF40" s="389"/>
      <c r="AG40" s="389"/>
    </row>
    <row r="41" spans="2:33" ht="27.75" thickBot="1">
      <c r="B41" s="608"/>
      <c r="C41" s="426" t="s">
        <v>998</v>
      </c>
      <c r="D41" s="413" t="s">
        <v>983</v>
      </c>
      <c r="E41" s="396"/>
      <c r="F41" s="400"/>
      <c r="G41" s="389"/>
      <c r="H41" s="389"/>
      <c r="I41" s="389"/>
      <c r="J41" s="389"/>
      <c r="K41" s="389"/>
      <c r="L41" s="389"/>
      <c r="M41" s="389"/>
      <c r="N41" s="389"/>
      <c r="O41" s="389"/>
      <c r="P41" s="389"/>
      <c r="Q41" s="389"/>
      <c r="R41" s="389"/>
      <c r="S41" s="389"/>
      <c r="T41" s="389"/>
      <c r="U41" s="389"/>
      <c r="V41" s="389"/>
      <c r="W41" s="389"/>
      <c r="X41" s="389"/>
      <c r="Y41" s="389"/>
      <c r="Z41" s="389"/>
      <c r="AA41" s="389"/>
      <c r="AB41" s="389"/>
      <c r="AC41" s="389"/>
      <c r="AD41" s="389"/>
      <c r="AE41" s="389"/>
      <c r="AF41" s="389"/>
      <c r="AG41" s="389"/>
    </row>
    <row r="42" spans="2:33" ht="27.75" thickBot="1">
      <c r="B42" s="608"/>
      <c r="C42" s="426" t="s">
        <v>999</v>
      </c>
      <c r="D42" s="413" t="s">
        <v>984</v>
      </c>
      <c r="E42" s="396"/>
      <c r="F42" s="400"/>
      <c r="G42" s="389"/>
      <c r="H42" s="389"/>
      <c r="I42" s="389"/>
      <c r="J42" s="389"/>
      <c r="K42" s="389"/>
      <c r="L42" s="389"/>
      <c r="M42" s="389"/>
      <c r="N42" s="389"/>
      <c r="O42" s="389"/>
      <c r="P42" s="389"/>
      <c r="Q42" s="389"/>
      <c r="R42" s="389"/>
      <c r="S42" s="389"/>
      <c r="T42" s="389"/>
      <c r="U42" s="389"/>
      <c r="V42" s="389"/>
      <c r="W42" s="389"/>
      <c r="X42" s="389"/>
      <c r="Y42" s="389"/>
      <c r="Z42" s="389"/>
      <c r="AA42" s="389"/>
      <c r="AB42" s="389"/>
      <c r="AC42" s="389"/>
      <c r="AD42" s="389"/>
      <c r="AE42" s="389"/>
      <c r="AF42" s="389"/>
      <c r="AG42" s="389"/>
    </row>
    <row r="43" spans="2:33" ht="27.75" thickBot="1">
      <c r="B43" s="608"/>
      <c r="C43" s="426" t="s">
        <v>1000</v>
      </c>
      <c r="D43" s="413" t="s">
        <v>985</v>
      </c>
      <c r="E43" s="396"/>
      <c r="F43" s="400"/>
      <c r="G43" s="389"/>
      <c r="H43" s="389"/>
      <c r="I43" s="389"/>
      <c r="J43" s="389"/>
      <c r="K43" s="389"/>
      <c r="L43" s="389"/>
      <c r="M43" s="389"/>
      <c r="N43" s="389"/>
      <c r="O43" s="389"/>
      <c r="P43" s="389"/>
      <c r="Q43" s="389"/>
      <c r="R43" s="389"/>
      <c r="S43" s="389"/>
      <c r="T43" s="389"/>
      <c r="U43" s="389"/>
      <c r="V43" s="389"/>
      <c r="W43" s="389"/>
      <c r="X43" s="389"/>
      <c r="Y43" s="389"/>
      <c r="Z43" s="389"/>
      <c r="AA43" s="389"/>
      <c r="AB43" s="389"/>
      <c r="AC43" s="389"/>
      <c r="AD43" s="389"/>
      <c r="AE43" s="389"/>
      <c r="AF43" s="389"/>
      <c r="AG43" s="389"/>
    </row>
    <row r="44" spans="2:33" ht="27.75" thickBot="1">
      <c r="B44" s="609"/>
      <c r="C44" s="426" t="s">
        <v>1001</v>
      </c>
      <c r="D44" s="413" t="s">
        <v>986</v>
      </c>
      <c r="E44" s="396"/>
      <c r="F44" s="400"/>
      <c r="G44" s="389"/>
      <c r="H44" s="389"/>
      <c r="I44" s="389"/>
      <c r="J44" s="389"/>
      <c r="K44" s="389"/>
      <c r="L44" s="389"/>
      <c r="M44" s="389"/>
      <c r="N44" s="389"/>
      <c r="O44" s="389"/>
      <c r="P44" s="389"/>
      <c r="Q44" s="389"/>
      <c r="R44" s="389"/>
      <c r="S44" s="389"/>
      <c r="T44" s="389"/>
      <c r="U44" s="389"/>
      <c r="V44" s="389"/>
      <c r="W44" s="389"/>
      <c r="X44" s="389"/>
      <c r="Y44" s="389"/>
      <c r="Z44" s="389"/>
      <c r="AA44" s="389"/>
      <c r="AB44" s="389"/>
      <c r="AC44" s="389"/>
      <c r="AD44" s="389"/>
      <c r="AE44" s="389"/>
      <c r="AF44" s="389"/>
      <c r="AG44" s="389"/>
    </row>
    <row r="45" spans="2:33" ht="27.75" customHeight="1" thickBot="1">
      <c r="B45" s="595" t="s">
        <v>1016</v>
      </c>
      <c r="C45" s="596"/>
      <c r="D45" s="597"/>
      <c r="E45" s="596"/>
      <c r="F45" s="596"/>
      <c r="G45" s="596"/>
      <c r="H45" s="596"/>
      <c r="I45" s="596"/>
      <c r="J45" s="596"/>
      <c r="K45" s="596"/>
      <c r="L45" s="596"/>
      <c r="M45" s="596"/>
      <c r="N45" s="596"/>
      <c r="O45" s="596"/>
      <c r="P45" s="596"/>
      <c r="Q45" s="596"/>
      <c r="R45" s="596"/>
      <c r="S45" s="596"/>
      <c r="T45" s="596"/>
      <c r="U45" s="596"/>
      <c r="V45" s="596"/>
      <c r="W45" s="596"/>
      <c r="X45" s="596"/>
      <c r="Y45" s="596"/>
      <c r="Z45" s="596"/>
      <c r="AA45" s="596"/>
      <c r="AB45" s="596"/>
      <c r="AC45" s="599"/>
      <c r="AD45" s="599"/>
      <c r="AE45" s="596"/>
      <c r="AF45" s="596"/>
      <c r="AG45" s="610"/>
    </row>
    <row r="46" spans="2:33" ht="51.75" thickBot="1">
      <c r="B46" s="408" t="s">
        <v>172</v>
      </c>
      <c r="C46" s="428" t="s">
        <v>172</v>
      </c>
      <c r="D46" s="401" t="s">
        <v>236</v>
      </c>
      <c r="E46" s="396" t="s">
        <v>449</v>
      </c>
      <c r="F46" s="400"/>
      <c r="G46" s="389"/>
      <c r="H46" s="389"/>
      <c r="I46" s="389"/>
      <c r="J46" s="389"/>
      <c r="K46" s="389"/>
      <c r="L46" s="389"/>
      <c r="M46" s="389"/>
      <c r="N46" s="389"/>
      <c r="O46" s="389"/>
      <c r="P46" s="389"/>
      <c r="Q46" s="389"/>
      <c r="R46" s="389"/>
      <c r="S46" s="389"/>
      <c r="T46" s="389"/>
      <c r="U46" s="389"/>
      <c r="V46" s="389"/>
      <c r="W46" s="389"/>
      <c r="X46" s="389"/>
      <c r="Y46" s="389"/>
      <c r="Z46" s="389"/>
      <c r="AA46" s="389"/>
      <c r="AB46" s="389"/>
      <c r="AC46" s="389"/>
      <c r="AD46" s="389"/>
      <c r="AE46" s="389"/>
      <c r="AF46" s="389"/>
      <c r="AG46" s="389"/>
    </row>
    <row r="47" spans="2:33" ht="51.75" thickBot="1">
      <c r="B47" s="417" t="s">
        <v>78</v>
      </c>
      <c r="C47" s="429" t="s">
        <v>173</v>
      </c>
      <c r="D47" s="398" t="s">
        <v>237</v>
      </c>
      <c r="E47" s="396" t="s">
        <v>1051</v>
      </c>
      <c r="F47" s="400" t="s">
        <v>450</v>
      </c>
      <c r="G47" s="389"/>
      <c r="H47" s="389"/>
      <c r="I47" s="389"/>
      <c r="J47" s="389"/>
      <c r="K47" s="389"/>
      <c r="L47" s="389"/>
      <c r="M47" s="389"/>
      <c r="N47" s="389"/>
      <c r="O47" s="389"/>
      <c r="P47" s="389"/>
      <c r="Q47" s="389"/>
      <c r="R47" s="389"/>
      <c r="S47" s="389"/>
      <c r="T47" s="389"/>
      <c r="U47" s="389"/>
      <c r="V47" s="389"/>
      <c r="W47" s="389"/>
      <c r="X47" s="389"/>
      <c r="Y47" s="389"/>
      <c r="Z47" s="389"/>
      <c r="AA47" s="389"/>
      <c r="AB47" s="389"/>
      <c r="AC47" s="389"/>
      <c r="AD47" s="389"/>
      <c r="AE47" s="389"/>
      <c r="AF47" s="389"/>
      <c r="AG47" s="389"/>
    </row>
    <row r="48" spans="2:33" ht="51.75" thickBot="1">
      <c r="B48" s="414" t="s">
        <v>76</v>
      </c>
      <c r="C48" s="430" t="s">
        <v>174</v>
      </c>
      <c r="D48" s="398" t="s">
        <v>238</v>
      </c>
      <c r="E48" s="396" t="s">
        <v>1052</v>
      </c>
      <c r="F48" s="400" t="s">
        <v>450</v>
      </c>
      <c r="G48" s="389"/>
      <c r="H48" s="389"/>
      <c r="I48" s="389"/>
      <c r="J48" s="389"/>
      <c r="K48" s="389"/>
      <c r="L48" s="389"/>
      <c r="M48" s="389"/>
      <c r="N48" s="389"/>
      <c r="O48" s="389"/>
      <c r="P48" s="389"/>
      <c r="Q48" s="389"/>
      <c r="R48" s="389"/>
      <c r="S48" s="389"/>
      <c r="T48" s="389"/>
      <c r="U48" s="389"/>
      <c r="V48" s="389"/>
      <c r="W48" s="389"/>
      <c r="X48" s="389"/>
      <c r="Y48" s="389"/>
      <c r="Z48" s="389"/>
      <c r="AA48" s="389"/>
      <c r="AB48" s="389"/>
      <c r="AC48" s="389"/>
      <c r="AD48" s="389"/>
      <c r="AE48" s="389"/>
      <c r="AF48" s="389"/>
      <c r="AG48" s="389"/>
    </row>
    <row r="49" spans="2:33" ht="51.75" thickBot="1">
      <c r="B49" s="414" t="s">
        <v>166</v>
      </c>
      <c r="C49" s="430" t="s">
        <v>175</v>
      </c>
      <c r="D49" s="398" t="s">
        <v>239</v>
      </c>
      <c r="E49" s="396" t="s">
        <v>451</v>
      </c>
      <c r="F49" s="400" t="s">
        <v>450</v>
      </c>
      <c r="G49" s="389"/>
      <c r="H49" s="389"/>
      <c r="I49" s="389"/>
      <c r="J49" s="389"/>
      <c r="K49" s="389"/>
      <c r="L49" s="389"/>
      <c r="M49" s="389"/>
      <c r="N49" s="389"/>
      <c r="O49" s="389"/>
      <c r="P49" s="389"/>
      <c r="Q49" s="389"/>
      <c r="R49" s="389"/>
      <c r="S49" s="389"/>
      <c r="T49" s="389"/>
      <c r="U49" s="389"/>
      <c r="V49" s="389"/>
      <c r="W49" s="389"/>
      <c r="X49" s="389"/>
      <c r="Y49" s="389"/>
      <c r="Z49" s="389"/>
      <c r="AA49" s="389"/>
      <c r="AB49" s="389"/>
      <c r="AC49" s="389"/>
      <c r="AD49" s="389"/>
      <c r="AE49" s="389"/>
      <c r="AF49" s="389"/>
      <c r="AG49" s="389"/>
    </row>
    <row r="50" spans="2:33" ht="51.75" thickBot="1">
      <c r="B50" s="414" t="s">
        <v>75</v>
      </c>
      <c r="C50" s="430" t="s">
        <v>176</v>
      </c>
      <c r="D50" s="398" t="s">
        <v>240</v>
      </c>
      <c r="E50" s="396" t="s">
        <v>452</v>
      </c>
      <c r="F50" s="400" t="s">
        <v>450</v>
      </c>
      <c r="G50" s="389"/>
      <c r="H50" s="389"/>
      <c r="I50" s="389"/>
      <c r="J50" s="389"/>
      <c r="K50" s="389"/>
      <c r="L50" s="389"/>
      <c r="M50" s="389"/>
      <c r="N50" s="389"/>
      <c r="O50" s="389"/>
      <c r="P50" s="389"/>
      <c r="Q50" s="389"/>
      <c r="R50" s="389"/>
      <c r="S50" s="389"/>
      <c r="T50" s="389"/>
      <c r="U50" s="389"/>
      <c r="V50" s="389"/>
      <c r="W50" s="389"/>
      <c r="X50" s="389"/>
      <c r="Y50" s="389"/>
      <c r="Z50" s="389"/>
      <c r="AA50" s="389"/>
      <c r="AB50" s="389"/>
      <c r="AC50" s="389"/>
      <c r="AD50" s="389"/>
      <c r="AE50" s="389"/>
      <c r="AF50" s="389"/>
      <c r="AG50" s="389"/>
    </row>
    <row r="51" spans="2:33" ht="51.75" thickBot="1">
      <c r="B51" s="415" t="s">
        <v>421</v>
      </c>
      <c r="C51" s="431" t="s">
        <v>177</v>
      </c>
      <c r="D51" s="399" t="s">
        <v>241</v>
      </c>
      <c r="E51" s="396" t="s">
        <v>453</v>
      </c>
      <c r="F51" s="400" t="s">
        <v>450</v>
      </c>
      <c r="G51" s="389"/>
      <c r="H51" s="389"/>
      <c r="I51" s="389"/>
      <c r="J51" s="389"/>
      <c r="K51" s="389"/>
      <c r="L51" s="389"/>
      <c r="M51" s="389"/>
      <c r="N51" s="389"/>
      <c r="O51" s="389"/>
      <c r="P51" s="389"/>
      <c r="Q51" s="389"/>
      <c r="R51" s="389"/>
      <c r="S51" s="389"/>
      <c r="T51" s="389"/>
      <c r="U51" s="389"/>
      <c r="V51" s="389"/>
      <c r="W51" s="389"/>
      <c r="X51" s="389"/>
      <c r="Y51" s="389"/>
      <c r="Z51" s="389"/>
      <c r="AA51" s="389"/>
      <c r="AB51" s="389"/>
      <c r="AC51" s="389"/>
      <c r="AD51" s="389"/>
      <c r="AE51" s="389"/>
      <c r="AF51" s="389"/>
      <c r="AG51" s="389"/>
    </row>
    <row r="52" spans="2:33" ht="77.25" thickBot="1">
      <c r="B52" s="377" t="s">
        <v>76</v>
      </c>
      <c r="C52" s="587" t="s">
        <v>1050</v>
      </c>
      <c r="D52" s="586" t="s">
        <v>1049</v>
      </c>
      <c r="E52" s="396" t="s">
        <v>1053</v>
      </c>
      <c r="F52" s="588"/>
      <c r="G52" s="389"/>
      <c r="H52" s="389"/>
      <c r="I52" s="389"/>
      <c r="J52" s="389"/>
      <c r="K52" s="389"/>
      <c r="L52" s="389"/>
      <c r="M52" s="389"/>
      <c r="N52" s="389"/>
      <c r="O52" s="389"/>
      <c r="P52" s="389"/>
      <c r="Q52" s="389"/>
      <c r="R52" s="389"/>
      <c r="S52" s="389"/>
      <c r="T52" s="389"/>
      <c r="U52" s="389"/>
      <c r="V52" s="389"/>
      <c r="W52" s="389"/>
      <c r="X52" s="389"/>
      <c r="Y52" s="389"/>
      <c r="Z52" s="389"/>
      <c r="AA52" s="389"/>
      <c r="AB52" s="389"/>
      <c r="AC52" s="389"/>
      <c r="AD52" s="389"/>
      <c r="AE52" s="389"/>
      <c r="AF52" s="389"/>
      <c r="AG52" s="389"/>
    </row>
    <row r="53" spans="2:33" s="21" customFormat="1" ht="27.75" thickBot="1">
      <c r="B53" s="595" t="s">
        <v>1046</v>
      </c>
      <c r="C53" s="596"/>
      <c r="D53" s="597"/>
      <c r="E53" s="596"/>
      <c r="F53" s="596"/>
      <c r="G53" s="596"/>
      <c r="H53" s="596"/>
      <c r="I53" s="596"/>
      <c r="J53" s="596"/>
      <c r="K53" s="596"/>
      <c r="L53" s="596"/>
      <c r="M53" s="596"/>
      <c r="N53" s="596"/>
      <c r="O53" s="596"/>
      <c r="P53" s="596"/>
      <c r="Q53" s="596"/>
      <c r="R53" s="596"/>
      <c r="S53" s="596"/>
      <c r="T53" s="596"/>
      <c r="U53" s="596"/>
      <c r="V53" s="596"/>
      <c r="W53" s="596"/>
      <c r="X53" s="596"/>
      <c r="Y53" s="596"/>
      <c r="Z53" s="596"/>
      <c r="AA53" s="596"/>
      <c r="AB53" s="596"/>
      <c r="AC53" s="599"/>
      <c r="AD53" s="596"/>
      <c r="AE53" s="596"/>
      <c r="AF53" s="596"/>
      <c r="AG53" s="600"/>
    </row>
    <row r="54" spans="2:33" ht="27.75" thickBot="1">
      <c r="B54" s="607" t="s">
        <v>896</v>
      </c>
      <c r="C54" s="425" t="s">
        <v>891</v>
      </c>
      <c r="D54" s="413" t="s">
        <v>886</v>
      </c>
      <c r="E54" s="396"/>
      <c r="F54" s="400"/>
      <c r="G54" s="389"/>
      <c r="H54" s="389"/>
      <c r="I54" s="389"/>
      <c r="J54" s="389"/>
      <c r="K54" s="389"/>
      <c r="L54" s="389"/>
      <c r="M54" s="389"/>
      <c r="N54" s="389"/>
      <c r="O54" s="389"/>
      <c r="P54" s="389"/>
      <c r="Q54" s="389"/>
      <c r="R54" s="389"/>
      <c r="S54" s="389"/>
      <c r="T54" s="389"/>
      <c r="U54" s="389"/>
      <c r="V54" s="389"/>
      <c r="W54" s="389"/>
      <c r="X54" s="389"/>
      <c r="Y54" s="389"/>
      <c r="Z54" s="389"/>
      <c r="AA54" s="389"/>
      <c r="AB54" s="389"/>
      <c r="AC54" s="389"/>
      <c r="AD54" s="389"/>
      <c r="AE54" s="389"/>
      <c r="AF54" s="389"/>
      <c r="AG54" s="389"/>
    </row>
    <row r="55" spans="2:33" ht="27.75" thickBot="1">
      <c r="B55" s="608"/>
      <c r="C55" s="426" t="s">
        <v>892</v>
      </c>
      <c r="D55" s="413" t="s">
        <v>887</v>
      </c>
      <c r="E55" s="396"/>
      <c r="F55" s="400"/>
      <c r="G55" s="389"/>
      <c r="H55" s="389"/>
      <c r="I55" s="389"/>
      <c r="J55" s="389"/>
      <c r="K55" s="389"/>
      <c r="L55" s="389"/>
      <c r="M55" s="389"/>
      <c r="N55" s="389"/>
      <c r="O55" s="389"/>
      <c r="P55" s="389"/>
      <c r="Q55" s="389"/>
      <c r="R55" s="389"/>
      <c r="S55" s="389"/>
      <c r="T55" s="389"/>
      <c r="U55" s="389"/>
      <c r="V55" s="389"/>
      <c r="W55" s="389"/>
      <c r="X55" s="389"/>
      <c r="Y55" s="389"/>
      <c r="Z55" s="389"/>
      <c r="AA55" s="389"/>
      <c r="AB55" s="389"/>
      <c r="AC55" s="389"/>
      <c r="AD55" s="389"/>
      <c r="AE55" s="389"/>
      <c r="AF55" s="389"/>
      <c r="AG55" s="389"/>
    </row>
    <row r="56" spans="2:33" ht="27.75" thickBot="1">
      <c r="B56" s="608"/>
      <c r="C56" s="426" t="s">
        <v>893</v>
      </c>
      <c r="D56" s="413" t="s">
        <v>888</v>
      </c>
      <c r="E56" s="396"/>
      <c r="F56" s="400"/>
      <c r="G56" s="389"/>
      <c r="H56" s="389"/>
      <c r="I56" s="389"/>
      <c r="J56" s="389"/>
      <c r="K56" s="389"/>
      <c r="L56" s="389"/>
      <c r="M56" s="389"/>
      <c r="N56" s="389"/>
      <c r="O56" s="389"/>
      <c r="P56" s="389"/>
      <c r="Q56" s="389"/>
      <c r="R56" s="389"/>
      <c r="S56" s="389"/>
      <c r="T56" s="389"/>
      <c r="U56" s="389"/>
      <c r="V56" s="389"/>
      <c r="W56" s="389"/>
      <c r="X56" s="389"/>
      <c r="Y56" s="389"/>
      <c r="Z56" s="389"/>
      <c r="AA56" s="389"/>
      <c r="AB56" s="389"/>
      <c r="AC56" s="389"/>
      <c r="AD56" s="389"/>
      <c r="AE56" s="389"/>
      <c r="AF56" s="389"/>
      <c r="AG56" s="389"/>
    </row>
    <row r="57" spans="2:33" ht="27.75" thickBot="1">
      <c r="B57" s="608"/>
      <c r="C57" s="426" t="s">
        <v>894</v>
      </c>
      <c r="D57" s="413" t="s">
        <v>889</v>
      </c>
      <c r="E57" s="396"/>
      <c r="F57" s="400"/>
      <c r="G57" s="389"/>
      <c r="H57" s="389"/>
      <c r="I57" s="389"/>
      <c r="J57" s="389"/>
      <c r="K57" s="389"/>
      <c r="L57" s="389"/>
      <c r="M57" s="389"/>
      <c r="N57" s="389"/>
      <c r="O57" s="389"/>
      <c r="P57" s="389"/>
      <c r="Q57" s="389"/>
      <c r="R57" s="389"/>
      <c r="S57" s="389"/>
      <c r="T57" s="389"/>
      <c r="U57" s="389"/>
      <c r="V57" s="389"/>
      <c r="W57" s="389"/>
      <c r="X57" s="389"/>
      <c r="Y57" s="389"/>
      <c r="Z57" s="389"/>
      <c r="AA57" s="389"/>
      <c r="AB57" s="389"/>
      <c r="AC57" s="389"/>
      <c r="AD57" s="389"/>
      <c r="AE57" s="389"/>
      <c r="AF57" s="389"/>
      <c r="AG57" s="389"/>
    </row>
    <row r="58" spans="2:33" ht="27.75" thickBot="1">
      <c r="B58" s="608"/>
      <c r="C58" s="427" t="s">
        <v>895</v>
      </c>
      <c r="D58" s="413" t="s">
        <v>890</v>
      </c>
      <c r="E58" s="396"/>
      <c r="F58" s="400"/>
      <c r="G58" s="389"/>
      <c r="H58" s="389"/>
      <c r="I58" s="389"/>
      <c r="J58" s="389"/>
      <c r="K58" s="389"/>
      <c r="L58" s="389"/>
      <c r="M58" s="389"/>
      <c r="N58" s="389"/>
      <c r="O58" s="389"/>
      <c r="P58" s="389"/>
      <c r="Q58" s="389"/>
      <c r="R58" s="389"/>
      <c r="S58" s="389"/>
      <c r="T58" s="389"/>
      <c r="U58" s="389"/>
      <c r="V58" s="389"/>
      <c r="W58" s="389"/>
      <c r="X58" s="389"/>
      <c r="Y58" s="389"/>
      <c r="Z58" s="389"/>
      <c r="AA58" s="389"/>
      <c r="AB58" s="389"/>
      <c r="AC58" s="389"/>
      <c r="AD58" s="389"/>
      <c r="AE58" s="389"/>
      <c r="AF58" s="389"/>
      <c r="AG58" s="389"/>
    </row>
    <row r="59" spans="2:33" ht="27.75" thickBot="1">
      <c r="B59" s="608"/>
      <c r="C59" s="426" t="s">
        <v>1002</v>
      </c>
      <c r="D59" s="413" t="s">
        <v>897</v>
      </c>
      <c r="E59" s="396"/>
      <c r="F59" s="400"/>
      <c r="G59" s="389"/>
      <c r="H59" s="389"/>
      <c r="I59" s="389"/>
      <c r="J59" s="389"/>
      <c r="K59" s="389"/>
      <c r="L59" s="389"/>
      <c r="M59" s="389"/>
      <c r="N59" s="389"/>
      <c r="O59" s="389"/>
      <c r="P59" s="389"/>
      <c r="Q59" s="389"/>
      <c r="R59" s="389"/>
      <c r="S59" s="389"/>
      <c r="T59" s="389"/>
      <c r="U59" s="389"/>
      <c r="V59" s="389"/>
      <c r="W59" s="389"/>
      <c r="X59" s="389"/>
      <c r="Y59" s="389"/>
      <c r="Z59" s="389"/>
      <c r="AA59" s="389"/>
      <c r="AB59" s="389"/>
      <c r="AC59" s="389"/>
      <c r="AD59" s="389"/>
      <c r="AE59" s="389"/>
      <c r="AF59" s="389"/>
      <c r="AG59" s="389"/>
    </row>
    <row r="60" spans="2:33" ht="27.75" thickBot="1">
      <c r="B60" s="608"/>
      <c r="C60" s="426" t="s">
        <v>1003</v>
      </c>
      <c r="D60" s="413" t="s">
        <v>898</v>
      </c>
      <c r="E60" s="396"/>
      <c r="F60" s="400"/>
      <c r="G60" s="389"/>
      <c r="H60" s="389"/>
      <c r="I60" s="389"/>
      <c r="J60" s="389"/>
      <c r="K60" s="389"/>
      <c r="L60" s="389"/>
      <c r="M60" s="389"/>
      <c r="N60" s="389"/>
      <c r="O60" s="389"/>
      <c r="P60" s="389"/>
      <c r="Q60" s="389"/>
      <c r="R60" s="389"/>
      <c r="S60" s="389"/>
      <c r="T60" s="389"/>
      <c r="U60" s="389"/>
      <c r="V60" s="389"/>
      <c r="W60" s="389"/>
      <c r="X60" s="389"/>
      <c r="Y60" s="389"/>
      <c r="Z60" s="389"/>
      <c r="AA60" s="389"/>
      <c r="AB60" s="389"/>
      <c r="AC60" s="389"/>
      <c r="AD60" s="389"/>
      <c r="AE60" s="389"/>
      <c r="AF60" s="389"/>
      <c r="AG60" s="389"/>
    </row>
    <row r="61" spans="2:33" ht="27.75" thickBot="1">
      <c r="B61" s="608"/>
      <c r="C61" s="426" t="s">
        <v>1004</v>
      </c>
      <c r="D61" s="413" t="s">
        <v>899</v>
      </c>
      <c r="E61" s="396"/>
      <c r="F61" s="400"/>
      <c r="G61" s="389"/>
      <c r="H61" s="389"/>
      <c r="I61" s="389"/>
      <c r="J61" s="389"/>
      <c r="K61" s="389"/>
      <c r="L61" s="389"/>
      <c r="M61" s="389"/>
      <c r="N61" s="389"/>
      <c r="O61" s="389"/>
      <c r="P61" s="389"/>
      <c r="Q61" s="389"/>
      <c r="R61" s="389"/>
      <c r="S61" s="389"/>
      <c r="T61" s="389"/>
      <c r="U61" s="389"/>
      <c r="V61" s="389"/>
      <c r="W61" s="389"/>
      <c r="X61" s="389"/>
      <c r="Y61" s="389"/>
      <c r="Z61" s="389"/>
      <c r="AA61" s="389"/>
      <c r="AB61" s="389"/>
      <c r="AC61" s="389"/>
      <c r="AD61" s="389"/>
      <c r="AE61" s="389"/>
      <c r="AF61" s="389"/>
      <c r="AG61" s="389"/>
    </row>
    <row r="62" spans="2:33" ht="27.75" thickBot="1">
      <c r="B62" s="609"/>
      <c r="C62" s="426" t="s">
        <v>1005</v>
      </c>
      <c r="D62" s="413" t="s">
        <v>900</v>
      </c>
      <c r="E62" s="396"/>
      <c r="F62" s="400"/>
      <c r="G62" s="389"/>
      <c r="H62" s="389"/>
      <c r="I62" s="389"/>
      <c r="J62" s="389"/>
      <c r="K62" s="389"/>
      <c r="L62" s="389"/>
      <c r="M62" s="389"/>
      <c r="N62" s="389"/>
      <c r="O62" s="389"/>
      <c r="P62" s="389"/>
      <c r="Q62" s="389"/>
      <c r="R62" s="389"/>
      <c r="S62" s="389"/>
      <c r="T62" s="389"/>
      <c r="U62" s="389"/>
      <c r="V62" s="389"/>
      <c r="W62" s="389"/>
      <c r="X62" s="389"/>
      <c r="Y62" s="389"/>
      <c r="Z62" s="389"/>
      <c r="AA62" s="389"/>
      <c r="AB62" s="389"/>
      <c r="AC62" s="389"/>
      <c r="AD62" s="389"/>
      <c r="AE62" s="389"/>
      <c r="AF62" s="389"/>
      <c r="AG62" s="389"/>
    </row>
    <row r="63" spans="2:33" ht="27.75" hidden="1" thickBot="1">
      <c r="B63" s="652" t="s">
        <v>940</v>
      </c>
      <c r="C63" s="653"/>
      <c r="D63" s="653"/>
      <c r="E63" s="653"/>
      <c r="F63" s="654"/>
      <c r="G63" s="389"/>
      <c r="H63" s="389"/>
      <c r="I63" s="389"/>
      <c r="J63" s="389"/>
      <c r="K63" s="389"/>
      <c r="L63" s="389"/>
      <c r="M63" s="389"/>
      <c r="N63" s="389"/>
      <c r="O63" s="389"/>
      <c r="P63" s="389"/>
      <c r="Q63" s="389"/>
      <c r="R63" s="389"/>
      <c r="S63" s="389"/>
      <c r="T63" s="389"/>
      <c r="U63" s="389"/>
      <c r="V63" s="389"/>
      <c r="W63" s="389"/>
      <c r="X63" s="389"/>
      <c r="Y63" s="389"/>
      <c r="Z63" s="389"/>
      <c r="AA63" s="389"/>
      <c r="AB63" s="389"/>
      <c r="AC63" s="389"/>
      <c r="AD63" s="389"/>
      <c r="AE63" s="389"/>
      <c r="AF63" s="389"/>
      <c r="AG63" s="389"/>
    </row>
    <row r="64" spans="2:33" ht="51.75" hidden="1" thickBot="1">
      <c r="B64" s="408" t="s">
        <v>178</v>
      </c>
      <c r="C64" s="428" t="s">
        <v>178</v>
      </c>
      <c r="D64" s="401" t="s">
        <v>242</v>
      </c>
      <c r="E64" s="396" t="s">
        <v>454</v>
      </c>
      <c r="F64" s="400"/>
      <c r="G64" s="389"/>
      <c r="H64" s="389"/>
      <c r="I64" s="389"/>
      <c r="J64" s="389"/>
      <c r="K64" s="389"/>
      <c r="L64" s="389"/>
      <c r="M64" s="389"/>
      <c r="N64" s="389"/>
      <c r="O64" s="389"/>
      <c r="P64" s="389"/>
      <c r="Q64" s="389"/>
      <c r="R64" s="389"/>
      <c r="S64" s="389"/>
      <c r="T64" s="389"/>
      <c r="U64" s="389"/>
      <c r="V64" s="389"/>
      <c r="W64" s="389"/>
      <c r="X64" s="389"/>
      <c r="Y64" s="389"/>
      <c r="Z64" s="389"/>
      <c r="AA64" s="389"/>
      <c r="AB64" s="389"/>
      <c r="AC64" s="389"/>
      <c r="AD64" s="389"/>
      <c r="AE64" s="389"/>
      <c r="AF64" s="389"/>
      <c r="AG64" s="389"/>
    </row>
    <row r="65" spans="2:33" ht="51.75" hidden="1" thickBot="1">
      <c r="B65" s="417" t="s">
        <v>78</v>
      </c>
      <c r="C65" s="429" t="s">
        <v>179</v>
      </c>
      <c r="D65" s="398" t="s">
        <v>243</v>
      </c>
      <c r="E65" s="396" t="s">
        <v>455</v>
      </c>
      <c r="F65" s="400" t="s">
        <v>456</v>
      </c>
      <c r="G65" s="389"/>
      <c r="H65" s="389"/>
      <c r="I65" s="389"/>
      <c r="J65" s="389"/>
      <c r="K65" s="389"/>
      <c r="L65" s="389"/>
      <c r="M65" s="389"/>
      <c r="N65" s="389"/>
      <c r="O65" s="389"/>
      <c r="P65" s="389"/>
      <c r="Q65" s="389"/>
      <c r="R65" s="389"/>
      <c r="S65" s="389"/>
      <c r="T65" s="389"/>
      <c r="U65" s="389"/>
      <c r="V65" s="389"/>
      <c r="W65" s="389"/>
      <c r="X65" s="389"/>
      <c r="Y65" s="389"/>
      <c r="Z65" s="389"/>
      <c r="AA65" s="389"/>
      <c r="AB65" s="389"/>
      <c r="AC65" s="389"/>
      <c r="AD65" s="389"/>
      <c r="AE65" s="389"/>
      <c r="AF65" s="389"/>
      <c r="AG65" s="389"/>
    </row>
    <row r="66" spans="2:33" ht="51.75" hidden="1" thickBot="1">
      <c r="B66" s="414" t="s">
        <v>76</v>
      </c>
      <c r="C66" s="430" t="s">
        <v>180</v>
      </c>
      <c r="D66" s="398" t="s">
        <v>244</v>
      </c>
      <c r="E66" s="396" t="s">
        <v>457</v>
      </c>
      <c r="F66" s="400" t="s">
        <v>456</v>
      </c>
      <c r="G66" s="389"/>
      <c r="H66" s="389"/>
      <c r="I66" s="389"/>
      <c r="J66" s="389"/>
      <c r="K66" s="389"/>
      <c r="L66" s="389"/>
      <c r="M66" s="389"/>
      <c r="N66" s="389"/>
      <c r="O66" s="389"/>
      <c r="P66" s="389"/>
      <c r="Q66" s="389"/>
      <c r="R66" s="389"/>
      <c r="S66" s="389"/>
      <c r="T66" s="389"/>
      <c r="U66" s="389"/>
      <c r="V66" s="389"/>
      <c r="W66" s="389"/>
      <c r="X66" s="389"/>
      <c r="Y66" s="389"/>
      <c r="Z66" s="389"/>
      <c r="AA66" s="389"/>
      <c r="AB66" s="389"/>
      <c r="AC66" s="389"/>
      <c r="AD66" s="389"/>
      <c r="AE66" s="389"/>
      <c r="AF66" s="389"/>
      <c r="AG66" s="389"/>
    </row>
    <row r="67" spans="2:33" ht="51.75" hidden="1" thickBot="1">
      <c r="B67" s="414" t="s">
        <v>166</v>
      </c>
      <c r="C67" s="430" t="s">
        <v>181</v>
      </c>
      <c r="D67" s="398" t="s">
        <v>245</v>
      </c>
      <c r="E67" s="396" t="s">
        <v>458</v>
      </c>
      <c r="F67" s="400" t="s">
        <v>456</v>
      </c>
      <c r="G67" s="389"/>
      <c r="H67" s="389"/>
      <c r="I67" s="389"/>
      <c r="J67" s="389"/>
      <c r="K67" s="389"/>
      <c r="L67" s="389"/>
      <c r="M67" s="389"/>
      <c r="N67" s="389"/>
      <c r="O67" s="389"/>
      <c r="P67" s="389"/>
      <c r="Q67" s="389"/>
      <c r="R67" s="389"/>
      <c r="S67" s="389"/>
      <c r="T67" s="389"/>
      <c r="U67" s="389"/>
      <c r="V67" s="389"/>
      <c r="W67" s="389"/>
      <c r="X67" s="389"/>
      <c r="Y67" s="389"/>
      <c r="Z67" s="389"/>
      <c r="AA67" s="389"/>
      <c r="AB67" s="389"/>
      <c r="AC67" s="389"/>
      <c r="AD67" s="389"/>
      <c r="AE67" s="389"/>
      <c r="AF67" s="389"/>
      <c r="AG67" s="389"/>
    </row>
    <row r="68" spans="2:33" ht="51.75" hidden="1" thickBot="1">
      <c r="B68" s="414" t="s">
        <v>75</v>
      </c>
      <c r="C68" s="430" t="s">
        <v>182</v>
      </c>
      <c r="D68" s="398" t="s">
        <v>246</v>
      </c>
      <c r="E68" s="396" t="s">
        <v>459</v>
      </c>
      <c r="F68" s="400" t="s">
        <v>456</v>
      </c>
      <c r="G68" s="389"/>
      <c r="H68" s="389"/>
      <c r="I68" s="389"/>
      <c r="J68" s="389"/>
      <c r="K68" s="389"/>
      <c r="L68" s="389"/>
      <c r="M68" s="389"/>
      <c r="N68" s="389"/>
      <c r="O68" s="389"/>
      <c r="P68" s="389"/>
      <c r="Q68" s="389"/>
      <c r="R68" s="389"/>
      <c r="S68" s="389"/>
      <c r="T68" s="389"/>
      <c r="U68" s="389"/>
      <c r="V68" s="389"/>
      <c r="W68" s="389"/>
      <c r="X68" s="389"/>
      <c r="Y68" s="389"/>
      <c r="Z68" s="389"/>
      <c r="AA68" s="389"/>
      <c r="AB68" s="389"/>
      <c r="AC68" s="389"/>
      <c r="AD68" s="389"/>
      <c r="AE68" s="389"/>
      <c r="AF68" s="389"/>
      <c r="AG68" s="389"/>
    </row>
    <row r="69" spans="2:33" ht="51.75" hidden="1" thickBot="1">
      <c r="B69" s="415" t="s">
        <v>421</v>
      </c>
      <c r="C69" s="431" t="s">
        <v>183</v>
      </c>
      <c r="D69" s="399" t="s">
        <v>247</v>
      </c>
      <c r="E69" s="396" t="s">
        <v>460</v>
      </c>
      <c r="F69" s="400" t="s">
        <v>456</v>
      </c>
      <c r="G69" s="389"/>
      <c r="H69" s="389"/>
      <c r="I69" s="389"/>
      <c r="J69" s="389"/>
      <c r="K69" s="389"/>
      <c r="L69" s="389"/>
      <c r="M69" s="389"/>
      <c r="N69" s="389"/>
      <c r="O69" s="389"/>
      <c r="P69" s="389"/>
      <c r="Q69" s="389"/>
      <c r="R69" s="389"/>
      <c r="S69" s="389"/>
      <c r="T69" s="389"/>
      <c r="U69" s="389"/>
      <c r="V69" s="389"/>
      <c r="W69" s="389"/>
      <c r="X69" s="389"/>
      <c r="Y69" s="389"/>
      <c r="Z69" s="389"/>
      <c r="AA69" s="389"/>
      <c r="AB69" s="389"/>
      <c r="AC69" s="389"/>
      <c r="AD69" s="389"/>
      <c r="AE69" s="389"/>
      <c r="AF69" s="389"/>
      <c r="AG69" s="389"/>
    </row>
    <row r="70" spans="2:33" s="4" customFormat="1" ht="57.4" customHeight="1" thickBot="1">
      <c r="B70" s="605" t="s">
        <v>941</v>
      </c>
      <c r="C70" s="606"/>
      <c r="D70" s="606"/>
      <c r="E70" s="606"/>
      <c r="F70" s="606"/>
      <c r="G70" s="402">
        <v>154</v>
      </c>
      <c r="H70" s="403"/>
      <c r="I70" s="403"/>
      <c r="J70" s="403"/>
      <c r="K70" s="403"/>
      <c r="L70" s="403"/>
      <c r="M70" s="403"/>
      <c r="N70" s="403"/>
      <c r="O70" s="403"/>
      <c r="P70" s="403"/>
      <c r="Q70" s="403"/>
      <c r="R70" s="403"/>
      <c r="S70" s="403"/>
      <c r="T70" s="403"/>
      <c r="U70" s="403"/>
      <c r="V70" s="403"/>
      <c r="W70" s="403"/>
      <c r="X70" s="403"/>
      <c r="Y70" s="403"/>
      <c r="Z70" s="403"/>
      <c r="AA70" s="403"/>
      <c r="AB70" s="403"/>
      <c r="AC70" s="403"/>
      <c r="AD70" s="403"/>
      <c r="AE70" s="403"/>
      <c r="AF70" s="403"/>
      <c r="AG70" s="403"/>
    </row>
    <row r="71" spans="2:33" s="6" customFormat="1" ht="31.5" thickBot="1">
      <c r="B71" s="416" t="s">
        <v>799</v>
      </c>
      <c r="C71" s="404" t="s">
        <v>800</v>
      </c>
      <c r="D71" s="411" t="s">
        <v>801</v>
      </c>
      <c r="E71" s="461">
        <f>SUM(E72:E86)</f>
        <v>0</v>
      </c>
      <c r="F71" s="405">
        <f>SUM(F72:F84)</f>
        <v>0</v>
      </c>
      <c r="G71" s="402">
        <v>155</v>
      </c>
      <c r="H71" s="406"/>
      <c r="I71" s="406"/>
      <c r="J71" s="406"/>
      <c r="K71" s="406"/>
      <c r="L71" s="406"/>
      <c r="M71" s="406"/>
      <c r="N71" s="406"/>
      <c r="O71" s="406"/>
      <c r="P71" s="406"/>
      <c r="Q71" s="406"/>
      <c r="R71" s="406"/>
      <c r="S71" s="406"/>
      <c r="T71" s="406"/>
      <c r="U71" s="406"/>
      <c r="V71" s="406"/>
      <c r="W71" s="406"/>
      <c r="X71" s="406"/>
      <c r="Y71" s="406"/>
      <c r="Z71" s="406"/>
      <c r="AA71" s="406"/>
      <c r="AB71" s="406"/>
      <c r="AC71" s="406"/>
      <c r="AD71" s="406"/>
      <c r="AE71" s="406"/>
      <c r="AF71" s="406"/>
      <c r="AG71" s="406"/>
    </row>
    <row r="72" spans="2:33" s="4" customFormat="1" ht="51.75" thickBot="1">
      <c r="B72" s="607" t="s">
        <v>78</v>
      </c>
      <c r="C72" s="432" t="s">
        <v>807</v>
      </c>
      <c r="D72" s="411" t="s">
        <v>802</v>
      </c>
      <c r="E72" s="396" t="s">
        <v>859</v>
      </c>
      <c r="F72" s="407" t="s">
        <v>860</v>
      </c>
      <c r="G72" s="402">
        <v>156</v>
      </c>
      <c r="H72" s="403"/>
      <c r="I72" s="403"/>
      <c r="J72" s="403"/>
      <c r="K72" s="403"/>
      <c r="L72" s="403"/>
      <c r="M72" s="403"/>
      <c r="N72" s="403"/>
      <c r="O72" s="403"/>
      <c r="P72" s="403"/>
      <c r="Q72" s="403"/>
      <c r="R72" s="403"/>
      <c r="S72" s="403"/>
      <c r="T72" s="403"/>
      <c r="U72" s="403"/>
      <c r="V72" s="403"/>
      <c r="W72" s="403"/>
      <c r="X72" s="403"/>
      <c r="Y72" s="403"/>
      <c r="Z72" s="403"/>
      <c r="AA72" s="403"/>
      <c r="AB72" s="403"/>
      <c r="AC72" s="403"/>
      <c r="AD72" s="403"/>
      <c r="AE72" s="403"/>
      <c r="AF72" s="403"/>
      <c r="AG72" s="403"/>
    </row>
    <row r="73" spans="2:33" s="4" customFormat="1" ht="51.75" thickBot="1">
      <c r="B73" s="608"/>
      <c r="C73" s="425" t="s">
        <v>812</v>
      </c>
      <c r="D73" s="413" t="s">
        <v>817</v>
      </c>
      <c r="E73" s="396" t="s">
        <v>861</v>
      </c>
      <c r="F73" s="407" t="s">
        <v>862</v>
      </c>
      <c r="G73" s="402">
        <v>156</v>
      </c>
      <c r="H73" s="403"/>
      <c r="I73" s="403"/>
      <c r="J73" s="403"/>
      <c r="K73" s="403"/>
      <c r="L73" s="403"/>
      <c r="M73" s="403"/>
      <c r="N73" s="403"/>
      <c r="O73" s="403"/>
      <c r="P73" s="403"/>
      <c r="Q73" s="403"/>
      <c r="R73" s="403"/>
      <c r="S73" s="403"/>
      <c r="T73" s="403"/>
      <c r="U73" s="403"/>
      <c r="V73" s="403"/>
      <c r="W73" s="403"/>
      <c r="X73" s="403"/>
      <c r="Y73" s="403"/>
      <c r="Z73" s="403"/>
      <c r="AA73" s="403"/>
      <c r="AB73" s="403"/>
      <c r="AC73" s="403"/>
      <c r="AD73" s="403"/>
      <c r="AE73" s="403"/>
      <c r="AF73" s="403"/>
      <c r="AG73" s="403"/>
    </row>
    <row r="74" spans="2:33" s="4" customFormat="1" ht="51.75" thickBot="1">
      <c r="B74" s="609"/>
      <c r="C74" s="433" t="s">
        <v>813</v>
      </c>
      <c r="D74" s="413" t="s">
        <v>818</v>
      </c>
      <c r="E74" s="396" t="s">
        <v>863</v>
      </c>
      <c r="F74" s="407" t="s">
        <v>864</v>
      </c>
      <c r="G74" s="402"/>
      <c r="H74" s="403"/>
      <c r="I74" s="403"/>
      <c r="J74" s="403"/>
      <c r="K74" s="403"/>
      <c r="L74" s="403"/>
      <c r="M74" s="403"/>
      <c r="N74" s="403"/>
      <c r="O74" s="403"/>
      <c r="P74" s="403"/>
      <c r="Q74" s="403"/>
      <c r="R74" s="403"/>
      <c r="S74" s="403"/>
      <c r="T74" s="403"/>
      <c r="U74" s="403"/>
      <c r="V74" s="403"/>
      <c r="W74" s="403"/>
      <c r="X74" s="403"/>
      <c r="Y74" s="403"/>
      <c r="Z74" s="403"/>
      <c r="AA74" s="403"/>
      <c r="AB74" s="403"/>
      <c r="AC74" s="403"/>
      <c r="AD74" s="403"/>
      <c r="AE74" s="403"/>
      <c r="AF74" s="403"/>
      <c r="AG74" s="403"/>
    </row>
    <row r="75" spans="2:33" s="4" customFormat="1" ht="51.75" thickBot="1">
      <c r="B75" s="607" t="s">
        <v>76</v>
      </c>
      <c r="C75" s="432" t="s">
        <v>808</v>
      </c>
      <c r="D75" s="413" t="s">
        <v>803</v>
      </c>
      <c r="E75" s="396" t="s">
        <v>865</v>
      </c>
      <c r="F75" s="407" t="s">
        <v>860</v>
      </c>
      <c r="G75" s="402">
        <v>157</v>
      </c>
      <c r="H75" s="403"/>
      <c r="I75" s="403"/>
      <c r="J75" s="403"/>
      <c r="K75" s="403"/>
      <c r="L75" s="403"/>
      <c r="M75" s="403"/>
      <c r="N75" s="403"/>
      <c r="O75" s="403"/>
      <c r="P75" s="403"/>
      <c r="Q75" s="403"/>
      <c r="R75" s="403"/>
      <c r="S75" s="403"/>
      <c r="T75" s="403"/>
      <c r="U75" s="403"/>
      <c r="V75" s="403"/>
      <c r="W75" s="403"/>
      <c r="X75" s="403"/>
      <c r="Y75" s="403"/>
      <c r="Z75" s="403"/>
      <c r="AA75" s="403"/>
      <c r="AB75" s="403"/>
      <c r="AC75" s="403"/>
      <c r="AD75" s="403"/>
      <c r="AE75" s="403"/>
      <c r="AF75" s="403"/>
      <c r="AG75" s="403"/>
    </row>
    <row r="76" spans="2:33" s="4" customFormat="1" ht="51.75" thickBot="1">
      <c r="B76" s="608"/>
      <c r="C76" s="426" t="s">
        <v>814</v>
      </c>
      <c r="D76" s="413" t="s">
        <v>819</v>
      </c>
      <c r="E76" s="396" t="s">
        <v>866</v>
      </c>
      <c r="F76" s="407" t="s">
        <v>862</v>
      </c>
      <c r="G76" s="402">
        <v>157</v>
      </c>
      <c r="H76" s="403"/>
      <c r="I76" s="403"/>
      <c r="J76" s="403"/>
      <c r="K76" s="403"/>
      <c r="L76" s="403"/>
      <c r="M76" s="403"/>
      <c r="N76" s="403"/>
      <c r="O76" s="403"/>
      <c r="P76" s="403"/>
      <c r="Q76" s="403"/>
      <c r="R76" s="403"/>
      <c r="S76" s="403"/>
      <c r="T76" s="403"/>
      <c r="U76" s="403"/>
      <c r="V76" s="403"/>
      <c r="W76" s="403"/>
      <c r="X76" s="403"/>
      <c r="Y76" s="403"/>
      <c r="Z76" s="403"/>
      <c r="AA76" s="403"/>
      <c r="AB76" s="403"/>
      <c r="AC76" s="403"/>
      <c r="AD76" s="403"/>
      <c r="AE76" s="403"/>
      <c r="AF76" s="403"/>
      <c r="AG76" s="403"/>
    </row>
    <row r="77" spans="2:33" s="4" customFormat="1" ht="51.75" thickBot="1">
      <c r="B77" s="609"/>
      <c r="C77" s="427" t="s">
        <v>821</v>
      </c>
      <c r="D77" s="413" t="s">
        <v>820</v>
      </c>
      <c r="E77" s="396" t="s">
        <v>867</v>
      </c>
      <c r="F77" s="407" t="s">
        <v>864</v>
      </c>
      <c r="G77" s="402"/>
      <c r="H77" s="403"/>
      <c r="I77" s="403"/>
      <c r="J77" s="403"/>
      <c r="K77" s="403"/>
      <c r="L77" s="403"/>
      <c r="M77" s="403"/>
      <c r="N77" s="403"/>
      <c r="O77" s="403"/>
      <c r="P77" s="403"/>
      <c r="Q77" s="403"/>
      <c r="R77" s="403"/>
      <c r="S77" s="403"/>
      <c r="T77" s="403"/>
      <c r="U77" s="403"/>
      <c r="V77" s="403"/>
      <c r="W77" s="403"/>
      <c r="X77" s="403"/>
      <c r="Y77" s="403"/>
      <c r="Z77" s="403"/>
      <c r="AA77" s="403"/>
      <c r="AB77" s="403"/>
      <c r="AC77" s="403"/>
      <c r="AD77" s="403"/>
      <c r="AE77" s="403"/>
      <c r="AF77" s="403"/>
      <c r="AG77" s="403"/>
    </row>
    <row r="78" spans="2:33" s="4" customFormat="1" ht="51.75" thickBot="1">
      <c r="B78" s="607" t="s">
        <v>166</v>
      </c>
      <c r="C78" s="432" t="s">
        <v>809</v>
      </c>
      <c r="D78" s="413" t="s">
        <v>804</v>
      </c>
      <c r="E78" s="396" t="s">
        <v>868</v>
      </c>
      <c r="F78" s="407" t="s">
        <v>860</v>
      </c>
      <c r="G78" s="402">
        <v>159</v>
      </c>
      <c r="H78" s="403"/>
      <c r="I78" s="403"/>
      <c r="J78" s="403"/>
      <c r="K78" s="403"/>
      <c r="L78" s="403"/>
      <c r="M78" s="403"/>
      <c r="N78" s="403"/>
      <c r="O78" s="403"/>
      <c r="P78" s="403"/>
      <c r="Q78" s="403"/>
      <c r="R78" s="403"/>
      <c r="S78" s="403"/>
      <c r="T78" s="403"/>
      <c r="U78" s="403"/>
      <c r="V78" s="403"/>
      <c r="W78" s="403"/>
      <c r="X78" s="403"/>
      <c r="Y78" s="403"/>
      <c r="Z78" s="403"/>
      <c r="AA78" s="403"/>
      <c r="AB78" s="403"/>
      <c r="AC78" s="403"/>
      <c r="AD78" s="403"/>
      <c r="AE78" s="403"/>
      <c r="AF78" s="403"/>
      <c r="AG78" s="403"/>
    </row>
    <row r="79" spans="2:33" s="4" customFormat="1" ht="51.75" thickBot="1">
      <c r="B79" s="608"/>
      <c r="C79" s="426" t="s">
        <v>815</v>
      </c>
      <c r="D79" s="413" t="s">
        <v>822</v>
      </c>
      <c r="E79" s="396" t="s">
        <v>869</v>
      </c>
      <c r="F79" s="407" t="s">
        <v>862</v>
      </c>
      <c r="G79" s="402">
        <v>159</v>
      </c>
      <c r="H79" s="403"/>
      <c r="I79" s="403"/>
      <c r="J79" s="403"/>
      <c r="K79" s="403"/>
      <c r="L79" s="403"/>
      <c r="M79" s="403"/>
      <c r="N79" s="403"/>
      <c r="O79" s="403"/>
      <c r="P79" s="403"/>
      <c r="Q79" s="403"/>
      <c r="R79" s="403"/>
      <c r="S79" s="403"/>
      <c r="T79" s="403"/>
      <c r="U79" s="403"/>
      <c r="V79" s="403"/>
      <c r="W79" s="403"/>
      <c r="X79" s="403"/>
      <c r="Y79" s="403"/>
      <c r="Z79" s="403"/>
      <c r="AA79" s="403"/>
      <c r="AB79" s="403"/>
      <c r="AC79" s="403"/>
      <c r="AD79" s="403"/>
      <c r="AE79" s="403"/>
      <c r="AF79" s="403"/>
      <c r="AG79" s="403"/>
    </row>
    <row r="80" spans="2:33" s="4" customFormat="1" ht="51.75" thickBot="1">
      <c r="B80" s="609"/>
      <c r="C80" s="427" t="s">
        <v>816</v>
      </c>
      <c r="D80" s="413" t="s">
        <v>823</v>
      </c>
      <c r="E80" s="396" t="s">
        <v>870</v>
      </c>
      <c r="F80" s="407" t="s">
        <v>864</v>
      </c>
      <c r="G80" s="402"/>
      <c r="H80" s="403"/>
      <c r="I80" s="403"/>
      <c r="J80" s="403"/>
      <c r="K80" s="403"/>
      <c r="L80" s="403"/>
      <c r="M80" s="403"/>
      <c r="N80" s="403"/>
      <c r="O80" s="403"/>
      <c r="P80" s="403"/>
      <c r="Q80" s="403"/>
      <c r="R80" s="403"/>
      <c r="S80" s="403"/>
      <c r="T80" s="403"/>
      <c r="U80" s="403"/>
      <c r="V80" s="403"/>
      <c r="W80" s="403"/>
      <c r="X80" s="403"/>
      <c r="Y80" s="403"/>
      <c r="Z80" s="403"/>
      <c r="AA80" s="403"/>
      <c r="AB80" s="403"/>
      <c r="AC80" s="403"/>
      <c r="AD80" s="403"/>
      <c r="AE80" s="403"/>
      <c r="AF80" s="403"/>
      <c r="AG80" s="403"/>
    </row>
    <row r="81" spans="2:33" s="4" customFormat="1" ht="51.75" thickBot="1">
      <c r="B81" s="607" t="s">
        <v>75</v>
      </c>
      <c r="C81" s="432" t="s">
        <v>810</v>
      </c>
      <c r="D81" s="413" t="s">
        <v>805</v>
      </c>
      <c r="E81" s="396" t="s">
        <v>871</v>
      </c>
      <c r="F81" s="407" t="s">
        <v>860</v>
      </c>
      <c r="G81" s="402">
        <v>160</v>
      </c>
      <c r="H81" s="403"/>
      <c r="I81" s="403"/>
      <c r="J81" s="403"/>
      <c r="K81" s="403"/>
      <c r="L81" s="403"/>
      <c r="M81" s="403"/>
      <c r="N81" s="403"/>
      <c r="O81" s="403"/>
      <c r="P81" s="403"/>
      <c r="Q81" s="403"/>
      <c r="R81" s="403"/>
      <c r="S81" s="403"/>
      <c r="T81" s="403"/>
      <c r="U81" s="403"/>
      <c r="V81" s="403"/>
      <c r="W81" s="403"/>
      <c r="X81" s="403"/>
      <c r="Y81" s="403"/>
      <c r="Z81" s="403"/>
      <c r="AA81" s="403"/>
      <c r="AB81" s="403"/>
      <c r="AC81" s="403"/>
      <c r="AD81" s="403"/>
      <c r="AE81" s="403"/>
      <c r="AF81" s="403"/>
      <c r="AG81" s="403"/>
    </row>
    <row r="82" spans="2:33" s="4" customFormat="1" ht="51.75" thickBot="1">
      <c r="B82" s="608"/>
      <c r="C82" s="426" t="s">
        <v>826</v>
      </c>
      <c r="D82" s="413" t="s">
        <v>824</v>
      </c>
      <c r="E82" s="396" t="s">
        <v>872</v>
      </c>
      <c r="F82" s="407" t="s">
        <v>862</v>
      </c>
      <c r="G82" s="402">
        <v>160</v>
      </c>
      <c r="H82" s="403"/>
      <c r="I82" s="403"/>
      <c r="J82" s="403"/>
      <c r="K82" s="403"/>
      <c r="L82" s="403"/>
      <c r="M82" s="403"/>
      <c r="N82" s="403"/>
      <c r="O82" s="403"/>
      <c r="P82" s="403"/>
      <c r="Q82" s="403"/>
      <c r="R82" s="403"/>
      <c r="S82" s="403"/>
      <c r="T82" s="403"/>
      <c r="U82" s="403"/>
      <c r="V82" s="403"/>
      <c r="W82" s="403"/>
      <c r="X82" s="403"/>
      <c r="Y82" s="403"/>
      <c r="Z82" s="403"/>
      <c r="AA82" s="403"/>
      <c r="AB82" s="403"/>
      <c r="AC82" s="403"/>
      <c r="AD82" s="403"/>
      <c r="AE82" s="403"/>
      <c r="AF82" s="403"/>
      <c r="AG82" s="403"/>
    </row>
    <row r="83" spans="2:33" s="4" customFormat="1" ht="51.75" thickBot="1">
      <c r="B83" s="609"/>
      <c r="C83" s="427" t="s">
        <v>827</v>
      </c>
      <c r="D83" s="413" t="s">
        <v>825</v>
      </c>
      <c r="E83" s="396" t="s">
        <v>873</v>
      </c>
      <c r="F83" s="407" t="s">
        <v>864</v>
      </c>
      <c r="G83" s="402"/>
      <c r="H83" s="403"/>
      <c r="I83" s="403"/>
      <c r="J83" s="403"/>
      <c r="K83" s="403"/>
      <c r="L83" s="403"/>
      <c r="M83" s="403"/>
      <c r="N83" s="403"/>
      <c r="O83" s="403"/>
      <c r="P83" s="403"/>
      <c r="Q83" s="403"/>
      <c r="R83" s="403"/>
      <c r="S83" s="403"/>
      <c r="T83" s="403"/>
      <c r="U83" s="403"/>
      <c r="V83" s="403"/>
      <c r="W83" s="403"/>
      <c r="X83" s="403"/>
      <c r="Y83" s="403"/>
      <c r="Z83" s="403"/>
      <c r="AA83" s="403"/>
      <c r="AB83" s="403"/>
      <c r="AC83" s="403"/>
      <c r="AD83" s="403"/>
      <c r="AE83" s="403"/>
      <c r="AF83" s="403"/>
      <c r="AG83" s="403"/>
    </row>
    <row r="84" spans="2:33" s="4" customFormat="1" ht="51.75" thickBot="1">
      <c r="B84" s="608" t="s">
        <v>421</v>
      </c>
      <c r="C84" s="426" t="s">
        <v>811</v>
      </c>
      <c r="D84" s="413" t="s">
        <v>806</v>
      </c>
      <c r="E84" s="396" t="s">
        <v>874</v>
      </c>
      <c r="F84" s="407" t="s">
        <v>860</v>
      </c>
      <c r="G84" s="402">
        <v>161</v>
      </c>
      <c r="H84" s="403"/>
      <c r="I84" s="403"/>
      <c r="J84" s="403"/>
      <c r="K84" s="403"/>
      <c r="L84" s="403"/>
      <c r="M84" s="403"/>
      <c r="N84" s="403"/>
      <c r="O84" s="403"/>
      <c r="P84" s="403"/>
      <c r="Q84" s="403"/>
      <c r="R84" s="403"/>
      <c r="S84" s="403"/>
      <c r="T84" s="403"/>
      <c r="U84" s="403"/>
      <c r="V84" s="403"/>
      <c r="W84" s="403"/>
      <c r="X84" s="403"/>
      <c r="Y84" s="403"/>
      <c r="Z84" s="403"/>
      <c r="AA84" s="403"/>
      <c r="AB84" s="403"/>
      <c r="AC84" s="403"/>
      <c r="AD84" s="403"/>
      <c r="AE84" s="403"/>
      <c r="AF84" s="403"/>
      <c r="AG84" s="403"/>
    </row>
    <row r="85" spans="2:33" s="4" customFormat="1" ht="51.75" thickBot="1">
      <c r="B85" s="608"/>
      <c r="C85" s="426" t="s">
        <v>829</v>
      </c>
      <c r="D85" s="413" t="s">
        <v>830</v>
      </c>
      <c r="E85" s="396" t="s">
        <v>875</v>
      </c>
      <c r="F85" s="407" t="s">
        <v>862</v>
      </c>
      <c r="G85" s="402">
        <v>157</v>
      </c>
      <c r="H85" s="403"/>
      <c r="I85" s="403"/>
      <c r="J85" s="403"/>
      <c r="K85" s="403"/>
      <c r="L85" s="403"/>
      <c r="M85" s="403"/>
      <c r="N85" s="403"/>
      <c r="O85" s="403"/>
      <c r="P85" s="403"/>
      <c r="Q85" s="403"/>
      <c r="R85" s="403"/>
      <c r="S85" s="403"/>
      <c r="T85" s="403"/>
      <c r="U85" s="403"/>
      <c r="V85" s="403"/>
      <c r="W85" s="403"/>
      <c r="X85" s="403"/>
      <c r="Y85" s="403"/>
      <c r="Z85" s="403"/>
      <c r="AA85" s="403"/>
      <c r="AB85" s="403"/>
      <c r="AC85" s="403"/>
      <c r="AD85" s="403"/>
      <c r="AE85" s="403"/>
      <c r="AF85" s="403"/>
      <c r="AG85" s="403"/>
    </row>
    <row r="86" spans="2:33" s="4" customFormat="1" ht="51.75" thickBot="1">
      <c r="B86" s="633"/>
      <c r="C86" s="426" t="s">
        <v>828</v>
      </c>
      <c r="D86" s="412" t="s">
        <v>831</v>
      </c>
      <c r="E86" s="396" t="s">
        <v>876</v>
      </c>
      <c r="F86" s="407" t="s">
        <v>864</v>
      </c>
      <c r="G86" s="402"/>
      <c r="H86" s="403"/>
      <c r="I86" s="403"/>
      <c r="J86" s="403"/>
      <c r="K86" s="403"/>
      <c r="L86" s="403"/>
      <c r="M86" s="403"/>
      <c r="N86" s="403"/>
      <c r="O86" s="403"/>
      <c r="P86" s="403"/>
      <c r="Q86" s="403"/>
      <c r="R86" s="403"/>
      <c r="S86" s="403"/>
      <c r="T86" s="403"/>
      <c r="U86" s="403"/>
      <c r="V86" s="403"/>
      <c r="W86" s="403"/>
      <c r="X86" s="403"/>
      <c r="Y86" s="403"/>
      <c r="Z86" s="403"/>
      <c r="AA86" s="403"/>
      <c r="AB86" s="403"/>
      <c r="AC86" s="403"/>
      <c r="AD86" s="403"/>
      <c r="AE86" s="403"/>
      <c r="AF86" s="403"/>
      <c r="AG86" s="403"/>
    </row>
    <row r="87" spans="2:33" ht="27.75" thickBot="1">
      <c r="B87" s="652" t="s">
        <v>942</v>
      </c>
      <c r="C87" s="653"/>
      <c r="D87" s="653"/>
      <c r="E87" s="653"/>
      <c r="F87" s="654"/>
      <c r="G87" s="389"/>
      <c r="H87" s="389"/>
      <c r="I87" s="389"/>
      <c r="J87" s="389"/>
      <c r="K87" s="389"/>
      <c r="L87" s="389"/>
      <c r="M87" s="389"/>
      <c r="N87" s="389"/>
      <c r="O87" s="389"/>
      <c r="P87" s="389"/>
      <c r="Q87" s="389"/>
      <c r="R87" s="389"/>
      <c r="S87" s="389"/>
      <c r="T87" s="389"/>
      <c r="U87" s="389"/>
      <c r="V87" s="389"/>
      <c r="W87" s="389"/>
      <c r="X87" s="389"/>
      <c r="Y87" s="389"/>
      <c r="Z87" s="389"/>
      <c r="AA87" s="389"/>
      <c r="AB87" s="389"/>
      <c r="AC87" s="389"/>
      <c r="AD87" s="389"/>
      <c r="AE87" s="389"/>
      <c r="AF87" s="389"/>
      <c r="AG87" s="389"/>
    </row>
    <row r="88" spans="2:33" ht="27.75" thickBot="1">
      <c r="B88" s="663" t="s">
        <v>99</v>
      </c>
      <c r="C88" s="434" t="s">
        <v>100</v>
      </c>
      <c r="D88" s="395" t="s">
        <v>248</v>
      </c>
      <c r="E88" s="396" t="s">
        <v>461</v>
      </c>
      <c r="F88" s="400" t="s">
        <v>462</v>
      </c>
      <c r="G88" s="389"/>
      <c r="H88" s="389"/>
      <c r="I88" s="389"/>
      <c r="J88" s="389"/>
      <c r="K88" s="389"/>
      <c r="L88" s="389"/>
      <c r="M88" s="389"/>
      <c r="N88" s="389"/>
      <c r="O88" s="389"/>
      <c r="P88" s="389"/>
      <c r="Q88" s="389"/>
      <c r="R88" s="389"/>
      <c r="S88" s="389"/>
      <c r="T88" s="389"/>
      <c r="U88" s="389"/>
      <c r="V88" s="389"/>
      <c r="W88" s="389"/>
      <c r="X88" s="389"/>
      <c r="Y88" s="389"/>
      <c r="Z88" s="389"/>
      <c r="AA88" s="389"/>
      <c r="AB88" s="389"/>
      <c r="AC88" s="389"/>
      <c r="AD88" s="389"/>
      <c r="AE88" s="389"/>
      <c r="AF88" s="389"/>
      <c r="AG88" s="389"/>
    </row>
    <row r="89" spans="2:33" ht="51.75" thickBot="1">
      <c r="B89" s="663"/>
      <c r="C89" s="430" t="s">
        <v>101</v>
      </c>
      <c r="D89" s="398" t="s">
        <v>249</v>
      </c>
      <c r="E89" s="396" t="s">
        <v>463</v>
      </c>
      <c r="F89" s="400" t="s">
        <v>464</v>
      </c>
      <c r="G89" s="389"/>
      <c r="H89" s="389"/>
      <c r="I89" s="389"/>
      <c r="J89" s="389"/>
      <c r="K89" s="389"/>
      <c r="L89" s="389"/>
      <c r="M89" s="389"/>
      <c r="N89" s="389"/>
      <c r="O89" s="389"/>
      <c r="P89" s="389"/>
      <c r="Q89" s="389"/>
      <c r="R89" s="389"/>
      <c r="S89" s="389"/>
      <c r="T89" s="389"/>
      <c r="U89" s="389"/>
      <c r="V89" s="389"/>
      <c r="W89" s="389"/>
      <c r="X89" s="389"/>
      <c r="Y89" s="389"/>
      <c r="Z89" s="389"/>
      <c r="AA89" s="389"/>
      <c r="AB89" s="389"/>
      <c r="AC89" s="389"/>
      <c r="AD89" s="389"/>
      <c r="AE89" s="389"/>
      <c r="AF89" s="389"/>
      <c r="AG89" s="389"/>
    </row>
    <row r="90" spans="2:33" ht="51.75" thickBot="1">
      <c r="B90" s="664"/>
      <c r="C90" s="431" t="s">
        <v>102</v>
      </c>
      <c r="D90" s="399" t="s">
        <v>250</v>
      </c>
      <c r="E90" s="396" t="s">
        <v>465</v>
      </c>
      <c r="F90" s="400" t="s">
        <v>466</v>
      </c>
      <c r="G90" s="389"/>
      <c r="H90" s="389"/>
      <c r="I90" s="389"/>
      <c r="J90" s="389"/>
      <c r="K90" s="389"/>
      <c r="L90" s="389"/>
      <c r="M90" s="389"/>
      <c r="N90" s="389"/>
      <c r="O90" s="389"/>
      <c r="P90" s="389"/>
      <c r="Q90" s="389"/>
      <c r="R90" s="389"/>
      <c r="S90" s="389"/>
      <c r="T90" s="389"/>
      <c r="U90" s="389"/>
      <c r="V90" s="389"/>
      <c r="W90" s="389"/>
      <c r="X90" s="389"/>
      <c r="Y90" s="389"/>
      <c r="Z90" s="389"/>
      <c r="AA90" s="389"/>
      <c r="AB90" s="389"/>
      <c r="AC90" s="389"/>
      <c r="AD90" s="389"/>
      <c r="AE90" s="389"/>
      <c r="AF90" s="389"/>
      <c r="AG90" s="389"/>
    </row>
    <row r="91" spans="2:33" ht="29.25" thickBot="1">
      <c r="B91" s="591" t="s">
        <v>1045</v>
      </c>
      <c r="C91" s="592"/>
      <c r="D91" s="593"/>
      <c r="E91" s="592"/>
      <c r="F91" s="592"/>
      <c r="G91" s="592"/>
      <c r="H91" s="592"/>
      <c r="I91" s="592"/>
      <c r="J91" s="592"/>
      <c r="K91" s="592"/>
      <c r="L91" s="592"/>
      <c r="M91" s="592"/>
      <c r="N91" s="592"/>
      <c r="O91" s="592"/>
      <c r="P91" s="592"/>
      <c r="Q91" s="592"/>
      <c r="R91" s="592"/>
      <c r="S91" s="592"/>
      <c r="T91" s="592"/>
      <c r="U91" s="592"/>
      <c r="V91" s="592"/>
      <c r="W91" s="592"/>
      <c r="X91" s="592"/>
      <c r="Y91" s="592"/>
      <c r="Z91" s="592"/>
      <c r="AA91" s="592"/>
      <c r="AB91" s="592"/>
      <c r="AC91" s="592"/>
      <c r="AD91" s="592"/>
      <c r="AE91" s="592"/>
      <c r="AF91" s="592"/>
      <c r="AG91" s="594"/>
    </row>
    <row r="92" spans="2:33" ht="27.75" thickBot="1">
      <c r="B92" s="409"/>
      <c r="C92" s="410"/>
      <c r="D92" s="410"/>
      <c r="E92" s="410"/>
      <c r="F92" s="468"/>
      <c r="G92" s="389"/>
      <c r="H92" s="389"/>
      <c r="I92" s="389"/>
      <c r="J92" s="389"/>
      <c r="K92" s="389"/>
      <c r="L92" s="389"/>
      <c r="M92" s="389"/>
      <c r="N92" s="389"/>
      <c r="O92" s="389"/>
      <c r="P92" s="389"/>
      <c r="Q92" s="389"/>
      <c r="R92" s="389"/>
      <c r="S92" s="389"/>
      <c r="T92" s="389"/>
      <c r="U92" s="389"/>
      <c r="V92" s="389"/>
      <c r="W92" s="389"/>
      <c r="X92" s="389"/>
      <c r="Y92" s="389"/>
      <c r="Z92" s="389"/>
      <c r="AA92" s="389"/>
      <c r="AB92" s="389"/>
      <c r="AC92" s="389"/>
      <c r="AD92" s="389"/>
      <c r="AE92" s="389"/>
      <c r="AF92" s="389"/>
      <c r="AG92" s="389"/>
    </row>
    <row r="93" spans="2:33" ht="47.25" thickBot="1">
      <c r="B93" s="611" t="s">
        <v>75</v>
      </c>
      <c r="C93" s="469" t="s">
        <v>168</v>
      </c>
      <c r="D93" s="470" t="s">
        <v>251</v>
      </c>
      <c r="E93" s="471" t="s">
        <v>467</v>
      </c>
      <c r="F93" s="472" t="s">
        <v>468</v>
      </c>
      <c r="G93" s="473"/>
      <c r="H93" s="473"/>
      <c r="I93" s="473"/>
      <c r="J93" s="473"/>
      <c r="K93" s="473"/>
      <c r="L93" s="473"/>
      <c r="M93" s="473"/>
      <c r="N93" s="473"/>
      <c r="O93" s="473"/>
      <c r="P93" s="473"/>
      <c r="Q93" s="473"/>
      <c r="R93" s="473"/>
      <c r="S93" s="473"/>
      <c r="T93" s="473"/>
      <c r="U93" s="473"/>
      <c r="V93" s="473"/>
      <c r="W93" s="473"/>
      <c r="X93" s="473"/>
      <c r="Y93" s="473"/>
      <c r="Z93" s="473"/>
      <c r="AA93" s="473"/>
      <c r="AB93" s="473"/>
      <c r="AC93" s="473"/>
      <c r="AD93" s="473"/>
      <c r="AE93" s="473"/>
      <c r="AF93" s="473"/>
      <c r="AG93" s="473"/>
    </row>
    <row r="94" spans="2:33" ht="47.25" thickBot="1">
      <c r="B94" s="612"/>
      <c r="C94" s="474" t="s">
        <v>170</v>
      </c>
      <c r="D94" s="475" t="s">
        <v>252</v>
      </c>
      <c r="E94" s="471" t="s">
        <v>469</v>
      </c>
      <c r="F94" s="472" t="s">
        <v>470</v>
      </c>
      <c r="G94" s="473"/>
      <c r="H94" s="473"/>
      <c r="I94" s="473"/>
      <c r="J94" s="473"/>
      <c r="K94" s="473"/>
      <c r="L94" s="473"/>
      <c r="M94" s="473"/>
      <c r="N94" s="473"/>
      <c r="O94" s="473"/>
      <c r="P94" s="473"/>
      <c r="Q94" s="473"/>
      <c r="R94" s="473"/>
      <c r="S94" s="473"/>
      <c r="T94" s="473"/>
      <c r="U94" s="473"/>
      <c r="V94" s="473"/>
      <c r="W94" s="473"/>
      <c r="X94" s="473"/>
      <c r="Y94" s="473"/>
      <c r="Z94" s="473"/>
      <c r="AA94" s="473"/>
      <c r="AB94" s="473"/>
      <c r="AC94" s="473"/>
      <c r="AD94" s="473"/>
      <c r="AE94" s="473"/>
      <c r="AF94" s="473"/>
      <c r="AG94" s="473"/>
    </row>
    <row r="95" spans="2:33" ht="47.25" thickBot="1">
      <c r="B95" s="612"/>
      <c r="C95" s="476" t="s">
        <v>169</v>
      </c>
      <c r="D95" s="470" t="s">
        <v>253</v>
      </c>
      <c r="E95" s="471" t="s">
        <v>471</v>
      </c>
      <c r="F95" s="472" t="s">
        <v>468</v>
      </c>
      <c r="G95" s="473"/>
      <c r="H95" s="473"/>
      <c r="I95" s="473"/>
      <c r="J95" s="473"/>
      <c r="K95" s="473"/>
      <c r="L95" s="473"/>
      <c r="M95" s="473"/>
      <c r="N95" s="473"/>
      <c r="O95" s="473"/>
      <c r="P95" s="473"/>
      <c r="Q95" s="473"/>
      <c r="R95" s="473"/>
      <c r="S95" s="473"/>
      <c r="T95" s="473"/>
      <c r="U95" s="473"/>
      <c r="V95" s="473"/>
      <c r="W95" s="473"/>
      <c r="X95" s="473"/>
      <c r="Y95" s="473"/>
      <c r="Z95" s="473"/>
      <c r="AA95" s="473"/>
      <c r="AB95" s="473"/>
      <c r="AC95" s="473"/>
      <c r="AD95" s="473"/>
      <c r="AE95" s="473"/>
      <c r="AF95" s="473"/>
      <c r="AG95" s="473"/>
    </row>
    <row r="96" spans="2:33" ht="47.25" thickBot="1">
      <c r="B96" s="613"/>
      <c r="C96" s="477" t="s">
        <v>171</v>
      </c>
      <c r="D96" s="475" t="s">
        <v>254</v>
      </c>
      <c r="E96" s="471" t="s">
        <v>472</v>
      </c>
      <c r="F96" s="472" t="s">
        <v>470</v>
      </c>
      <c r="G96" s="473"/>
      <c r="H96" s="473"/>
      <c r="I96" s="473"/>
      <c r="J96" s="473"/>
      <c r="K96" s="473"/>
      <c r="L96" s="473"/>
      <c r="M96" s="473"/>
      <c r="N96" s="473"/>
      <c r="O96" s="473"/>
      <c r="P96" s="473"/>
      <c r="Q96" s="473"/>
      <c r="R96" s="473"/>
      <c r="S96" s="473"/>
      <c r="T96" s="473"/>
      <c r="U96" s="473"/>
      <c r="V96" s="473"/>
      <c r="W96" s="473"/>
      <c r="X96" s="473"/>
      <c r="Y96" s="473"/>
      <c r="Z96" s="473"/>
      <c r="AA96" s="473"/>
      <c r="AB96" s="473"/>
      <c r="AC96" s="473"/>
      <c r="AD96" s="473"/>
      <c r="AE96" s="473"/>
      <c r="AF96" s="473"/>
      <c r="AG96" s="473"/>
    </row>
    <row r="97" spans="2:33" ht="47.25" thickBot="1">
      <c r="B97" s="614" t="s">
        <v>421</v>
      </c>
      <c r="C97" s="478" t="s">
        <v>168</v>
      </c>
      <c r="D97" s="470" t="s">
        <v>255</v>
      </c>
      <c r="E97" s="471" t="s">
        <v>473</v>
      </c>
      <c r="F97" s="472" t="s">
        <v>468</v>
      </c>
      <c r="G97" s="473"/>
      <c r="H97" s="473"/>
      <c r="I97" s="473"/>
      <c r="J97" s="473"/>
      <c r="K97" s="473"/>
      <c r="L97" s="473"/>
      <c r="M97" s="473"/>
      <c r="N97" s="473"/>
      <c r="O97" s="473"/>
      <c r="P97" s="473"/>
      <c r="Q97" s="473"/>
      <c r="R97" s="473"/>
      <c r="S97" s="473"/>
      <c r="T97" s="473"/>
      <c r="U97" s="473"/>
      <c r="V97" s="473"/>
      <c r="W97" s="473"/>
      <c r="X97" s="473"/>
      <c r="Y97" s="473"/>
      <c r="Z97" s="473"/>
      <c r="AA97" s="473"/>
      <c r="AB97" s="473"/>
      <c r="AC97" s="473"/>
      <c r="AD97" s="473"/>
      <c r="AE97" s="473"/>
      <c r="AF97" s="473"/>
      <c r="AG97" s="473"/>
    </row>
    <row r="98" spans="2:33" ht="47.25" thickBot="1">
      <c r="B98" s="615"/>
      <c r="C98" s="479" t="s">
        <v>170</v>
      </c>
      <c r="D98" s="475" t="s">
        <v>256</v>
      </c>
      <c r="E98" s="471" t="s">
        <v>474</v>
      </c>
      <c r="F98" s="472" t="s">
        <v>470</v>
      </c>
      <c r="G98" s="473"/>
      <c r="H98" s="473"/>
      <c r="I98" s="473"/>
      <c r="J98" s="473"/>
      <c r="K98" s="473"/>
      <c r="L98" s="473"/>
      <c r="M98" s="473"/>
      <c r="N98" s="473"/>
      <c r="O98" s="473"/>
      <c r="P98" s="473"/>
      <c r="Q98" s="473"/>
      <c r="R98" s="473"/>
      <c r="S98" s="473"/>
      <c r="T98" s="473"/>
      <c r="U98" s="473"/>
      <c r="V98" s="473"/>
      <c r="W98" s="473"/>
      <c r="X98" s="473"/>
      <c r="Y98" s="473"/>
      <c r="Z98" s="473"/>
      <c r="AA98" s="473"/>
      <c r="AB98" s="473"/>
      <c r="AC98" s="473"/>
      <c r="AD98" s="473"/>
      <c r="AE98" s="473"/>
      <c r="AF98" s="473"/>
      <c r="AG98" s="473"/>
    </row>
    <row r="99" spans="2:33" ht="47.25" thickBot="1">
      <c r="B99" s="615"/>
      <c r="C99" s="476" t="s">
        <v>169</v>
      </c>
      <c r="D99" s="470" t="s">
        <v>257</v>
      </c>
      <c r="E99" s="471" t="s">
        <v>475</v>
      </c>
      <c r="F99" s="472" t="s">
        <v>468</v>
      </c>
      <c r="G99" s="473"/>
      <c r="H99" s="473"/>
      <c r="I99" s="473"/>
      <c r="J99" s="473"/>
      <c r="K99" s="473"/>
      <c r="L99" s="473"/>
      <c r="M99" s="473"/>
      <c r="N99" s="473"/>
      <c r="O99" s="473"/>
      <c r="P99" s="473"/>
      <c r="Q99" s="473"/>
      <c r="R99" s="473"/>
      <c r="S99" s="473"/>
      <c r="T99" s="473"/>
      <c r="U99" s="473"/>
      <c r="V99" s="473"/>
      <c r="W99" s="473"/>
      <c r="X99" s="473"/>
      <c r="Y99" s="473"/>
      <c r="Z99" s="473"/>
      <c r="AA99" s="473"/>
      <c r="AB99" s="473"/>
      <c r="AC99" s="473"/>
      <c r="AD99" s="473"/>
      <c r="AE99" s="473"/>
      <c r="AF99" s="473"/>
      <c r="AG99" s="473"/>
    </row>
    <row r="100" spans="2:33" ht="47.25" thickBot="1">
      <c r="B100" s="616"/>
      <c r="C100" s="477" t="s">
        <v>171</v>
      </c>
      <c r="D100" s="475" t="s">
        <v>258</v>
      </c>
      <c r="E100" s="471" t="s">
        <v>476</v>
      </c>
      <c r="F100" s="472" t="s">
        <v>470</v>
      </c>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row>
    <row r="101" spans="2:33" ht="47.25" thickBot="1">
      <c r="B101" s="611" t="s">
        <v>78</v>
      </c>
      <c r="C101" s="478" t="s">
        <v>168</v>
      </c>
      <c r="D101" s="470" t="s">
        <v>259</v>
      </c>
      <c r="E101" s="471" t="s">
        <v>477</v>
      </c>
      <c r="F101" s="472" t="s">
        <v>468</v>
      </c>
      <c r="G101" s="473"/>
      <c r="H101" s="473"/>
      <c r="I101" s="473"/>
      <c r="J101" s="473"/>
      <c r="K101" s="473"/>
      <c r="L101" s="473"/>
      <c r="M101" s="473"/>
      <c r="N101" s="473"/>
      <c r="O101" s="473"/>
      <c r="P101" s="473"/>
      <c r="Q101" s="473"/>
      <c r="R101" s="473"/>
      <c r="S101" s="473"/>
      <c r="T101" s="473"/>
      <c r="U101" s="473"/>
      <c r="V101" s="473"/>
      <c r="W101" s="473"/>
      <c r="X101" s="473"/>
      <c r="Y101" s="473"/>
      <c r="Z101" s="473"/>
      <c r="AA101" s="473"/>
      <c r="AB101" s="473"/>
      <c r="AC101" s="473"/>
      <c r="AD101" s="473"/>
      <c r="AE101" s="473"/>
      <c r="AF101" s="473"/>
      <c r="AG101" s="473"/>
    </row>
    <row r="102" spans="2:33" ht="47.25" thickBot="1">
      <c r="B102" s="612"/>
      <c r="C102" s="479" t="s">
        <v>170</v>
      </c>
      <c r="D102" s="475" t="s">
        <v>260</v>
      </c>
      <c r="E102" s="471" t="s">
        <v>478</v>
      </c>
      <c r="F102" s="472" t="s">
        <v>470</v>
      </c>
      <c r="G102" s="473"/>
      <c r="H102" s="473"/>
      <c r="I102" s="473"/>
      <c r="J102" s="473"/>
      <c r="K102" s="473"/>
      <c r="L102" s="473"/>
      <c r="M102" s="473"/>
      <c r="N102" s="473"/>
      <c r="O102" s="473"/>
      <c r="P102" s="473"/>
      <c r="Q102" s="473"/>
      <c r="R102" s="473"/>
      <c r="S102" s="473"/>
      <c r="T102" s="473"/>
      <c r="U102" s="473"/>
      <c r="V102" s="473"/>
      <c r="W102" s="473"/>
      <c r="X102" s="473"/>
      <c r="Y102" s="473"/>
      <c r="Z102" s="473"/>
      <c r="AA102" s="473"/>
      <c r="AB102" s="473"/>
      <c r="AC102" s="473"/>
      <c r="AD102" s="473"/>
      <c r="AE102" s="473"/>
      <c r="AF102" s="473"/>
      <c r="AG102" s="473"/>
    </row>
    <row r="103" spans="2:33" ht="47.25" thickBot="1">
      <c r="B103" s="612"/>
      <c r="C103" s="476" t="s">
        <v>169</v>
      </c>
      <c r="D103" s="470" t="s">
        <v>261</v>
      </c>
      <c r="E103" s="471" t="s">
        <v>479</v>
      </c>
      <c r="F103" s="472" t="s">
        <v>468</v>
      </c>
      <c r="G103" s="473"/>
      <c r="H103" s="473"/>
      <c r="I103" s="473"/>
      <c r="J103" s="473"/>
      <c r="K103" s="473"/>
      <c r="L103" s="473"/>
      <c r="M103" s="473"/>
      <c r="N103" s="473"/>
      <c r="O103" s="473"/>
      <c r="P103" s="473"/>
      <c r="Q103" s="473"/>
      <c r="R103" s="473"/>
      <c r="S103" s="473"/>
      <c r="T103" s="473"/>
      <c r="U103" s="473"/>
      <c r="V103" s="473"/>
      <c r="W103" s="473"/>
      <c r="X103" s="473"/>
      <c r="Y103" s="473"/>
      <c r="Z103" s="473"/>
      <c r="AA103" s="473"/>
      <c r="AB103" s="473"/>
      <c r="AC103" s="473"/>
      <c r="AD103" s="473"/>
      <c r="AE103" s="473"/>
      <c r="AF103" s="473"/>
      <c r="AG103" s="473"/>
    </row>
    <row r="104" spans="2:33" ht="47.25" thickBot="1">
      <c r="B104" s="613"/>
      <c r="C104" s="477" t="s">
        <v>171</v>
      </c>
      <c r="D104" s="475" t="s">
        <v>262</v>
      </c>
      <c r="E104" s="471" t="s">
        <v>480</v>
      </c>
      <c r="F104" s="472" t="s">
        <v>470</v>
      </c>
      <c r="G104" s="473"/>
      <c r="H104" s="473"/>
      <c r="I104" s="473"/>
      <c r="J104" s="473"/>
      <c r="K104" s="473"/>
      <c r="L104" s="473"/>
      <c r="M104" s="473"/>
      <c r="N104" s="473"/>
      <c r="O104" s="473"/>
      <c r="P104" s="473"/>
      <c r="Q104" s="473"/>
      <c r="R104" s="473"/>
      <c r="S104" s="473"/>
      <c r="T104" s="473"/>
      <c r="U104" s="473"/>
      <c r="V104" s="473"/>
      <c r="W104" s="473"/>
      <c r="X104" s="473"/>
      <c r="Y104" s="473"/>
      <c r="Z104" s="473"/>
      <c r="AA104" s="473"/>
      <c r="AB104" s="473"/>
      <c r="AC104" s="473"/>
      <c r="AD104" s="473"/>
      <c r="AE104" s="473"/>
      <c r="AF104" s="473"/>
      <c r="AG104" s="473"/>
    </row>
    <row r="105" spans="2:33" ht="47.25" thickBot="1">
      <c r="B105" s="614" t="s">
        <v>166</v>
      </c>
      <c r="C105" s="478" t="s">
        <v>168</v>
      </c>
      <c r="D105" s="470" t="s">
        <v>263</v>
      </c>
      <c r="E105" s="471" t="s">
        <v>481</v>
      </c>
      <c r="F105" s="472" t="s">
        <v>468</v>
      </c>
      <c r="G105" s="473"/>
      <c r="H105" s="473"/>
      <c r="I105" s="473"/>
      <c r="J105" s="473"/>
      <c r="K105" s="473"/>
      <c r="L105" s="473"/>
      <c r="M105" s="473"/>
      <c r="N105" s="473"/>
      <c r="O105" s="473"/>
      <c r="P105" s="473"/>
      <c r="Q105" s="473"/>
      <c r="R105" s="473"/>
      <c r="S105" s="473"/>
      <c r="T105" s="473"/>
      <c r="U105" s="473"/>
      <c r="V105" s="473"/>
      <c r="W105" s="473"/>
      <c r="X105" s="473"/>
      <c r="Y105" s="473"/>
      <c r="Z105" s="473"/>
      <c r="AA105" s="473"/>
      <c r="AB105" s="473"/>
      <c r="AC105" s="473"/>
      <c r="AD105" s="473"/>
      <c r="AE105" s="473"/>
      <c r="AF105" s="473"/>
      <c r="AG105" s="473"/>
    </row>
    <row r="106" spans="2:33" ht="47.25" thickBot="1">
      <c r="B106" s="615"/>
      <c r="C106" s="479" t="s">
        <v>170</v>
      </c>
      <c r="D106" s="475" t="s">
        <v>264</v>
      </c>
      <c r="E106" s="471" t="s">
        <v>482</v>
      </c>
      <c r="F106" s="472" t="s">
        <v>470</v>
      </c>
      <c r="G106" s="473"/>
      <c r="H106" s="473"/>
      <c r="I106" s="473"/>
      <c r="J106" s="473"/>
      <c r="K106" s="473"/>
      <c r="L106" s="473"/>
      <c r="M106" s="473"/>
      <c r="N106" s="473"/>
      <c r="O106" s="473"/>
      <c r="P106" s="473"/>
      <c r="Q106" s="473"/>
      <c r="R106" s="473"/>
      <c r="S106" s="473"/>
      <c r="T106" s="473"/>
      <c r="U106" s="473"/>
      <c r="V106" s="473"/>
      <c r="W106" s="473"/>
      <c r="X106" s="473"/>
      <c r="Y106" s="473"/>
      <c r="Z106" s="473"/>
      <c r="AA106" s="473"/>
      <c r="AB106" s="473"/>
      <c r="AC106" s="473"/>
      <c r="AD106" s="473"/>
      <c r="AE106" s="473"/>
      <c r="AF106" s="473"/>
      <c r="AG106" s="473"/>
    </row>
    <row r="107" spans="2:33" ht="47.25" thickBot="1">
      <c r="B107" s="615"/>
      <c r="C107" s="476" t="s">
        <v>169</v>
      </c>
      <c r="D107" s="470" t="s">
        <v>265</v>
      </c>
      <c r="E107" s="471" t="s">
        <v>483</v>
      </c>
      <c r="F107" s="472" t="s">
        <v>468</v>
      </c>
      <c r="G107" s="473"/>
      <c r="H107" s="473"/>
      <c r="I107" s="473"/>
      <c r="J107" s="473"/>
      <c r="K107" s="473"/>
      <c r="L107" s="473"/>
      <c r="M107" s="473"/>
      <c r="N107" s="473"/>
      <c r="O107" s="473"/>
      <c r="P107" s="473"/>
      <c r="Q107" s="473"/>
      <c r="R107" s="473"/>
      <c r="S107" s="473"/>
      <c r="T107" s="473"/>
      <c r="U107" s="473"/>
      <c r="V107" s="473"/>
      <c r="W107" s="473"/>
      <c r="X107" s="473"/>
      <c r="Y107" s="473"/>
      <c r="Z107" s="473"/>
      <c r="AA107" s="473"/>
      <c r="AB107" s="473"/>
      <c r="AC107" s="473"/>
      <c r="AD107" s="473"/>
      <c r="AE107" s="473"/>
      <c r="AF107" s="473"/>
      <c r="AG107" s="473"/>
    </row>
    <row r="108" spans="2:33" ht="47.25" thickBot="1">
      <c r="B108" s="616"/>
      <c r="C108" s="477" t="s">
        <v>171</v>
      </c>
      <c r="D108" s="475" t="s">
        <v>266</v>
      </c>
      <c r="E108" s="471" t="s">
        <v>484</v>
      </c>
      <c r="F108" s="472" t="s">
        <v>470</v>
      </c>
      <c r="G108" s="473"/>
      <c r="H108" s="473"/>
      <c r="I108" s="473"/>
      <c r="J108" s="473"/>
      <c r="K108" s="473"/>
      <c r="L108" s="473"/>
      <c r="M108" s="473"/>
      <c r="N108" s="473"/>
      <c r="O108" s="473"/>
      <c r="P108" s="473"/>
      <c r="Q108" s="473"/>
      <c r="R108" s="473"/>
      <c r="S108" s="473"/>
      <c r="T108" s="473"/>
      <c r="U108" s="473"/>
      <c r="V108" s="473"/>
      <c r="W108" s="473"/>
      <c r="X108" s="473"/>
      <c r="Y108" s="473"/>
      <c r="Z108" s="473"/>
      <c r="AA108" s="473"/>
      <c r="AB108" s="473"/>
      <c r="AC108" s="473"/>
      <c r="AD108" s="473"/>
      <c r="AE108" s="473"/>
      <c r="AF108" s="473"/>
      <c r="AG108" s="473"/>
    </row>
    <row r="109" spans="2:33" ht="47.25" thickBot="1">
      <c r="B109" s="614" t="s">
        <v>76</v>
      </c>
      <c r="C109" s="478" t="s">
        <v>168</v>
      </c>
      <c r="D109" s="470" t="s">
        <v>267</v>
      </c>
      <c r="E109" s="471" t="s">
        <v>485</v>
      </c>
      <c r="F109" s="472" t="s">
        <v>468</v>
      </c>
      <c r="G109" s="473"/>
      <c r="H109" s="473"/>
      <c r="I109" s="473"/>
      <c r="J109" s="473"/>
      <c r="K109" s="473"/>
      <c r="L109" s="473"/>
      <c r="M109" s="473"/>
      <c r="N109" s="473"/>
      <c r="O109" s="473"/>
      <c r="P109" s="473"/>
      <c r="Q109" s="473"/>
      <c r="R109" s="473"/>
      <c r="S109" s="473"/>
      <c r="T109" s="473"/>
      <c r="U109" s="473"/>
      <c r="V109" s="473"/>
      <c r="W109" s="473"/>
      <c r="X109" s="473"/>
      <c r="Y109" s="473"/>
      <c r="Z109" s="473"/>
      <c r="AA109" s="473"/>
      <c r="AB109" s="473"/>
      <c r="AC109" s="473"/>
      <c r="AD109" s="473"/>
      <c r="AE109" s="473"/>
      <c r="AF109" s="473"/>
      <c r="AG109" s="473"/>
    </row>
    <row r="110" spans="2:33" ht="47.25" thickBot="1">
      <c r="B110" s="615"/>
      <c r="C110" s="479" t="s">
        <v>170</v>
      </c>
      <c r="D110" s="475" t="s">
        <v>268</v>
      </c>
      <c r="E110" s="471" t="s">
        <v>486</v>
      </c>
      <c r="F110" s="472" t="s">
        <v>470</v>
      </c>
      <c r="G110" s="473"/>
      <c r="H110" s="473"/>
      <c r="I110" s="473"/>
      <c r="J110" s="473"/>
      <c r="K110" s="473"/>
      <c r="L110" s="473"/>
      <c r="M110" s="473"/>
      <c r="N110" s="473"/>
      <c r="O110" s="473"/>
      <c r="P110" s="473"/>
      <c r="Q110" s="473"/>
      <c r="R110" s="473"/>
      <c r="S110" s="473"/>
      <c r="T110" s="473"/>
      <c r="U110" s="473"/>
      <c r="V110" s="473"/>
      <c r="W110" s="473"/>
      <c r="X110" s="473"/>
      <c r="Y110" s="473"/>
      <c r="Z110" s="473"/>
      <c r="AA110" s="473"/>
      <c r="AB110" s="473"/>
      <c r="AC110" s="473"/>
      <c r="AD110" s="473"/>
      <c r="AE110" s="473"/>
      <c r="AF110" s="473"/>
      <c r="AG110" s="473"/>
    </row>
    <row r="111" spans="2:33" ht="47.25" thickBot="1">
      <c r="B111" s="615"/>
      <c r="C111" s="476" t="s">
        <v>169</v>
      </c>
      <c r="D111" s="470" t="s">
        <v>269</v>
      </c>
      <c r="E111" s="471" t="s">
        <v>487</v>
      </c>
      <c r="F111" s="472" t="s">
        <v>468</v>
      </c>
      <c r="G111" s="473"/>
      <c r="H111" s="473"/>
      <c r="I111" s="473"/>
      <c r="J111" s="473"/>
      <c r="K111" s="473"/>
      <c r="L111" s="473"/>
      <c r="M111" s="473"/>
      <c r="N111" s="473"/>
      <c r="O111" s="473"/>
      <c r="P111" s="473"/>
      <c r="Q111" s="473"/>
      <c r="R111" s="473"/>
      <c r="S111" s="473"/>
      <c r="T111" s="473"/>
      <c r="U111" s="473"/>
      <c r="V111" s="473"/>
      <c r="W111" s="473"/>
      <c r="X111" s="473"/>
      <c r="Y111" s="473"/>
      <c r="Z111" s="473"/>
      <c r="AA111" s="473"/>
      <c r="AB111" s="473"/>
      <c r="AC111" s="473"/>
      <c r="AD111" s="473"/>
      <c r="AE111" s="473"/>
      <c r="AF111" s="473"/>
      <c r="AG111" s="473"/>
    </row>
    <row r="112" spans="2:33" ht="47.25" thickBot="1">
      <c r="B112" s="616"/>
      <c r="C112" s="477" t="s">
        <v>171</v>
      </c>
      <c r="D112" s="475" t="s">
        <v>270</v>
      </c>
      <c r="E112" s="471" t="s">
        <v>488</v>
      </c>
      <c r="F112" s="472" t="s">
        <v>470</v>
      </c>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row>
    <row r="113" spans="2:33" ht="27.75" thickBot="1">
      <c r="B113" s="629" t="s">
        <v>103</v>
      </c>
      <c r="C113" s="478" t="s">
        <v>168</v>
      </c>
      <c r="D113" s="470" t="s">
        <v>271</v>
      </c>
      <c r="E113" s="471" t="s">
        <v>489</v>
      </c>
      <c r="F113" s="472" t="s">
        <v>490</v>
      </c>
      <c r="G113" s="473"/>
      <c r="H113" s="473"/>
      <c r="I113" s="473"/>
      <c r="J113" s="473"/>
      <c r="K113" s="473"/>
      <c r="L113" s="473"/>
      <c r="M113" s="473"/>
      <c r="N113" s="473"/>
      <c r="O113" s="473"/>
      <c r="P113" s="473"/>
      <c r="Q113" s="473"/>
      <c r="R113" s="473"/>
      <c r="S113" s="473"/>
      <c r="T113" s="473"/>
      <c r="U113" s="473"/>
      <c r="V113" s="473"/>
      <c r="W113" s="473"/>
      <c r="X113" s="473"/>
      <c r="Y113" s="473"/>
      <c r="Z113" s="473"/>
      <c r="AA113" s="473"/>
      <c r="AB113" s="473"/>
      <c r="AC113" s="473"/>
      <c r="AD113" s="473"/>
      <c r="AE113" s="473"/>
      <c r="AF113" s="473"/>
      <c r="AG113" s="473"/>
    </row>
    <row r="114" spans="2:33" ht="47.25" thickBot="1">
      <c r="B114" s="627"/>
      <c r="C114" s="479" t="s">
        <v>170</v>
      </c>
      <c r="D114" s="475" t="s">
        <v>272</v>
      </c>
      <c r="E114" s="471" t="s">
        <v>491</v>
      </c>
      <c r="F114" s="472" t="s">
        <v>492</v>
      </c>
      <c r="G114" s="473"/>
      <c r="H114" s="473"/>
      <c r="I114" s="473"/>
      <c r="J114" s="473"/>
      <c r="K114" s="473"/>
      <c r="L114" s="473"/>
      <c r="M114" s="473"/>
      <c r="N114" s="473"/>
      <c r="O114" s="473"/>
      <c r="P114" s="473"/>
      <c r="Q114" s="473"/>
      <c r="R114" s="473"/>
      <c r="S114" s="473"/>
      <c r="T114" s="473"/>
      <c r="U114" s="473"/>
      <c r="V114" s="473"/>
      <c r="W114" s="473"/>
      <c r="X114" s="473"/>
      <c r="Y114" s="473"/>
      <c r="Z114" s="473"/>
      <c r="AA114" s="473"/>
      <c r="AB114" s="473"/>
      <c r="AC114" s="473"/>
      <c r="AD114" s="473"/>
      <c r="AE114" s="473"/>
      <c r="AF114" s="473"/>
      <c r="AG114" s="473"/>
    </row>
    <row r="115" spans="2:33" ht="27.75" thickBot="1">
      <c r="B115" s="627"/>
      <c r="C115" s="476" t="s">
        <v>169</v>
      </c>
      <c r="D115" s="470" t="s">
        <v>273</v>
      </c>
      <c r="E115" s="471" t="s">
        <v>493</v>
      </c>
      <c r="F115" s="472" t="s">
        <v>494</v>
      </c>
      <c r="G115" s="473"/>
      <c r="H115" s="473"/>
      <c r="I115" s="473"/>
      <c r="J115" s="473"/>
      <c r="K115" s="473"/>
      <c r="L115" s="473"/>
      <c r="M115" s="473"/>
      <c r="N115" s="473"/>
      <c r="O115" s="473"/>
      <c r="P115" s="473"/>
      <c r="Q115" s="473"/>
      <c r="R115" s="473"/>
      <c r="S115" s="473"/>
      <c r="T115" s="473"/>
      <c r="U115" s="473"/>
      <c r="V115" s="473"/>
      <c r="W115" s="473"/>
      <c r="X115" s="473"/>
      <c r="Y115" s="473"/>
      <c r="Z115" s="473"/>
      <c r="AA115" s="473"/>
      <c r="AB115" s="473"/>
      <c r="AC115" s="473"/>
      <c r="AD115" s="473"/>
      <c r="AE115" s="473"/>
      <c r="AF115" s="473"/>
      <c r="AG115" s="473"/>
    </row>
    <row r="116" spans="2:33" ht="27.75" thickBot="1">
      <c r="B116" s="628"/>
      <c r="C116" s="477" t="s">
        <v>171</v>
      </c>
      <c r="D116" s="475" t="s">
        <v>274</v>
      </c>
      <c r="E116" s="471" t="s">
        <v>495</v>
      </c>
      <c r="F116" s="472" t="s">
        <v>492</v>
      </c>
      <c r="G116" s="473"/>
      <c r="H116" s="473"/>
      <c r="I116" s="473"/>
      <c r="J116" s="473"/>
      <c r="K116" s="473"/>
      <c r="L116" s="473"/>
      <c r="M116" s="473"/>
      <c r="N116" s="473"/>
      <c r="O116" s="473"/>
      <c r="P116" s="473"/>
      <c r="Q116" s="473"/>
      <c r="R116" s="473"/>
      <c r="S116" s="473"/>
      <c r="T116" s="473"/>
      <c r="U116" s="473"/>
      <c r="V116" s="473"/>
      <c r="W116" s="473"/>
      <c r="X116" s="473"/>
      <c r="Y116" s="473"/>
      <c r="Z116" s="473"/>
      <c r="AA116" s="473"/>
      <c r="AB116" s="473"/>
      <c r="AC116" s="473"/>
      <c r="AD116" s="473"/>
      <c r="AE116" s="473"/>
      <c r="AF116" s="473"/>
      <c r="AG116" s="473"/>
    </row>
    <row r="117" spans="2:33" ht="27.75" thickBot="1">
      <c r="B117" s="629" t="s">
        <v>104</v>
      </c>
      <c r="C117" s="478" t="s">
        <v>168</v>
      </c>
      <c r="D117" s="470" t="s">
        <v>275</v>
      </c>
      <c r="E117" s="471" t="s">
        <v>496</v>
      </c>
      <c r="F117" s="472" t="s">
        <v>490</v>
      </c>
      <c r="G117" s="473"/>
      <c r="H117" s="473"/>
      <c r="I117" s="473"/>
      <c r="J117" s="473"/>
      <c r="K117" s="473"/>
      <c r="L117" s="473"/>
      <c r="M117" s="473"/>
      <c r="N117" s="473"/>
      <c r="O117" s="473"/>
      <c r="P117" s="473"/>
      <c r="Q117" s="473"/>
      <c r="R117" s="473"/>
      <c r="S117" s="473"/>
      <c r="T117" s="473"/>
      <c r="U117" s="473"/>
      <c r="V117" s="473"/>
      <c r="W117" s="473"/>
      <c r="X117" s="473"/>
      <c r="Y117" s="473"/>
      <c r="Z117" s="473"/>
      <c r="AA117" s="473"/>
      <c r="AB117" s="473"/>
      <c r="AC117" s="473"/>
      <c r="AD117" s="473"/>
      <c r="AE117" s="473"/>
      <c r="AF117" s="473"/>
      <c r="AG117" s="473"/>
    </row>
    <row r="118" spans="2:33" ht="27.75" thickBot="1">
      <c r="B118" s="627"/>
      <c r="C118" s="479" t="s">
        <v>170</v>
      </c>
      <c r="D118" s="475" t="s">
        <v>276</v>
      </c>
      <c r="E118" s="471" t="s">
        <v>497</v>
      </c>
      <c r="F118" s="472" t="s">
        <v>498</v>
      </c>
      <c r="G118" s="473"/>
      <c r="H118" s="473"/>
      <c r="I118" s="473"/>
      <c r="J118" s="473"/>
      <c r="K118" s="473"/>
      <c r="L118" s="473"/>
      <c r="M118" s="473"/>
      <c r="N118" s="473"/>
      <c r="O118" s="473"/>
      <c r="P118" s="473"/>
      <c r="Q118" s="473"/>
      <c r="R118" s="473"/>
      <c r="S118" s="473"/>
      <c r="T118" s="473"/>
      <c r="U118" s="473"/>
      <c r="V118" s="473"/>
      <c r="W118" s="473"/>
      <c r="X118" s="473"/>
      <c r="Y118" s="473"/>
      <c r="Z118" s="473"/>
      <c r="AA118" s="473"/>
      <c r="AB118" s="473"/>
      <c r="AC118" s="473"/>
      <c r="AD118" s="473"/>
      <c r="AE118" s="473"/>
      <c r="AF118" s="473"/>
      <c r="AG118" s="473"/>
    </row>
    <row r="119" spans="2:33" ht="27.75" thickBot="1">
      <c r="B119" s="627"/>
      <c r="C119" s="476" t="s">
        <v>169</v>
      </c>
      <c r="D119" s="470" t="s">
        <v>277</v>
      </c>
      <c r="E119" s="471" t="s">
        <v>499</v>
      </c>
      <c r="F119" s="472" t="s">
        <v>494</v>
      </c>
      <c r="G119" s="473"/>
      <c r="H119" s="473"/>
      <c r="I119" s="473"/>
      <c r="J119" s="473"/>
      <c r="K119" s="473"/>
      <c r="L119" s="473"/>
      <c r="M119" s="473"/>
      <c r="N119" s="473"/>
      <c r="O119" s="473"/>
      <c r="P119" s="473"/>
      <c r="Q119" s="473"/>
      <c r="R119" s="473"/>
      <c r="S119" s="473"/>
      <c r="T119" s="473"/>
      <c r="U119" s="473"/>
      <c r="V119" s="473"/>
      <c r="W119" s="473"/>
      <c r="X119" s="473"/>
      <c r="Y119" s="473"/>
      <c r="Z119" s="473"/>
      <c r="AA119" s="473"/>
      <c r="AB119" s="473"/>
      <c r="AC119" s="473"/>
      <c r="AD119" s="473"/>
      <c r="AE119" s="473"/>
      <c r="AF119" s="473"/>
      <c r="AG119" s="473"/>
    </row>
    <row r="120" spans="2:33" ht="27.75" thickBot="1">
      <c r="B120" s="628"/>
      <c r="C120" s="477" t="s">
        <v>171</v>
      </c>
      <c r="D120" s="475" t="s">
        <v>278</v>
      </c>
      <c r="E120" s="471" t="s">
        <v>500</v>
      </c>
      <c r="F120" s="472" t="s">
        <v>492</v>
      </c>
      <c r="G120" s="473"/>
      <c r="H120" s="473"/>
      <c r="I120" s="473"/>
      <c r="J120" s="473"/>
      <c r="K120" s="473"/>
      <c r="L120" s="473"/>
      <c r="M120" s="473"/>
      <c r="N120" s="473"/>
      <c r="O120" s="473"/>
      <c r="P120" s="473"/>
      <c r="Q120" s="473"/>
      <c r="R120" s="473"/>
      <c r="S120" s="473"/>
      <c r="T120" s="473"/>
      <c r="U120" s="473"/>
      <c r="V120" s="473"/>
      <c r="W120" s="473"/>
      <c r="X120" s="473"/>
      <c r="Y120" s="473"/>
      <c r="Z120" s="473"/>
      <c r="AA120" s="473"/>
      <c r="AB120" s="473"/>
      <c r="AC120" s="473"/>
      <c r="AD120" s="473"/>
      <c r="AE120" s="473"/>
      <c r="AF120" s="473"/>
      <c r="AG120" s="473"/>
    </row>
    <row r="121" spans="2:33" ht="47.25" thickBot="1">
      <c r="B121" s="629" t="s">
        <v>105</v>
      </c>
      <c r="C121" s="478" t="s">
        <v>168</v>
      </c>
      <c r="D121" s="470" t="s">
        <v>279</v>
      </c>
      <c r="E121" s="471" t="s">
        <v>501</v>
      </c>
      <c r="F121" s="472" t="s">
        <v>494</v>
      </c>
      <c r="G121" s="473"/>
      <c r="H121" s="473"/>
      <c r="I121" s="473"/>
      <c r="J121" s="473"/>
      <c r="K121" s="473"/>
      <c r="L121" s="473"/>
      <c r="M121" s="473"/>
      <c r="N121" s="473"/>
      <c r="O121" s="473"/>
      <c r="P121" s="473"/>
      <c r="Q121" s="473"/>
      <c r="R121" s="473"/>
      <c r="S121" s="473"/>
      <c r="T121" s="473"/>
      <c r="U121" s="473"/>
      <c r="V121" s="473"/>
      <c r="W121" s="473"/>
      <c r="X121" s="473"/>
      <c r="Y121" s="473"/>
      <c r="Z121" s="473"/>
      <c r="AA121" s="473"/>
      <c r="AB121" s="473"/>
      <c r="AC121" s="473"/>
      <c r="AD121" s="473"/>
      <c r="AE121" s="473"/>
      <c r="AF121" s="473"/>
      <c r="AG121" s="473"/>
    </row>
    <row r="122" spans="2:33" ht="27.75" thickBot="1">
      <c r="B122" s="627"/>
      <c r="C122" s="479" t="s">
        <v>170</v>
      </c>
      <c r="D122" s="475" t="s">
        <v>280</v>
      </c>
      <c r="E122" s="471" t="s">
        <v>502</v>
      </c>
      <c r="F122" s="472" t="s">
        <v>492</v>
      </c>
      <c r="G122" s="473"/>
      <c r="H122" s="473"/>
      <c r="I122" s="473"/>
      <c r="J122" s="473"/>
      <c r="K122" s="473"/>
      <c r="L122" s="473"/>
      <c r="M122" s="473"/>
      <c r="N122" s="473"/>
      <c r="O122" s="473"/>
      <c r="P122" s="473"/>
      <c r="Q122" s="473"/>
      <c r="R122" s="473"/>
      <c r="S122" s="473"/>
      <c r="T122" s="473"/>
      <c r="U122" s="473"/>
      <c r="V122" s="473"/>
      <c r="W122" s="473"/>
      <c r="X122" s="473"/>
      <c r="Y122" s="473"/>
      <c r="Z122" s="473"/>
      <c r="AA122" s="473"/>
      <c r="AB122" s="473"/>
      <c r="AC122" s="473"/>
      <c r="AD122" s="473"/>
      <c r="AE122" s="473"/>
      <c r="AF122" s="473"/>
      <c r="AG122" s="473"/>
    </row>
    <row r="123" spans="2:33" ht="27.75" thickBot="1">
      <c r="B123" s="627"/>
      <c r="C123" s="476" t="s">
        <v>169</v>
      </c>
      <c r="D123" s="470" t="s">
        <v>281</v>
      </c>
      <c r="E123" s="471" t="s">
        <v>503</v>
      </c>
      <c r="F123" s="472" t="s">
        <v>494</v>
      </c>
      <c r="G123" s="473"/>
      <c r="H123" s="473"/>
      <c r="I123" s="473"/>
      <c r="J123" s="473"/>
      <c r="K123" s="473"/>
      <c r="L123" s="473"/>
      <c r="M123" s="473"/>
      <c r="N123" s="473"/>
      <c r="O123" s="473"/>
      <c r="P123" s="473"/>
      <c r="Q123" s="473"/>
      <c r="R123" s="473"/>
      <c r="S123" s="473"/>
      <c r="T123" s="473"/>
      <c r="U123" s="473"/>
      <c r="V123" s="473"/>
      <c r="W123" s="473"/>
      <c r="X123" s="473"/>
      <c r="Y123" s="473"/>
      <c r="Z123" s="473"/>
      <c r="AA123" s="473"/>
      <c r="AB123" s="473"/>
      <c r="AC123" s="473"/>
      <c r="AD123" s="473"/>
      <c r="AE123" s="473"/>
      <c r="AF123" s="473"/>
      <c r="AG123" s="473"/>
    </row>
    <row r="124" spans="2:33" ht="27.75" thickBot="1">
      <c r="B124" s="628"/>
      <c r="C124" s="477" t="s">
        <v>171</v>
      </c>
      <c r="D124" s="475" t="s">
        <v>282</v>
      </c>
      <c r="E124" s="471" t="s">
        <v>504</v>
      </c>
      <c r="F124" s="472" t="s">
        <v>505</v>
      </c>
      <c r="G124" s="473"/>
      <c r="H124" s="473"/>
      <c r="I124" s="473"/>
      <c r="J124" s="473"/>
      <c r="K124" s="473"/>
      <c r="L124" s="473"/>
      <c r="M124" s="473"/>
      <c r="N124" s="473"/>
      <c r="O124" s="473"/>
      <c r="P124" s="473"/>
      <c r="Q124" s="473"/>
      <c r="R124" s="473"/>
      <c r="S124" s="473"/>
      <c r="T124" s="473"/>
      <c r="U124" s="473"/>
      <c r="V124" s="473"/>
      <c r="W124" s="473"/>
      <c r="X124" s="473"/>
      <c r="Y124" s="473"/>
      <c r="Z124" s="473"/>
      <c r="AA124" s="473"/>
      <c r="AB124" s="473"/>
      <c r="AC124" s="473"/>
      <c r="AD124" s="473"/>
      <c r="AE124" s="473"/>
      <c r="AF124" s="473"/>
      <c r="AG124" s="473"/>
    </row>
    <row r="125" spans="2:33" ht="27.75" thickBot="1">
      <c r="B125" s="629" t="s">
        <v>105</v>
      </c>
      <c r="C125" s="478" t="s">
        <v>168</v>
      </c>
      <c r="D125" s="470" t="s">
        <v>283</v>
      </c>
      <c r="E125" s="471"/>
      <c r="F125" s="472"/>
      <c r="G125" s="473"/>
      <c r="H125" s="473"/>
      <c r="I125" s="473"/>
      <c r="J125" s="473"/>
      <c r="K125" s="473"/>
      <c r="L125" s="473"/>
      <c r="M125" s="473"/>
      <c r="N125" s="473"/>
      <c r="O125" s="473"/>
      <c r="P125" s="473"/>
      <c r="Q125" s="473"/>
      <c r="R125" s="473"/>
      <c r="S125" s="473"/>
      <c r="T125" s="473"/>
      <c r="U125" s="473"/>
      <c r="V125" s="473"/>
      <c r="W125" s="473"/>
      <c r="X125" s="473"/>
      <c r="Y125" s="473"/>
      <c r="Z125" s="473"/>
      <c r="AA125" s="473"/>
      <c r="AB125" s="473"/>
      <c r="AC125" s="473"/>
      <c r="AD125" s="473"/>
      <c r="AE125" s="473"/>
      <c r="AF125" s="473"/>
      <c r="AG125" s="473"/>
    </row>
    <row r="126" spans="2:33" ht="27.75" thickBot="1">
      <c r="B126" s="627"/>
      <c r="C126" s="479" t="s">
        <v>170</v>
      </c>
      <c r="D126" s="475" t="s">
        <v>284</v>
      </c>
      <c r="E126" s="471"/>
      <c r="F126" s="472"/>
      <c r="G126" s="473"/>
      <c r="H126" s="473"/>
      <c r="I126" s="473"/>
      <c r="J126" s="473"/>
      <c r="K126" s="473"/>
      <c r="L126" s="473"/>
      <c r="M126" s="473"/>
      <c r="N126" s="473"/>
      <c r="O126" s="473"/>
      <c r="P126" s="473"/>
      <c r="Q126" s="473"/>
      <c r="R126" s="473"/>
      <c r="S126" s="473"/>
      <c r="T126" s="473"/>
      <c r="U126" s="473"/>
      <c r="V126" s="473"/>
      <c r="W126" s="473"/>
      <c r="X126" s="473"/>
      <c r="Y126" s="473"/>
      <c r="Z126" s="473"/>
      <c r="AA126" s="473"/>
      <c r="AB126" s="473"/>
      <c r="AC126" s="473"/>
      <c r="AD126" s="473"/>
      <c r="AE126" s="473"/>
      <c r="AF126" s="473"/>
      <c r="AG126" s="473"/>
    </row>
    <row r="127" spans="2:33" ht="27.75" thickBot="1">
      <c r="B127" s="627"/>
      <c r="C127" s="476" t="s">
        <v>169</v>
      </c>
      <c r="D127" s="470" t="s">
        <v>285</v>
      </c>
      <c r="E127" s="471"/>
      <c r="F127" s="472"/>
      <c r="G127" s="473"/>
      <c r="H127" s="473"/>
      <c r="I127" s="473"/>
      <c r="J127" s="473"/>
      <c r="K127" s="473"/>
      <c r="L127" s="473"/>
      <c r="M127" s="473"/>
      <c r="N127" s="473"/>
      <c r="O127" s="473"/>
      <c r="P127" s="473"/>
      <c r="Q127" s="473"/>
      <c r="R127" s="473"/>
      <c r="S127" s="473"/>
      <c r="T127" s="473"/>
      <c r="U127" s="473"/>
      <c r="V127" s="473"/>
      <c r="W127" s="473"/>
      <c r="X127" s="473"/>
      <c r="Y127" s="473"/>
      <c r="Z127" s="473"/>
      <c r="AA127" s="473"/>
      <c r="AB127" s="473"/>
      <c r="AC127" s="473"/>
      <c r="AD127" s="473"/>
      <c r="AE127" s="473"/>
      <c r="AF127" s="473"/>
      <c r="AG127" s="473"/>
    </row>
    <row r="128" spans="2:33" ht="27.75" thickBot="1">
      <c r="B128" s="628"/>
      <c r="C128" s="477" t="s">
        <v>171</v>
      </c>
      <c r="D128" s="475" t="s">
        <v>286</v>
      </c>
      <c r="E128" s="471"/>
      <c r="F128" s="472"/>
      <c r="G128" s="473"/>
      <c r="H128" s="473"/>
      <c r="I128" s="473"/>
      <c r="J128" s="473"/>
      <c r="K128" s="473"/>
      <c r="L128" s="473"/>
      <c r="M128" s="473"/>
      <c r="N128" s="473"/>
      <c r="O128" s="473"/>
      <c r="P128" s="473"/>
      <c r="Q128" s="473"/>
      <c r="R128" s="473"/>
      <c r="S128" s="473"/>
      <c r="T128" s="473"/>
      <c r="U128" s="473"/>
      <c r="V128" s="473"/>
      <c r="W128" s="473"/>
      <c r="X128" s="473"/>
      <c r="Y128" s="473"/>
      <c r="Z128" s="473"/>
      <c r="AA128" s="473"/>
      <c r="AB128" s="473"/>
      <c r="AC128" s="473"/>
      <c r="AD128" s="473"/>
      <c r="AE128" s="473"/>
      <c r="AF128" s="473"/>
      <c r="AG128" s="473"/>
    </row>
    <row r="129" spans="2:33" s="340" customFormat="1" ht="33.75" thickBot="1">
      <c r="B129" s="668" t="s">
        <v>832</v>
      </c>
      <c r="C129" s="478" t="s">
        <v>634</v>
      </c>
      <c r="D129" s="480" t="s">
        <v>833</v>
      </c>
      <c r="E129" s="471" t="s">
        <v>877</v>
      </c>
      <c r="F129" s="472" t="s">
        <v>878</v>
      </c>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row>
    <row r="130" spans="2:33" s="340" customFormat="1" ht="33.75" thickBot="1">
      <c r="B130" s="669"/>
      <c r="C130" s="479" t="s">
        <v>635</v>
      </c>
      <c r="D130" s="481" t="s">
        <v>834</v>
      </c>
      <c r="E130" s="471" t="s">
        <v>879</v>
      </c>
      <c r="F130" s="472" t="s">
        <v>878</v>
      </c>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row>
    <row r="131" spans="2:33" s="340" customFormat="1" ht="33.75" thickBot="1">
      <c r="B131" s="669"/>
      <c r="C131" s="476" t="s">
        <v>633</v>
      </c>
      <c r="D131" s="480" t="s">
        <v>835</v>
      </c>
      <c r="E131" s="471" t="s">
        <v>880</v>
      </c>
      <c r="F131" s="472" t="s">
        <v>878</v>
      </c>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row>
    <row r="132" spans="2:33" s="340" customFormat="1" ht="33.75" thickBot="1">
      <c r="B132" s="670"/>
      <c r="C132" s="477" t="s">
        <v>636</v>
      </c>
      <c r="D132" s="481" t="s">
        <v>836</v>
      </c>
      <c r="E132" s="471" t="s">
        <v>881</v>
      </c>
      <c r="F132" s="472" t="s">
        <v>878</v>
      </c>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row>
    <row r="133" spans="2:33" ht="47.25" thickBot="1">
      <c r="B133" s="629" t="s">
        <v>287</v>
      </c>
      <c r="C133" s="482" t="s">
        <v>168</v>
      </c>
      <c r="D133" s="470" t="s">
        <v>283</v>
      </c>
      <c r="E133" s="471" t="s">
        <v>506</v>
      </c>
      <c r="F133" s="472" t="s">
        <v>507</v>
      </c>
      <c r="G133" s="473"/>
      <c r="H133" s="473"/>
      <c r="I133" s="473"/>
      <c r="J133" s="473"/>
      <c r="K133" s="473"/>
      <c r="L133" s="473"/>
      <c r="M133" s="473"/>
      <c r="N133" s="473"/>
      <c r="O133" s="473"/>
      <c r="P133" s="473"/>
      <c r="Q133" s="473"/>
      <c r="R133" s="473"/>
      <c r="S133" s="473"/>
      <c r="T133" s="473"/>
      <c r="U133" s="473"/>
      <c r="V133" s="473"/>
      <c r="W133" s="473"/>
      <c r="X133" s="473"/>
      <c r="Y133" s="473"/>
      <c r="Z133" s="473"/>
      <c r="AA133" s="473"/>
      <c r="AB133" s="473"/>
      <c r="AC133" s="473"/>
      <c r="AD133" s="473"/>
      <c r="AE133" s="473"/>
      <c r="AF133" s="473"/>
      <c r="AG133" s="473"/>
    </row>
    <row r="134" spans="2:33" ht="27.75" thickBot="1">
      <c r="B134" s="627"/>
      <c r="C134" s="483" t="s">
        <v>170</v>
      </c>
      <c r="D134" s="475" t="s">
        <v>284</v>
      </c>
      <c r="E134" s="471" t="s">
        <v>502</v>
      </c>
      <c r="F134" s="472" t="s">
        <v>508</v>
      </c>
      <c r="G134" s="473"/>
      <c r="H134" s="473"/>
      <c r="I134" s="473"/>
      <c r="J134" s="473"/>
      <c r="K134" s="473"/>
      <c r="L134" s="473"/>
      <c r="M134" s="473"/>
      <c r="N134" s="473"/>
      <c r="O134" s="473"/>
      <c r="P134" s="473"/>
      <c r="Q134" s="473"/>
      <c r="R134" s="473"/>
      <c r="S134" s="473"/>
      <c r="T134" s="473"/>
      <c r="U134" s="473"/>
      <c r="V134" s="473"/>
      <c r="W134" s="473"/>
      <c r="X134" s="473"/>
      <c r="Y134" s="473"/>
      <c r="Z134" s="473"/>
      <c r="AA134" s="473"/>
      <c r="AB134" s="473"/>
      <c r="AC134" s="473"/>
      <c r="AD134" s="473"/>
      <c r="AE134" s="473"/>
      <c r="AF134" s="473"/>
      <c r="AG134" s="473"/>
    </row>
    <row r="135" spans="2:33" ht="27.75" thickBot="1">
      <c r="B135" s="627"/>
      <c r="C135" s="482" t="s">
        <v>169</v>
      </c>
      <c r="D135" s="470" t="s">
        <v>285</v>
      </c>
      <c r="E135" s="471" t="s">
        <v>503</v>
      </c>
      <c r="F135" s="472" t="s">
        <v>507</v>
      </c>
      <c r="G135" s="473"/>
      <c r="H135" s="473"/>
      <c r="I135" s="473"/>
      <c r="J135" s="473"/>
      <c r="K135" s="473"/>
      <c r="L135" s="473"/>
      <c r="M135" s="473"/>
      <c r="N135" s="473"/>
      <c r="O135" s="473"/>
      <c r="P135" s="473"/>
      <c r="Q135" s="473"/>
      <c r="R135" s="473"/>
      <c r="S135" s="473"/>
      <c r="T135" s="473"/>
      <c r="U135" s="473"/>
      <c r="V135" s="473"/>
      <c r="W135" s="473"/>
      <c r="X135" s="473"/>
      <c r="Y135" s="473"/>
      <c r="Z135" s="473"/>
      <c r="AA135" s="473"/>
      <c r="AB135" s="473"/>
      <c r="AC135" s="473"/>
      <c r="AD135" s="473"/>
      <c r="AE135" s="473"/>
      <c r="AF135" s="473"/>
      <c r="AG135" s="473"/>
    </row>
    <row r="136" spans="2:33" ht="27.75" thickBot="1">
      <c r="B136" s="628"/>
      <c r="C136" s="483" t="s">
        <v>171</v>
      </c>
      <c r="D136" s="475" t="s">
        <v>286</v>
      </c>
      <c r="E136" s="471" t="s">
        <v>509</v>
      </c>
      <c r="F136" s="472" t="s">
        <v>508</v>
      </c>
      <c r="G136" s="473"/>
      <c r="H136" s="473"/>
      <c r="I136" s="473"/>
      <c r="J136" s="473"/>
      <c r="K136" s="473"/>
      <c r="L136" s="473"/>
      <c r="M136" s="473"/>
      <c r="N136" s="473"/>
      <c r="O136" s="473"/>
      <c r="P136" s="473"/>
      <c r="Q136" s="473"/>
      <c r="R136" s="473"/>
      <c r="S136" s="473"/>
      <c r="T136" s="473"/>
      <c r="U136" s="473"/>
      <c r="V136" s="473"/>
      <c r="W136" s="473"/>
      <c r="X136" s="473"/>
      <c r="Y136" s="473"/>
      <c r="Z136" s="473"/>
      <c r="AA136" s="473"/>
      <c r="AB136" s="473"/>
      <c r="AC136" s="473"/>
      <c r="AD136" s="473"/>
      <c r="AE136" s="473"/>
      <c r="AF136" s="473"/>
      <c r="AG136" s="473"/>
    </row>
    <row r="137" spans="2:33" ht="27.75" customHeight="1" thickBot="1">
      <c r="B137" s="626" t="s">
        <v>1044</v>
      </c>
      <c r="C137" s="597"/>
      <c r="D137" s="597"/>
      <c r="E137" s="597"/>
      <c r="F137" s="597"/>
      <c r="G137" s="597"/>
      <c r="H137" s="597"/>
      <c r="I137" s="597"/>
      <c r="J137" s="597"/>
      <c r="K137" s="597"/>
      <c r="L137" s="597"/>
      <c r="M137" s="597"/>
      <c r="N137" s="597"/>
      <c r="O137" s="597"/>
      <c r="P137" s="597"/>
      <c r="Q137" s="597"/>
      <c r="R137" s="597"/>
      <c r="S137" s="597"/>
      <c r="T137" s="597"/>
      <c r="U137" s="597"/>
      <c r="V137" s="597"/>
      <c r="W137" s="597"/>
      <c r="X137" s="597"/>
      <c r="Y137" s="597"/>
      <c r="Z137" s="597"/>
      <c r="AA137" s="597"/>
      <c r="AB137" s="597"/>
      <c r="AC137" s="597"/>
      <c r="AD137" s="598"/>
      <c r="AE137" s="598"/>
      <c r="AF137" s="598"/>
      <c r="AG137" s="610"/>
    </row>
    <row r="138" spans="2:33" ht="47.25" thickBot="1">
      <c r="B138" s="629" t="s">
        <v>106</v>
      </c>
      <c r="C138" s="484" t="s">
        <v>116</v>
      </c>
      <c r="D138" s="470" t="s">
        <v>288</v>
      </c>
      <c r="E138" s="471" t="s">
        <v>510</v>
      </c>
      <c r="F138" s="485" t="s">
        <v>511</v>
      </c>
      <c r="G138" s="473"/>
      <c r="H138" s="473"/>
      <c r="I138" s="473"/>
      <c r="J138" s="473"/>
      <c r="K138" s="473"/>
      <c r="L138" s="473"/>
      <c r="M138" s="473"/>
      <c r="N138" s="473"/>
      <c r="O138" s="473"/>
      <c r="P138" s="473"/>
      <c r="Q138" s="473"/>
      <c r="R138" s="473"/>
      <c r="S138" s="473"/>
      <c r="T138" s="473"/>
      <c r="U138" s="473"/>
      <c r="V138" s="473"/>
      <c r="W138" s="473"/>
      <c r="X138" s="473"/>
      <c r="Y138" s="473"/>
      <c r="Z138" s="473"/>
      <c r="AA138" s="473"/>
      <c r="AB138" s="473"/>
      <c r="AC138" s="473"/>
      <c r="AD138" s="473"/>
      <c r="AE138" s="473"/>
      <c r="AF138" s="473"/>
      <c r="AG138" s="473"/>
    </row>
    <row r="139" spans="2:33" ht="47.25" thickBot="1">
      <c r="B139" s="627"/>
      <c r="C139" s="469" t="s">
        <v>115</v>
      </c>
      <c r="D139" s="486" t="s">
        <v>289</v>
      </c>
      <c r="E139" s="471" t="s">
        <v>512</v>
      </c>
      <c r="F139" s="485" t="s">
        <v>513</v>
      </c>
      <c r="G139" s="473"/>
      <c r="H139" s="473"/>
      <c r="I139" s="473"/>
      <c r="J139" s="473"/>
      <c r="K139" s="473"/>
      <c r="L139" s="473"/>
      <c r="M139" s="473"/>
      <c r="N139" s="473"/>
      <c r="O139" s="473"/>
      <c r="P139" s="473"/>
      <c r="Q139" s="473"/>
      <c r="R139" s="473"/>
      <c r="S139" s="473"/>
      <c r="T139" s="473"/>
      <c r="U139" s="473"/>
      <c r="V139" s="473"/>
      <c r="W139" s="473"/>
      <c r="X139" s="473"/>
      <c r="Y139" s="473"/>
      <c r="Z139" s="473"/>
      <c r="AA139" s="473"/>
      <c r="AB139" s="473"/>
      <c r="AC139" s="473"/>
      <c r="AD139" s="473"/>
      <c r="AE139" s="473"/>
      <c r="AF139" s="473"/>
      <c r="AG139" s="473"/>
    </row>
    <row r="140" spans="2:33" ht="47.25" thickBot="1">
      <c r="B140" s="627"/>
      <c r="C140" s="469" t="s">
        <v>108</v>
      </c>
      <c r="D140" s="486" t="s">
        <v>290</v>
      </c>
      <c r="E140" s="471" t="s">
        <v>514</v>
      </c>
      <c r="F140" s="485" t="s">
        <v>515</v>
      </c>
      <c r="G140" s="473"/>
      <c r="H140" s="473"/>
      <c r="I140" s="473"/>
      <c r="J140" s="473"/>
      <c r="K140" s="473"/>
      <c r="L140" s="473"/>
      <c r="M140" s="473"/>
      <c r="N140" s="473"/>
      <c r="O140" s="473"/>
      <c r="P140" s="473"/>
      <c r="Q140" s="473"/>
      <c r="R140" s="473"/>
      <c r="S140" s="473"/>
      <c r="T140" s="473"/>
      <c r="U140" s="473"/>
      <c r="V140" s="473"/>
      <c r="W140" s="473"/>
      <c r="X140" s="473"/>
      <c r="Y140" s="473"/>
      <c r="Z140" s="473"/>
      <c r="AA140" s="473"/>
      <c r="AB140" s="473"/>
      <c r="AC140" s="473"/>
      <c r="AD140" s="473"/>
      <c r="AE140" s="473"/>
      <c r="AF140" s="473"/>
      <c r="AG140" s="473"/>
    </row>
    <row r="141" spans="2:33" ht="27.75" thickBot="1">
      <c r="B141" s="627"/>
      <c r="C141" s="469" t="s">
        <v>107</v>
      </c>
      <c r="D141" s="486" t="s">
        <v>291</v>
      </c>
      <c r="E141" s="471" t="s">
        <v>516</v>
      </c>
      <c r="F141" s="485" t="s">
        <v>517</v>
      </c>
      <c r="G141" s="473"/>
      <c r="H141" s="473"/>
      <c r="I141" s="473"/>
      <c r="J141" s="473"/>
      <c r="K141" s="473"/>
      <c r="L141" s="473"/>
      <c r="M141" s="473"/>
      <c r="N141" s="473"/>
      <c r="O141" s="473"/>
      <c r="P141" s="473"/>
      <c r="Q141" s="473"/>
      <c r="R141" s="473"/>
      <c r="S141" s="473"/>
      <c r="T141" s="473"/>
      <c r="U141" s="473"/>
      <c r="V141" s="473"/>
      <c r="W141" s="473"/>
      <c r="X141" s="473"/>
      <c r="Y141" s="473"/>
      <c r="Z141" s="473"/>
      <c r="AA141" s="473"/>
      <c r="AB141" s="473"/>
      <c r="AC141" s="473"/>
      <c r="AD141" s="473"/>
      <c r="AE141" s="473"/>
      <c r="AF141" s="473"/>
      <c r="AG141" s="473"/>
    </row>
    <row r="142" spans="2:33" ht="27.75" thickBot="1">
      <c r="B142" s="627"/>
      <c r="C142" s="469" t="s">
        <v>23</v>
      </c>
      <c r="D142" s="486" t="s">
        <v>292</v>
      </c>
      <c r="E142" s="471" t="s">
        <v>518</v>
      </c>
      <c r="F142" s="485" t="s">
        <v>519</v>
      </c>
      <c r="G142" s="473"/>
      <c r="H142" s="473"/>
      <c r="I142" s="473"/>
      <c r="J142" s="473"/>
      <c r="K142" s="473"/>
      <c r="L142" s="473"/>
      <c r="M142" s="473"/>
      <c r="N142" s="473"/>
      <c r="O142" s="473"/>
      <c r="P142" s="473"/>
      <c r="Q142" s="473"/>
      <c r="R142" s="473"/>
      <c r="S142" s="473"/>
      <c r="T142" s="473"/>
      <c r="U142" s="473"/>
      <c r="V142" s="473"/>
      <c r="W142" s="473"/>
      <c r="X142" s="473"/>
      <c r="Y142" s="473"/>
      <c r="Z142" s="473"/>
      <c r="AA142" s="473"/>
      <c r="AB142" s="473"/>
      <c r="AC142" s="473"/>
      <c r="AD142" s="473"/>
      <c r="AE142" s="473"/>
      <c r="AF142" s="473"/>
      <c r="AG142" s="473"/>
    </row>
    <row r="143" spans="2:33" ht="27.75" thickBot="1">
      <c r="B143" s="628"/>
      <c r="C143" s="487" t="s">
        <v>22</v>
      </c>
      <c r="D143" s="475" t="s">
        <v>293</v>
      </c>
      <c r="E143" s="471" t="s">
        <v>520</v>
      </c>
      <c r="F143" s="485" t="s">
        <v>519</v>
      </c>
      <c r="G143" s="473"/>
      <c r="H143" s="473"/>
      <c r="I143" s="473"/>
      <c r="J143" s="473"/>
      <c r="K143" s="473"/>
      <c r="L143" s="473"/>
      <c r="M143" s="473"/>
      <c r="N143" s="473"/>
      <c r="O143" s="473"/>
      <c r="P143" s="473"/>
      <c r="Q143" s="473"/>
      <c r="R143" s="473"/>
      <c r="S143" s="473"/>
      <c r="T143" s="473"/>
      <c r="U143" s="473"/>
      <c r="V143" s="473"/>
      <c r="W143" s="473"/>
      <c r="X143" s="473"/>
      <c r="Y143" s="473"/>
      <c r="Z143" s="473"/>
      <c r="AA143" s="473"/>
      <c r="AB143" s="473"/>
      <c r="AC143" s="473"/>
      <c r="AD143" s="473"/>
      <c r="AE143" s="473"/>
      <c r="AF143" s="473"/>
      <c r="AG143" s="473"/>
    </row>
    <row r="144" spans="2:33" ht="27.75" thickBot="1">
      <c r="B144" s="595" t="s">
        <v>1043</v>
      </c>
      <c r="C144" s="596"/>
      <c r="D144" s="599"/>
      <c r="E144" s="596"/>
      <c r="F144" s="596"/>
      <c r="G144" s="596"/>
      <c r="H144" s="596"/>
      <c r="I144" s="596"/>
      <c r="J144" s="596"/>
      <c r="K144" s="596"/>
      <c r="L144" s="596"/>
      <c r="M144" s="596"/>
      <c r="N144" s="596"/>
      <c r="O144" s="596"/>
      <c r="P144" s="596"/>
      <c r="Q144" s="596"/>
      <c r="R144" s="596"/>
      <c r="S144" s="596"/>
      <c r="T144" s="596"/>
      <c r="U144" s="596"/>
      <c r="V144" s="596"/>
      <c r="W144" s="596"/>
      <c r="X144" s="596"/>
      <c r="Y144" s="596"/>
      <c r="Z144" s="596"/>
      <c r="AA144" s="596"/>
      <c r="AB144" s="596"/>
      <c r="AC144" s="596"/>
      <c r="AD144" s="596"/>
      <c r="AE144" s="596"/>
      <c r="AF144" s="596"/>
      <c r="AG144" s="625"/>
    </row>
    <row r="145" spans="2:33" ht="47.25" thickBot="1">
      <c r="B145" s="661" t="s">
        <v>109</v>
      </c>
      <c r="C145" s="489" t="s">
        <v>117</v>
      </c>
      <c r="D145" s="470" t="s">
        <v>294</v>
      </c>
      <c r="E145" s="471" t="s">
        <v>521</v>
      </c>
      <c r="F145" s="472" t="s">
        <v>522</v>
      </c>
      <c r="G145" s="473"/>
      <c r="H145" s="473"/>
      <c r="I145" s="473"/>
      <c r="J145" s="473"/>
      <c r="K145" s="473"/>
      <c r="L145" s="473"/>
      <c r="M145" s="473"/>
      <c r="N145" s="473"/>
      <c r="O145" s="473"/>
      <c r="P145" s="473"/>
      <c r="Q145" s="473"/>
      <c r="R145" s="473"/>
      <c r="S145" s="473"/>
      <c r="T145" s="473"/>
      <c r="U145" s="473"/>
      <c r="V145" s="473"/>
      <c r="W145" s="473"/>
      <c r="X145" s="473"/>
      <c r="Y145" s="473"/>
      <c r="Z145" s="473"/>
      <c r="AA145" s="473"/>
      <c r="AB145" s="473"/>
      <c r="AC145" s="473"/>
      <c r="AD145" s="473"/>
      <c r="AE145" s="473"/>
      <c r="AF145" s="473"/>
      <c r="AG145" s="473"/>
    </row>
    <row r="146" spans="2:33" ht="47.25" thickBot="1">
      <c r="B146" s="662"/>
      <c r="C146" s="490" t="s">
        <v>118</v>
      </c>
      <c r="D146" s="486" t="s">
        <v>295</v>
      </c>
      <c r="E146" s="471" t="s">
        <v>523</v>
      </c>
      <c r="F146" s="472" t="s">
        <v>522</v>
      </c>
      <c r="G146" s="473"/>
      <c r="H146" s="473"/>
      <c r="I146" s="473"/>
      <c r="J146" s="473"/>
      <c r="K146" s="473"/>
      <c r="L146" s="473"/>
      <c r="M146" s="473"/>
      <c r="N146" s="473"/>
      <c r="O146" s="473"/>
      <c r="P146" s="473"/>
      <c r="Q146" s="473"/>
      <c r="R146" s="473"/>
      <c r="S146" s="473"/>
      <c r="T146" s="473"/>
      <c r="U146" s="473"/>
      <c r="V146" s="473"/>
      <c r="W146" s="473"/>
      <c r="X146" s="473"/>
      <c r="Y146" s="473"/>
      <c r="Z146" s="473"/>
      <c r="AA146" s="473"/>
      <c r="AB146" s="473"/>
      <c r="AC146" s="473"/>
      <c r="AD146" s="473"/>
      <c r="AE146" s="473"/>
      <c r="AF146" s="473"/>
      <c r="AG146" s="473"/>
    </row>
    <row r="147" spans="2:33" ht="47.25" thickBot="1">
      <c r="B147" s="491" t="s">
        <v>75</v>
      </c>
      <c r="C147" s="484" t="s">
        <v>111</v>
      </c>
      <c r="D147" s="470" t="s">
        <v>296</v>
      </c>
      <c r="E147" s="471" t="s">
        <v>524</v>
      </c>
      <c r="F147" s="472" t="s">
        <v>522</v>
      </c>
      <c r="G147" s="473"/>
      <c r="H147" s="473"/>
      <c r="I147" s="473"/>
      <c r="J147" s="473"/>
      <c r="K147" s="473"/>
      <c r="L147" s="473"/>
      <c r="M147" s="473"/>
      <c r="N147" s="473"/>
      <c r="O147" s="473"/>
      <c r="P147" s="473"/>
      <c r="Q147" s="473"/>
      <c r="R147" s="473"/>
      <c r="S147" s="473"/>
      <c r="T147" s="473"/>
      <c r="U147" s="473"/>
      <c r="V147" s="473"/>
      <c r="W147" s="473"/>
      <c r="X147" s="473"/>
      <c r="Y147" s="473"/>
      <c r="Z147" s="473"/>
      <c r="AA147" s="473"/>
      <c r="AB147" s="473"/>
      <c r="AC147" s="473"/>
      <c r="AD147" s="473"/>
      <c r="AE147" s="473"/>
      <c r="AF147" s="473"/>
      <c r="AG147" s="473"/>
    </row>
    <row r="148" spans="2:33" ht="47.25" thickBot="1">
      <c r="B148" s="492" t="s">
        <v>76</v>
      </c>
      <c r="C148" s="469" t="s">
        <v>111</v>
      </c>
      <c r="D148" s="486" t="s">
        <v>297</v>
      </c>
      <c r="E148" s="471" t="s">
        <v>525</v>
      </c>
      <c r="F148" s="472" t="s">
        <v>522</v>
      </c>
      <c r="G148" s="473"/>
      <c r="H148" s="473"/>
      <c r="I148" s="473"/>
      <c r="J148" s="473"/>
      <c r="K148" s="473"/>
      <c r="L148" s="473"/>
      <c r="M148" s="473"/>
      <c r="N148" s="473"/>
      <c r="O148" s="473"/>
      <c r="P148" s="473"/>
      <c r="Q148" s="473"/>
      <c r="R148" s="473"/>
      <c r="S148" s="473"/>
      <c r="T148" s="473"/>
      <c r="U148" s="473"/>
      <c r="V148" s="473"/>
      <c r="W148" s="473"/>
      <c r="X148" s="473"/>
      <c r="Y148" s="473"/>
      <c r="Z148" s="473"/>
      <c r="AA148" s="473"/>
      <c r="AB148" s="473"/>
      <c r="AC148" s="473"/>
      <c r="AD148" s="473"/>
      <c r="AE148" s="473"/>
      <c r="AF148" s="473"/>
      <c r="AG148" s="473"/>
    </row>
    <row r="149" spans="2:33" ht="47.25" thickBot="1">
      <c r="B149" s="492" t="s">
        <v>421</v>
      </c>
      <c r="C149" s="469" t="s">
        <v>111</v>
      </c>
      <c r="D149" s="486" t="s">
        <v>298</v>
      </c>
      <c r="E149" s="471" t="s">
        <v>526</v>
      </c>
      <c r="F149" s="472" t="s">
        <v>522</v>
      </c>
      <c r="G149" s="473"/>
      <c r="H149" s="473"/>
      <c r="I149" s="473"/>
      <c r="J149" s="473"/>
      <c r="K149" s="473"/>
      <c r="L149" s="473"/>
      <c r="M149" s="473"/>
      <c r="N149" s="473"/>
      <c r="O149" s="473"/>
      <c r="P149" s="473"/>
      <c r="Q149" s="473"/>
      <c r="R149" s="473"/>
      <c r="S149" s="473"/>
      <c r="T149" s="473"/>
      <c r="U149" s="473"/>
      <c r="V149" s="473"/>
      <c r="W149" s="473"/>
      <c r="X149" s="473"/>
      <c r="Y149" s="473"/>
      <c r="Z149" s="473"/>
      <c r="AA149" s="473"/>
      <c r="AB149" s="473"/>
      <c r="AC149" s="473"/>
      <c r="AD149" s="473"/>
      <c r="AE149" s="473"/>
      <c r="AF149" s="473"/>
      <c r="AG149" s="473"/>
    </row>
    <row r="150" spans="2:33" ht="47.25" thickBot="1">
      <c r="B150" s="492" t="s">
        <v>78</v>
      </c>
      <c r="C150" s="469" t="s">
        <v>111</v>
      </c>
      <c r="D150" s="486" t="s">
        <v>299</v>
      </c>
      <c r="E150" s="471" t="s">
        <v>527</v>
      </c>
      <c r="F150" s="472" t="s">
        <v>522</v>
      </c>
      <c r="G150" s="473"/>
      <c r="H150" s="473"/>
      <c r="I150" s="473"/>
      <c r="J150" s="473"/>
      <c r="K150" s="473"/>
      <c r="L150" s="473"/>
      <c r="M150" s="473"/>
      <c r="N150" s="473"/>
      <c r="O150" s="473"/>
      <c r="P150" s="473"/>
      <c r="Q150" s="473"/>
      <c r="R150" s="473"/>
      <c r="S150" s="473"/>
      <c r="T150" s="473"/>
      <c r="U150" s="473"/>
      <c r="V150" s="473"/>
      <c r="W150" s="473"/>
      <c r="X150" s="473"/>
      <c r="Y150" s="473"/>
      <c r="Z150" s="473"/>
      <c r="AA150" s="473"/>
      <c r="AB150" s="473"/>
      <c r="AC150" s="473"/>
      <c r="AD150" s="473"/>
      <c r="AE150" s="473"/>
      <c r="AF150" s="473"/>
      <c r="AG150" s="473"/>
    </row>
    <row r="151" spans="2:33" ht="47.25" thickBot="1">
      <c r="B151" s="493" t="s">
        <v>166</v>
      </c>
      <c r="C151" s="494" t="s">
        <v>111</v>
      </c>
      <c r="D151" s="475" t="s">
        <v>300</v>
      </c>
      <c r="E151" s="471" t="s">
        <v>528</v>
      </c>
      <c r="F151" s="472" t="s">
        <v>522</v>
      </c>
      <c r="G151" s="473"/>
      <c r="H151" s="473"/>
      <c r="I151" s="473"/>
      <c r="J151" s="473"/>
      <c r="K151" s="473"/>
      <c r="L151" s="473"/>
      <c r="M151" s="473"/>
      <c r="N151" s="473"/>
      <c r="O151" s="473"/>
      <c r="P151" s="473"/>
      <c r="Q151" s="473"/>
      <c r="R151" s="473"/>
      <c r="S151" s="473"/>
      <c r="T151" s="473"/>
      <c r="U151" s="473"/>
      <c r="V151" s="473"/>
      <c r="W151" s="473"/>
      <c r="X151" s="473"/>
      <c r="Y151" s="473"/>
      <c r="Z151" s="473"/>
      <c r="AA151" s="473"/>
      <c r="AB151" s="473"/>
      <c r="AC151" s="473"/>
      <c r="AD151" s="473"/>
      <c r="AE151" s="473"/>
      <c r="AF151" s="473"/>
      <c r="AG151" s="473"/>
    </row>
    <row r="152" spans="2:33" ht="27.75" thickBot="1">
      <c r="B152" s="491" t="s">
        <v>75</v>
      </c>
      <c r="C152" s="484" t="s">
        <v>112</v>
      </c>
      <c r="D152" s="470" t="s">
        <v>301</v>
      </c>
      <c r="E152" s="471" t="s">
        <v>529</v>
      </c>
      <c r="F152" s="472" t="s">
        <v>522</v>
      </c>
      <c r="G152" s="473"/>
      <c r="H152" s="473"/>
      <c r="I152" s="473"/>
      <c r="J152" s="473"/>
      <c r="K152" s="473"/>
      <c r="L152" s="473"/>
      <c r="M152" s="473"/>
      <c r="N152" s="473"/>
      <c r="O152" s="473"/>
      <c r="P152" s="473"/>
      <c r="Q152" s="473"/>
      <c r="R152" s="473"/>
      <c r="S152" s="473"/>
      <c r="T152" s="473"/>
      <c r="U152" s="473"/>
      <c r="V152" s="473"/>
      <c r="W152" s="473"/>
      <c r="X152" s="473"/>
      <c r="Y152" s="473"/>
      <c r="Z152" s="473"/>
      <c r="AA152" s="473"/>
      <c r="AB152" s="473"/>
      <c r="AC152" s="473"/>
      <c r="AD152" s="473"/>
      <c r="AE152" s="473"/>
      <c r="AF152" s="473"/>
      <c r="AG152" s="473"/>
    </row>
    <row r="153" spans="2:33" ht="27.75" thickBot="1">
      <c r="B153" s="492" t="s">
        <v>76</v>
      </c>
      <c r="C153" s="469" t="s">
        <v>112</v>
      </c>
      <c r="D153" s="486" t="s">
        <v>302</v>
      </c>
      <c r="E153" s="471" t="s">
        <v>530</v>
      </c>
      <c r="F153" s="472" t="s">
        <v>522</v>
      </c>
      <c r="G153" s="473"/>
      <c r="H153" s="473"/>
      <c r="I153" s="473"/>
      <c r="J153" s="473"/>
      <c r="K153" s="473"/>
      <c r="L153" s="473"/>
      <c r="M153" s="473"/>
      <c r="N153" s="473"/>
      <c r="O153" s="473"/>
      <c r="P153" s="473"/>
      <c r="Q153" s="473"/>
      <c r="R153" s="473"/>
      <c r="S153" s="473"/>
      <c r="T153" s="473"/>
      <c r="U153" s="473"/>
      <c r="V153" s="473"/>
      <c r="W153" s="473"/>
      <c r="X153" s="473"/>
      <c r="Y153" s="473"/>
      <c r="Z153" s="473"/>
      <c r="AA153" s="473"/>
      <c r="AB153" s="473"/>
      <c r="AC153" s="473"/>
      <c r="AD153" s="473"/>
      <c r="AE153" s="473"/>
      <c r="AF153" s="473"/>
      <c r="AG153" s="473"/>
    </row>
    <row r="154" spans="2:33" ht="27.75" thickBot="1">
      <c r="B154" s="492" t="s">
        <v>421</v>
      </c>
      <c r="C154" s="469" t="s">
        <v>112</v>
      </c>
      <c r="D154" s="486" t="s">
        <v>303</v>
      </c>
      <c r="E154" s="471" t="s">
        <v>531</v>
      </c>
      <c r="F154" s="472" t="s">
        <v>522</v>
      </c>
      <c r="G154" s="473"/>
      <c r="H154" s="473"/>
      <c r="I154" s="473"/>
      <c r="J154" s="473"/>
      <c r="K154" s="473"/>
      <c r="L154" s="473"/>
      <c r="M154" s="473"/>
      <c r="N154" s="473"/>
      <c r="O154" s="473"/>
      <c r="P154" s="473"/>
      <c r="Q154" s="473"/>
      <c r="R154" s="473"/>
      <c r="S154" s="473"/>
      <c r="T154" s="473"/>
      <c r="U154" s="473"/>
      <c r="V154" s="473"/>
      <c r="W154" s="473"/>
      <c r="X154" s="473"/>
      <c r="Y154" s="473"/>
      <c r="Z154" s="473"/>
      <c r="AA154" s="473"/>
      <c r="AB154" s="473"/>
      <c r="AC154" s="473"/>
      <c r="AD154" s="473"/>
      <c r="AE154" s="473"/>
      <c r="AF154" s="473"/>
      <c r="AG154" s="473"/>
    </row>
    <row r="155" spans="2:33" ht="27.75" thickBot="1">
      <c r="B155" s="492" t="s">
        <v>78</v>
      </c>
      <c r="C155" s="469" t="s">
        <v>112</v>
      </c>
      <c r="D155" s="486" t="s">
        <v>304</v>
      </c>
      <c r="E155" s="471" t="s">
        <v>532</v>
      </c>
      <c r="F155" s="472" t="s">
        <v>522</v>
      </c>
      <c r="G155" s="473"/>
      <c r="H155" s="473"/>
      <c r="I155" s="473"/>
      <c r="J155" s="473"/>
      <c r="K155" s="473"/>
      <c r="L155" s="473"/>
      <c r="M155" s="473"/>
      <c r="N155" s="473"/>
      <c r="O155" s="473"/>
      <c r="P155" s="473"/>
      <c r="Q155" s="473"/>
      <c r="R155" s="473"/>
      <c r="S155" s="473"/>
      <c r="T155" s="473"/>
      <c r="U155" s="473"/>
      <c r="V155" s="473"/>
      <c r="W155" s="473"/>
      <c r="X155" s="473"/>
      <c r="Y155" s="473"/>
      <c r="Z155" s="473"/>
      <c r="AA155" s="473"/>
      <c r="AB155" s="473"/>
      <c r="AC155" s="473"/>
      <c r="AD155" s="473"/>
      <c r="AE155" s="473"/>
      <c r="AF155" s="473"/>
      <c r="AG155" s="473"/>
    </row>
    <row r="156" spans="2:33" ht="47.25" thickBot="1">
      <c r="B156" s="493" t="s">
        <v>166</v>
      </c>
      <c r="C156" s="494" t="s">
        <v>112</v>
      </c>
      <c r="D156" s="475" t="s">
        <v>305</v>
      </c>
      <c r="E156" s="471" t="s">
        <v>533</v>
      </c>
      <c r="F156" s="472" t="s">
        <v>522</v>
      </c>
      <c r="G156" s="473"/>
      <c r="H156" s="473"/>
      <c r="I156" s="473"/>
      <c r="J156" s="473"/>
      <c r="K156" s="473"/>
      <c r="L156" s="473"/>
      <c r="M156" s="473"/>
      <c r="N156" s="473"/>
      <c r="O156" s="473"/>
      <c r="P156" s="473"/>
      <c r="Q156" s="473"/>
      <c r="R156" s="473"/>
      <c r="S156" s="473"/>
      <c r="T156" s="473"/>
      <c r="U156" s="473"/>
      <c r="V156" s="473"/>
      <c r="W156" s="473"/>
      <c r="X156" s="473"/>
      <c r="Y156" s="473"/>
      <c r="Z156" s="473"/>
      <c r="AA156" s="473"/>
      <c r="AB156" s="473"/>
      <c r="AC156" s="473"/>
      <c r="AD156" s="473"/>
      <c r="AE156" s="473"/>
      <c r="AF156" s="473"/>
      <c r="AG156" s="473"/>
    </row>
    <row r="157" spans="2:33" ht="27.75" thickBot="1">
      <c r="B157" s="629" t="s">
        <v>110</v>
      </c>
      <c r="C157" s="484" t="s">
        <v>113</v>
      </c>
      <c r="D157" s="486" t="s">
        <v>306</v>
      </c>
      <c r="E157" s="471" t="s">
        <v>534</v>
      </c>
      <c r="F157" s="472" t="s">
        <v>522</v>
      </c>
      <c r="G157" s="473"/>
      <c r="H157" s="473"/>
      <c r="I157" s="473"/>
      <c r="J157" s="473"/>
      <c r="K157" s="473"/>
      <c r="L157" s="473"/>
      <c r="M157" s="473"/>
      <c r="N157" s="473"/>
      <c r="O157" s="473"/>
      <c r="P157" s="473"/>
      <c r="Q157" s="473"/>
      <c r="R157" s="473"/>
      <c r="S157" s="473"/>
      <c r="T157" s="473"/>
      <c r="U157" s="473"/>
      <c r="V157" s="473"/>
      <c r="W157" s="473"/>
      <c r="X157" s="473"/>
      <c r="Y157" s="473"/>
      <c r="Z157" s="473"/>
      <c r="AA157" s="473"/>
      <c r="AB157" s="473"/>
      <c r="AC157" s="473"/>
      <c r="AD157" s="473"/>
      <c r="AE157" s="473"/>
      <c r="AF157" s="473"/>
      <c r="AG157" s="473"/>
    </row>
    <row r="158" spans="2:33" ht="27.75" thickBot="1">
      <c r="B158" s="627"/>
      <c r="C158" s="469" t="s">
        <v>114</v>
      </c>
      <c r="D158" s="486" t="s">
        <v>307</v>
      </c>
      <c r="E158" s="471" t="s">
        <v>535</v>
      </c>
      <c r="F158" s="472" t="s">
        <v>522</v>
      </c>
      <c r="G158" s="473"/>
      <c r="H158" s="473"/>
      <c r="I158" s="473"/>
      <c r="J158" s="473"/>
      <c r="K158" s="473"/>
      <c r="L158" s="473"/>
      <c r="M158" s="473"/>
      <c r="N158" s="473"/>
      <c r="O158" s="473"/>
      <c r="P158" s="473"/>
      <c r="Q158" s="473"/>
      <c r="R158" s="473"/>
      <c r="S158" s="473"/>
      <c r="T158" s="473"/>
      <c r="U158" s="473"/>
      <c r="V158" s="473"/>
      <c r="W158" s="473"/>
      <c r="X158" s="473"/>
      <c r="Y158" s="473"/>
      <c r="Z158" s="473"/>
      <c r="AA158" s="473"/>
      <c r="AB158" s="473"/>
      <c r="AC158" s="473"/>
      <c r="AD158" s="473"/>
      <c r="AE158" s="473"/>
      <c r="AF158" s="473"/>
      <c r="AG158" s="473"/>
    </row>
    <row r="159" spans="2:33" ht="27.75" thickBot="1">
      <c r="B159" s="628"/>
      <c r="C159" s="494" t="s">
        <v>13</v>
      </c>
      <c r="D159" s="475" t="s">
        <v>308</v>
      </c>
      <c r="E159" s="471" t="s">
        <v>536</v>
      </c>
      <c r="F159" s="472" t="s">
        <v>522</v>
      </c>
      <c r="G159" s="473"/>
      <c r="H159" s="473"/>
      <c r="I159" s="473"/>
      <c r="J159" s="473"/>
      <c r="K159" s="473"/>
      <c r="L159" s="473"/>
      <c r="M159" s="473"/>
      <c r="N159" s="473"/>
      <c r="O159" s="473"/>
      <c r="P159" s="473"/>
      <c r="Q159" s="473"/>
      <c r="R159" s="473"/>
      <c r="S159" s="473"/>
      <c r="T159" s="473"/>
      <c r="U159" s="473"/>
      <c r="V159" s="473"/>
      <c r="W159" s="473"/>
      <c r="X159" s="473"/>
      <c r="Y159" s="473"/>
      <c r="Z159" s="473"/>
      <c r="AA159" s="473"/>
      <c r="AB159" s="473"/>
      <c r="AC159" s="473"/>
      <c r="AD159" s="473"/>
      <c r="AE159" s="473"/>
      <c r="AF159" s="473"/>
      <c r="AG159" s="473"/>
    </row>
    <row r="160" spans="2:33" ht="27.75" customHeight="1" thickBot="1">
      <c r="B160" s="639" t="s">
        <v>1020</v>
      </c>
      <c r="C160" s="640"/>
      <c r="D160" s="640"/>
      <c r="E160" s="640"/>
      <c r="F160" s="641"/>
      <c r="G160" s="473"/>
      <c r="H160" s="473"/>
      <c r="I160" s="473"/>
      <c r="J160" s="473"/>
      <c r="K160" s="473"/>
      <c r="L160" s="473"/>
      <c r="M160" s="473"/>
      <c r="N160" s="473"/>
      <c r="O160" s="473"/>
      <c r="P160" s="473"/>
      <c r="Q160" s="473"/>
      <c r="R160" s="473"/>
      <c r="S160" s="473"/>
      <c r="T160" s="473"/>
      <c r="U160" s="473"/>
      <c r="V160" s="473"/>
      <c r="W160" s="473"/>
      <c r="X160" s="473"/>
      <c r="Y160" s="473"/>
      <c r="Z160" s="473"/>
      <c r="AA160" s="473"/>
      <c r="AB160" s="473"/>
      <c r="AC160" s="473"/>
      <c r="AD160" s="473"/>
      <c r="AE160" s="473"/>
      <c r="AF160" s="473"/>
      <c r="AG160" s="473"/>
    </row>
    <row r="161" spans="2:33" ht="27.75" thickBot="1">
      <c r="B161" s="495" t="s">
        <v>184</v>
      </c>
      <c r="C161" s="496" t="s">
        <v>184</v>
      </c>
      <c r="D161" s="497" t="s">
        <v>309</v>
      </c>
      <c r="E161" s="471" t="s">
        <v>537</v>
      </c>
      <c r="F161" s="472"/>
      <c r="G161" s="473"/>
      <c r="H161" s="473"/>
      <c r="I161" s="473"/>
      <c r="J161" s="473"/>
      <c r="K161" s="473"/>
      <c r="L161" s="473"/>
      <c r="M161" s="473"/>
      <c r="N161" s="473"/>
      <c r="O161" s="473"/>
      <c r="P161" s="473"/>
      <c r="Q161" s="473"/>
      <c r="R161" s="473"/>
      <c r="S161" s="473"/>
      <c r="T161" s="473"/>
      <c r="U161" s="473"/>
      <c r="V161" s="473"/>
      <c r="W161" s="473"/>
      <c r="X161" s="473"/>
      <c r="Y161" s="473"/>
      <c r="Z161" s="473"/>
      <c r="AA161" s="473"/>
      <c r="AB161" s="473"/>
      <c r="AC161" s="473"/>
      <c r="AD161" s="473"/>
      <c r="AE161" s="473"/>
      <c r="AF161" s="473"/>
      <c r="AG161" s="473"/>
    </row>
    <row r="162" spans="2:33" ht="27.75" thickBot="1">
      <c r="B162" s="498" t="s">
        <v>78</v>
      </c>
      <c r="C162" s="499" t="s">
        <v>189</v>
      </c>
      <c r="D162" s="470" t="s">
        <v>310</v>
      </c>
      <c r="E162" s="471" t="s">
        <v>538</v>
      </c>
      <c r="F162" s="472" t="s">
        <v>539</v>
      </c>
      <c r="G162" s="473"/>
      <c r="H162" s="473"/>
      <c r="I162" s="473"/>
      <c r="J162" s="473"/>
      <c r="K162" s="473"/>
      <c r="L162" s="473"/>
      <c r="M162" s="473"/>
      <c r="N162" s="473"/>
      <c r="O162" s="473"/>
      <c r="P162" s="473"/>
      <c r="Q162" s="473"/>
      <c r="R162" s="473"/>
      <c r="S162" s="473"/>
      <c r="T162" s="473"/>
      <c r="U162" s="473"/>
      <c r="V162" s="473"/>
      <c r="W162" s="473"/>
      <c r="X162" s="473"/>
      <c r="Y162" s="473"/>
      <c r="Z162" s="473"/>
      <c r="AA162" s="473"/>
      <c r="AB162" s="473"/>
      <c r="AC162" s="473"/>
      <c r="AD162" s="473"/>
      <c r="AE162" s="473"/>
      <c r="AF162" s="473"/>
      <c r="AG162" s="473"/>
    </row>
    <row r="163" spans="2:33" ht="27.75" thickBot="1">
      <c r="B163" s="492" t="s">
        <v>76</v>
      </c>
      <c r="C163" s="469" t="s">
        <v>185</v>
      </c>
      <c r="D163" s="486" t="s">
        <v>311</v>
      </c>
      <c r="E163" s="471" t="s">
        <v>540</v>
      </c>
      <c r="F163" s="472" t="s">
        <v>539</v>
      </c>
      <c r="G163" s="473"/>
      <c r="H163" s="473"/>
      <c r="I163" s="473"/>
      <c r="J163" s="473"/>
      <c r="K163" s="473"/>
      <c r="L163" s="473"/>
      <c r="M163" s="473"/>
      <c r="N163" s="473"/>
      <c r="O163" s="473"/>
      <c r="P163" s="473"/>
      <c r="Q163" s="473"/>
      <c r="R163" s="473"/>
      <c r="S163" s="473"/>
      <c r="T163" s="473"/>
      <c r="U163" s="473"/>
      <c r="V163" s="473"/>
      <c r="W163" s="473"/>
      <c r="X163" s="473"/>
      <c r="Y163" s="473"/>
      <c r="Z163" s="473"/>
      <c r="AA163" s="473"/>
      <c r="AB163" s="473"/>
      <c r="AC163" s="473"/>
      <c r="AD163" s="473"/>
      <c r="AE163" s="473"/>
      <c r="AF163" s="473"/>
      <c r="AG163" s="473"/>
    </row>
    <row r="164" spans="2:33" ht="47.25" thickBot="1">
      <c r="B164" s="492" t="s">
        <v>166</v>
      </c>
      <c r="C164" s="469" t="s">
        <v>186</v>
      </c>
      <c r="D164" s="486" t="s">
        <v>312</v>
      </c>
      <c r="E164" s="471" t="s">
        <v>541</v>
      </c>
      <c r="F164" s="472" t="s">
        <v>539</v>
      </c>
      <c r="G164" s="473"/>
      <c r="H164" s="473"/>
      <c r="I164" s="473"/>
      <c r="J164" s="473"/>
      <c r="K164" s="473"/>
      <c r="L164" s="473"/>
      <c r="M164" s="473"/>
      <c r="N164" s="473"/>
      <c r="O164" s="473"/>
      <c r="P164" s="473"/>
      <c r="Q164" s="473"/>
      <c r="R164" s="473"/>
      <c r="S164" s="473"/>
      <c r="T164" s="473"/>
      <c r="U164" s="473"/>
      <c r="V164" s="473"/>
      <c r="W164" s="473"/>
      <c r="X164" s="473"/>
      <c r="Y164" s="473"/>
      <c r="Z164" s="473"/>
      <c r="AA164" s="473"/>
      <c r="AB164" s="473"/>
      <c r="AC164" s="473"/>
      <c r="AD164" s="473"/>
      <c r="AE164" s="473"/>
      <c r="AF164" s="473"/>
      <c r="AG164" s="473"/>
    </row>
    <row r="165" spans="2:33" ht="27.75" thickBot="1">
      <c r="B165" s="492" t="s">
        <v>75</v>
      </c>
      <c r="C165" s="469" t="s">
        <v>187</v>
      </c>
      <c r="D165" s="486" t="s">
        <v>313</v>
      </c>
      <c r="E165" s="471" t="s">
        <v>542</v>
      </c>
      <c r="F165" s="472" t="s">
        <v>539</v>
      </c>
      <c r="G165" s="473"/>
      <c r="H165" s="473"/>
      <c r="I165" s="473"/>
      <c r="J165" s="473"/>
      <c r="K165" s="473"/>
      <c r="L165" s="473"/>
      <c r="M165" s="473"/>
      <c r="N165" s="473"/>
      <c r="O165" s="473"/>
      <c r="P165" s="473"/>
      <c r="Q165" s="473"/>
      <c r="R165" s="473"/>
      <c r="S165" s="473"/>
      <c r="T165" s="473"/>
      <c r="U165" s="473"/>
      <c r="V165" s="473"/>
      <c r="W165" s="473"/>
      <c r="X165" s="473"/>
      <c r="Y165" s="473"/>
      <c r="Z165" s="473"/>
      <c r="AA165" s="473"/>
      <c r="AB165" s="473"/>
      <c r="AC165" s="473"/>
      <c r="AD165" s="473"/>
      <c r="AE165" s="473"/>
      <c r="AF165" s="473"/>
      <c r="AG165" s="473"/>
    </row>
    <row r="166" spans="2:33" ht="27.75" thickBot="1">
      <c r="B166" s="500" t="s">
        <v>421</v>
      </c>
      <c r="C166" s="494" t="s">
        <v>188</v>
      </c>
      <c r="D166" s="475" t="s">
        <v>314</v>
      </c>
      <c r="E166" s="471" t="s">
        <v>543</v>
      </c>
      <c r="F166" s="472" t="s">
        <v>539</v>
      </c>
      <c r="G166" s="473"/>
      <c r="H166" s="473"/>
      <c r="I166" s="473"/>
      <c r="J166" s="473"/>
      <c r="K166" s="473"/>
      <c r="L166" s="473"/>
      <c r="M166" s="473"/>
      <c r="N166" s="473"/>
      <c r="O166" s="473"/>
      <c r="P166" s="473"/>
      <c r="Q166" s="473"/>
      <c r="R166" s="473"/>
      <c r="S166" s="473"/>
      <c r="T166" s="473"/>
      <c r="U166" s="473"/>
      <c r="V166" s="473"/>
      <c r="W166" s="473"/>
      <c r="X166" s="473"/>
      <c r="Y166" s="473"/>
      <c r="Z166" s="473"/>
      <c r="AA166" s="473"/>
      <c r="AB166" s="473"/>
      <c r="AC166" s="473"/>
      <c r="AD166" s="473"/>
      <c r="AE166" s="473"/>
      <c r="AF166" s="473"/>
      <c r="AG166" s="473"/>
    </row>
    <row r="167" spans="2:33" ht="27.75" customHeight="1" thickBot="1">
      <c r="B167" s="639" t="s">
        <v>1021</v>
      </c>
      <c r="C167" s="640"/>
      <c r="D167" s="640"/>
      <c r="E167" s="640"/>
      <c r="F167" s="641"/>
      <c r="G167" s="473"/>
      <c r="H167" s="473"/>
      <c r="I167" s="473"/>
      <c r="J167" s="473"/>
      <c r="K167" s="473"/>
      <c r="L167" s="473"/>
      <c r="M167" s="473"/>
      <c r="N167" s="473"/>
      <c r="O167" s="473"/>
      <c r="P167" s="473"/>
      <c r="Q167" s="473"/>
      <c r="R167" s="473"/>
      <c r="S167" s="473"/>
      <c r="T167" s="473"/>
      <c r="U167" s="473"/>
      <c r="V167" s="473"/>
      <c r="W167" s="473"/>
      <c r="X167" s="473"/>
      <c r="Y167" s="473"/>
      <c r="Z167" s="473"/>
      <c r="AA167" s="473"/>
      <c r="AB167" s="473"/>
      <c r="AC167" s="473"/>
      <c r="AD167" s="473"/>
      <c r="AE167" s="473"/>
      <c r="AF167" s="473"/>
      <c r="AG167" s="473"/>
    </row>
    <row r="168" spans="2:33" ht="27.75" thickBot="1">
      <c r="B168" s="495" t="s">
        <v>190</v>
      </c>
      <c r="C168" s="496" t="s">
        <v>190</v>
      </c>
      <c r="D168" s="497" t="s">
        <v>315</v>
      </c>
      <c r="E168" s="471" t="s">
        <v>544</v>
      </c>
      <c r="F168" s="472"/>
      <c r="G168" s="473"/>
      <c r="H168" s="473"/>
      <c r="I168" s="473"/>
      <c r="J168" s="473"/>
      <c r="K168" s="473"/>
      <c r="L168" s="473"/>
      <c r="M168" s="473"/>
      <c r="N168" s="473"/>
      <c r="O168" s="473"/>
      <c r="P168" s="473"/>
      <c r="Q168" s="473"/>
      <c r="R168" s="473"/>
      <c r="S168" s="473"/>
      <c r="T168" s="473"/>
      <c r="U168" s="473"/>
      <c r="V168" s="473"/>
      <c r="W168" s="473"/>
      <c r="X168" s="473"/>
      <c r="Y168" s="473"/>
      <c r="Z168" s="473"/>
      <c r="AA168" s="473"/>
      <c r="AB168" s="473"/>
      <c r="AC168" s="473"/>
      <c r="AD168" s="473"/>
      <c r="AE168" s="473"/>
      <c r="AF168" s="473"/>
      <c r="AG168" s="473"/>
    </row>
    <row r="169" spans="2:33" ht="27.75" thickBot="1">
      <c r="B169" s="498" t="s">
        <v>78</v>
      </c>
      <c r="C169" s="499" t="s">
        <v>195</v>
      </c>
      <c r="D169" s="470" t="s">
        <v>316</v>
      </c>
      <c r="E169" s="471" t="s">
        <v>545</v>
      </c>
      <c r="F169" s="472" t="s">
        <v>546</v>
      </c>
      <c r="G169" s="473"/>
      <c r="H169" s="473"/>
      <c r="I169" s="473"/>
      <c r="J169" s="473"/>
      <c r="K169" s="473"/>
      <c r="L169" s="473"/>
      <c r="M169" s="473"/>
      <c r="N169" s="473"/>
      <c r="O169" s="473"/>
      <c r="P169" s="473"/>
      <c r="Q169" s="473"/>
      <c r="R169" s="473"/>
      <c r="S169" s="473"/>
      <c r="T169" s="473"/>
      <c r="U169" s="473"/>
      <c r="V169" s="473"/>
      <c r="W169" s="473"/>
      <c r="X169" s="473"/>
      <c r="Y169" s="473"/>
      <c r="Z169" s="473"/>
      <c r="AA169" s="473"/>
      <c r="AB169" s="473"/>
      <c r="AC169" s="473"/>
      <c r="AD169" s="473"/>
      <c r="AE169" s="473"/>
      <c r="AF169" s="473"/>
      <c r="AG169" s="473"/>
    </row>
    <row r="170" spans="2:33" ht="27.75" thickBot="1">
      <c r="B170" s="492" t="s">
        <v>76</v>
      </c>
      <c r="C170" s="469" t="s">
        <v>191</v>
      </c>
      <c r="D170" s="486" t="s">
        <v>317</v>
      </c>
      <c r="E170" s="471" t="s">
        <v>547</v>
      </c>
      <c r="F170" s="472" t="s">
        <v>546</v>
      </c>
      <c r="G170" s="473"/>
      <c r="H170" s="473"/>
      <c r="I170" s="473"/>
      <c r="J170" s="473"/>
      <c r="K170" s="473"/>
      <c r="L170" s="473"/>
      <c r="M170" s="473"/>
      <c r="N170" s="473"/>
      <c r="O170" s="473"/>
      <c r="P170" s="473"/>
      <c r="Q170" s="473"/>
      <c r="R170" s="473"/>
      <c r="S170" s="473"/>
      <c r="T170" s="473"/>
      <c r="U170" s="473"/>
      <c r="V170" s="473"/>
      <c r="W170" s="473"/>
      <c r="X170" s="473"/>
      <c r="Y170" s="473"/>
      <c r="Z170" s="473"/>
      <c r="AA170" s="473"/>
      <c r="AB170" s="473"/>
      <c r="AC170" s="473"/>
      <c r="AD170" s="473"/>
      <c r="AE170" s="473"/>
      <c r="AF170" s="473"/>
      <c r="AG170" s="473"/>
    </row>
    <row r="171" spans="2:33" ht="47.25" thickBot="1">
      <c r="B171" s="492" t="s">
        <v>166</v>
      </c>
      <c r="C171" s="469" t="s">
        <v>192</v>
      </c>
      <c r="D171" s="486" t="s">
        <v>318</v>
      </c>
      <c r="E171" s="471" t="s">
        <v>548</v>
      </c>
      <c r="F171" s="472" t="s">
        <v>546</v>
      </c>
      <c r="G171" s="473"/>
      <c r="H171" s="473"/>
      <c r="I171" s="473"/>
      <c r="J171" s="473"/>
      <c r="K171" s="473"/>
      <c r="L171" s="473"/>
      <c r="M171" s="473"/>
      <c r="N171" s="473"/>
      <c r="O171" s="473"/>
      <c r="P171" s="473"/>
      <c r="Q171" s="473"/>
      <c r="R171" s="473"/>
      <c r="S171" s="473"/>
      <c r="T171" s="473"/>
      <c r="U171" s="473"/>
      <c r="V171" s="473"/>
      <c r="W171" s="473"/>
      <c r="X171" s="473"/>
      <c r="Y171" s="473"/>
      <c r="Z171" s="473"/>
      <c r="AA171" s="473"/>
      <c r="AB171" s="473"/>
      <c r="AC171" s="473"/>
      <c r="AD171" s="473"/>
      <c r="AE171" s="473"/>
      <c r="AF171" s="473"/>
      <c r="AG171" s="473"/>
    </row>
    <row r="172" spans="2:33" ht="27.75" thickBot="1">
      <c r="B172" s="492" t="s">
        <v>75</v>
      </c>
      <c r="C172" s="469" t="s">
        <v>193</v>
      </c>
      <c r="D172" s="486" t="s">
        <v>319</v>
      </c>
      <c r="E172" s="471" t="s">
        <v>549</v>
      </c>
      <c r="F172" s="472" t="s">
        <v>546</v>
      </c>
      <c r="G172" s="473"/>
      <c r="H172" s="473"/>
      <c r="I172" s="473"/>
      <c r="J172" s="473"/>
      <c r="K172" s="473"/>
      <c r="L172" s="473"/>
      <c r="M172" s="473"/>
      <c r="N172" s="473"/>
      <c r="O172" s="473"/>
      <c r="P172" s="473"/>
      <c r="Q172" s="473"/>
      <c r="R172" s="473"/>
      <c r="S172" s="473"/>
      <c r="T172" s="473"/>
      <c r="U172" s="473"/>
      <c r="V172" s="473"/>
      <c r="W172" s="473"/>
      <c r="X172" s="473"/>
      <c r="Y172" s="473"/>
      <c r="Z172" s="473"/>
      <c r="AA172" s="473"/>
      <c r="AB172" s="473"/>
      <c r="AC172" s="473"/>
      <c r="AD172" s="473"/>
      <c r="AE172" s="473"/>
      <c r="AF172" s="473"/>
      <c r="AG172" s="473"/>
    </row>
    <row r="173" spans="2:33" ht="27.75" thickBot="1">
      <c r="B173" s="500" t="s">
        <v>421</v>
      </c>
      <c r="C173" s="494" t="s">
        <v>194</v>
      </c>
      <c r="D173" s="475" t="s">
        <v>320</v>
      </c>
      <c r="E173" s="471" t="s">
        <v>550</v>
      </c>
      <c r="F173" s="472" t="s">
        <v>546</v>
      </c>
      <c r="G173" s="473"/>
      <c r="H173" s="473"/>
      <c r="I173" s="473"/>
      <c r="J173" s="473"/>
      <c r="K173" s="473"/>
      <c r="L173" s="473"/>
      <c r="M173" s="473"/>
      <c r="N173" s="473"/>
      <c r="O173" s="473"/>
      <c r="P173" s="473"/>
      <c r="Q173" s="473"/>
      <c r="R173" s="473"/>
      <c r="S173" s="473"/>
      <c r="T173" s="473"/>
      <c r="U173" s="473"/>
      <c r="V173" s="473"/>
      <c r="W173" s="473"/>
      <c r="X173" s="473"/>
      <c r="Y173" s="473"/>
      <c r="Z173" s="473"/>
      <c r="AA173" s="473"/>
      <c r="AB173" s="473"/>
      <c r="AC173" s="473"/>
      <c r="AD173" s="473"/>
      <c r="AE173" s="473"/>
      <c r="AF173" s="473"/>
      <c r="AG173" s="473"/>
    </row>
    <row r="174" spans="2:33" ht="27.75" customHeight="1" thickBot="1">
      <c r="B174" s="639" t="s">
        <v>1022</v>
      </c>
      <c r="C174" s="640"/>
      <c r="D174" s="640"/>
      <c r="E174" s="640"/>
      <c r="F174" s="641"/>
      <c r="G174" s="473"/>
      <c r="H174" s="473"/>
      <c r="I174" s="473"/>
      <c r="J174" s="473"/>
      <c r="K174" s="473"/>
      <c r="L174" s="473"/>
      <c r="M174" s="473"/>
      <c r="N174" s="473"/>
      <c r="O174" s="473"/>
      <c r="P174" s="473"/>
      <c r="Q174" s="473"/>
      <c r="R174" s="473"/>
      <c r="S174" s="473"/>
      <c r="T174" s="473"/>
      <c r="U174" s="473"/>
      <c r="V174" s="473"/>
      <c r="W174" s="473"/>
      <c r="X174" s="473"/>
      <c r="Y174" s="473"/>
      <c r="Z174" s="473"/>
      <c r="AA174" s="473"/>
      <c r="AB174" s="473"/>
      <c r="AC174" s="473"/>
      <c r="AD174" s="473"/>
      <c r="AE174" s="473"/>
      <c r="AF174" s="473"/>
      <c r="AG174" s="473"/>
    </row>
    <row r="175" spans="2:33" ht="47.25" thickBot="1">
      <c r="B175" s="495" t="s">
        <v>196</v>
      </c>
      <c r="C175" s="496" t="s">
        <v>196</v>
      </c>
      <c r="D175" s="497" t="s">
        <v>321</v>
      </c>
      <c r="E175" s="471" t="s">
        <v>551</v>
      </c>
      <c r="F175" s="472"/>
      <c r="G175" s="473"/>
      <c r="H175" s="473"/>
      <c r="I175" s="473"/>
      <c r="J175" s="473"/>
      <c r="K175" s="473"/>
      <c r="L175" s="473"/>
      <c r="M175" s="473"/>
      <c r="N175" s="473"/>
      <c r="O175" s="473"/>
      <c r="P175" s="473"/>
      <c r="Q175" s="473"/>
      <c r="R175" s="473"/>
      <c r="S175" s="473"/>
      <c r="T175" s="473"/>
      <c r="U175" s="473"/>
      <c r="V175" s="473"/>
      <c r="W175" s="473"/>
      <c r="X175" s="473"/>
      <c r="Y175" s="473"/>
      <c r="Z175" s="473"/>
      <c r="AA175" s="473"/>
      <c r="AB175" s="473"/>
      <c r="AC175" s="473"/>
      <c r="AD175" s="473"/>
      <c r="AE175" s="473"/>
      <c r="AF175" s="473"/>
      <c r="AG175" s="473"/>
    </row>
    <row r="176" spans="2:33" ht="47.25" thickBot="1">
      <c r="B176" s="498" t="s">
        <v>78</v>
      </c>
      <c r="C176" s="499" t="s">
        <v>201</v>
      </c>
      <c r="D176" s="470" t="s">
        <v>322</v>
      </c>
      <c r="E176" s="471" t="s">
        <v>552</v>
      </c>
      <c r="F176" s="472" t="s">
        <v>553</v>
      </c>
      <c r="G176" s="473"/>
      <c r="H176" s="473"/>
      <c r="I176" s="473"/>
      <c r="J176" s="473"/>
      <c r="K176" s="473"/>
      <c r="L176" s="473"/>
      <c r="M176" s="473"/>
      <c r="N176" s="473"/>
      <c r="O176" s="473"/>
      <c r="P176" s="473"/>
      <c r="Q176" s="473"/>
      <c r="R176" s="473"/>
      <c r="S176" s="473"/>
      <c r="T176" s="473"/>
      <c r="U176" s="473"/>
      <c r="V176" s="473"/>
      <c r="W176" s="473"/>
      <c r="X176" s="473"/>
      <c r="Y176" s="473"/>
      <c r="Z176" s="473"/>
      <c r="AA176" s="473"/>
      <c r="AB176" s="473"/>
      <c r="AC176" s="473"/>
      <c r="AD176" s="473"/>
      <c r="AE176" s="473"/>
      <c r="AF176" s="473"/>
      <c r="AG176" s="473"/>
    </row>
    <row r="177" spans="2:33" ht="47.25" thickBot="1">
      <c r="B177" s="492" t="s">
        <v>76</v>
      </c>
      <c r="C177" s="469" t="s">
        <v>197</v>
      </c>
      <c r="D177" s="486" t="s">
        <v>323</v>
      </c>
      <c r="E177" s="471" t="s">
        <v>554</v>
      </c>
      <c r="F177" s="472" t="s">
        <v>553</v>
      </c>
      <c r="G177" s="473"/>
      <c r="H177" s="473"/>
      <c r="I177" s="473"/>
      <c r="J177" s="473"/>
      <c r="K177" s="473"/>
      <c r="L177" s="473"/>
      <c r="M177" s="473"/>
      <c r="N177" s="473"/>
      <c r="O177" s="473"/>
      <c r="P177" s="473"/>
      <c r="Q177" s="473"/>
      <c r="R177" s="473"/>
      <c r="S177" s="473"/>
      <c r="T177" s="473"/>
      <c r="U177" s="473"/>
      <c r="V177" s="473"/>
      <c r="W177" s="473"/>
      <c r="X177" s="473"/>
      <c r="Y177" s="473"/>
      <c r="Z177" s="473"/>
      <c r="AA177" s="473"/>
      <c r="AB177" s="473"/>
      <c r="AC177" s="473"/>
      <c r="AD177" s="473"/>
      <c r="AE177" s="473"/>
      <c r="AF177" s="473"/>
      <c r="AG177" s="473"/>
    </row>
    <row r="178" spans="2:33" ht="47.25" thickBot="1">
      <c r="B178" s="492" t="s">
        <v>166</v>
      </c>
      <c r="C178" s="469" t="s">
        <v>198</v>
      </c>
      <c r="D178" s="486" t="s">
        <v>324</v>
      </c>
      <c r="E178" s="471" t="s">
        <v>555</v>
      </c>
      <c r="F178" s="472" t="s">
        <v>553</v>
      </c>
      <c r="G178" s="473"/>
      <c r="H178" s="473"/>
      <c r="I178" s="473"/>
      <c r="J178" s="473"/>
      <c r="K178" s="473"/>
      <c r="L178" s="473"/>
      <c r="M178" s="473"/>
      <c r="N178" s="473"/>
      <c r="O178" s="473"/>
      <c r="P178" s="473"/>
      <c r="Q178" s="473"/>
      <c r="R178" s="473"/>
      <c r="S178" s="473"/>
      <c r="T178" s="473"/>
      <c r="U178" s="473"/>
      <c r="V178" s="473"/>
      <c r="W178" s="473"/>
      <c r="X178" s="473"/>
      <c r="Y178" s="473"/>
      <c r="Z178" s="473"/>
      <c r="AA178" s="473"/>
      <c r="AB178" s="473"/>
      <c r="AC178" s="473"/>
      <c r="AD178" s="473"/>
      <c r="AE178" s="473"/>
      <c r="AF178" s="473"/>
      <c r="AG178" s="473"/>
    </row>
    <row r="179" spans="2:33" ht="47.25" thickBot="1">
      <c r="B179" s="492" t="s">
        <v>75</v>
      </c>
      <c r="C179" s="469" t="s">
        <v>199</v>
      </c>
      <c r="D179" s="486" t="s">
        <v>325</v>
      </c>
      <c r="E179" s="471" t="s">
        <v>556</v>
      </c>
      <c r="F179" s="472" t="s">
        <v>553</v>
      </c>
      <c r="G179" s="473"/>
      <c r="H179" s="473"/>
      <c r="I179" s="473"/>
      <c r="J179" s="473"/>
      <c r="K179" s="473"/>
      <c r="L179" s="473"/>
      <c r="M179" s="473"/>
      <c r="N179" s="473"/>
      <c r="O179" s="473"/>
      <c r="P179" s="473"/>
      <c r="Q179" s="473"/>
      <c r="R179" s="473"/>
      <c r="S179" s="473"/>
      <c r="T179" s="473"/>
      <c r="U179" s="473"/>
      <c r="V179" s="473"/>
      <c r="W179" s="473"/>
      <c r="X179" s="473"/>
      <c r="Y179" s="473"/>
      <c r="Z179" s="473"/>
      <c r="AA179" s="473"/>
      <c r="AB179" s="473"/>
      <c r="AC179" s="473"/>
      <c r="AD179" s="473"/>
      <c r="AE179" s="473"/>
      <c r="AF179" s="473"/>
      <c r="AG179" s="473"/>
    </row>
    <row r="180" spans="2:33" ht="47.25" thickBot="1">
      <c r="B180" s="500" t="s">
        <v>421</v>
      </c>
      <c r="C180" s="494" t="s">
        <v>200</v>
      </c>
      <c r="D180" s="475" t="s">
        <v>326</v>
      </c>
      <c r="E180" s="471" t="s">
        <v>557</v>
      </c>
      <c r="F180" s="472" t="s">
        <v>553</v>
      </c>
      <c r="G180" s="473"/>
      <c r="H180" s="473"/>
      <c r="I180" s="473"/>
      <c r="J180" s="473"/>
      <c r="K180" s="473"/>
      <c r="L180" s="473"/>
      <c r="M180" s="473"/>
      <c r="N180" s="473"/>
      <c r="O180" s="473"/>
      <c r="P180" s="473"/>
      <c r="Q180" s="473"/>
      <c r="R180" s="473"/>
      <c r="S180" s="473"/>
      <c r="T180" s="473"/>
      <c r="U180" s="473"/>
      <c r="V180" s="473"/>
      <c r="W180" s="473"/>
      <c r="X180" s="473"/>
      <c r="Y180" s="473"/>
      <c r="Z180" s="473"/>
      <c r="AA180" s="473"/>
      <c r="AB180" s="473"/>
      <c r="AC180" s="473"/>
      <c r="AD180" s="473"/>
      <c r="AE180" s="473"/>
      <c r="AF180" s="473"/>
      <c r="AG180" s="473"/>
    </row>
    <row r="181" spans="2:33" ht="27.75" customHeight="1" thickBot="1">
      <c r="B181" s="639" t="s">
        <v>1023</v>
      </c>
      <c r="C181" s="640"/>
      <c r="D181" s="640"/>
      <c r="E181" s="640"/>
      <c r="F181" s="641"/>
      <c r="G181" s="473"/>
      <c r="H181" s="473"/>
      <c r="I181" s="473"/>
      <c r="J181" s="473"/>
      <c r="K181" s="473"/>
      <c r="L181" s="473"/>
      <c r="M181" s="473"/>
      <c r="N181" s="473"/>
      <c r="O181" s="473"/>
      <c r="P181" s="473"/>
      <c r="Q181" s="473"/>
      <c r="R181" s="473"/>
      <c r="S181" s="473"/>
      <c r="T181" s="473"/>
      <c r="U181" s="473"/>
      <c r="V181" s="473"/>
      <c r="W181" s="473"/>
      <c r="X181" s="473"/>
      <c r="Y181" s="473"/>
      <c r="Z181" s="473"/>
      <c r="AA181" s="473"/>
      <c r="AB181" s="473"/>
      <c r="AC181" s="473"/>
      <c r="AD181" s="473"/>
      <c r="AE181" s="473"/>
      <c r="AF181" s="473"/>
      <c r="AG181" s="473"/>
    </row>
    <row r="182" spans="2:33" ht="47.25" thickBot="1">
      <c r="B182" s="488" t="s">
        <v>202</v>
      </c>
      <c r="C182" s="501" t="s">
        <v>215</v>
      </c>
      <c r="D182" s="502" t="s">
        <v>327</v>
      </c>
      <c r="E182" s="471" t="s">
        <v>558</v>
      </c>
      <c r="F182" s="472"/>
      <c r="G182" s="473"/>
      <c r="H182" s="473"/>
      <c r="I182" s="473"/>
      <c r="J182" s="473"/>
      <c r="K182" s="473"/>
      <c r="L182" s="473"/>
      <c r="M182" s="473"/>
      <c r="N182" s="473"/>
      <c r="O182" s="473"/>
      <c r="P182" s="473"/>
      <c r="Q182" s="473"/>
      <c r="R182" s="473"/>
      <c r="S182" s="473"/>
      <c r="T182" s="473"/>
      <c r="U182" s="473"/>
      <c r="V182" s="473"/>
      <c r="W182" s="473"/>
      <c r="X182" s="473"/>
      <c r="Y182" s="473"/>
      <c r="Z182" s="473"/>
      <c r="AA182" s="473"/>
      <c r="AB182" s="473"/>
      <c r="AC182" s="473"/>
      <c r="AD182" s="473"/>
      <c r="AE182" s="473"/>
      <c r="AF182" s="473"/>
      <c r="AG182" s="473"/>
    </row>
    <row r="183" spans="2:33" ht="27.75" thickBot="1">
      <c r="B183" s="495" t="s">
        <v>203</v>
      </c>
      <c r="C183" s="503" t="s">
        <v>203</v>
      </c>
      <c r="D183" s="502" t="s">
        <v>328</v>
      </c>
      <c r="E183" s="471" t="s">
        <v>559</v>
      </c>
      <c r="F183" s="472"/>
      <c r="G183" s="473"/>
      <c r="H183" s="473"/>
      <c r="I183" s="473"/>
      <c r="J183" s="473"/>
      <c r="K183" s="473"/>
      <c r="L183" s="473"/>
      <c r="M183" s="473"/>
      <c r="N183" s="473"/>
      <c r="O183" s="473"/>
      <c r="P183" s="473"/>
      <c r="Q183" s="473"/>
      <c r="R183" s="473"/>
      <c r="S183" s="473"/>
      <c r="T183" s="473"/>
      <c r="U183" s="473"/>
      <c r="V183" s="473"/>
      <c r="W183" s="473"/>
      <c r="X183" s="473"/>
      <c r="Y183" s="473"/>
      <c r="Z183" s="473"/>
      <c r="AA183" s="473"/>
      <c r="AB183" s="473"/>
      <c r="AC183" s="473"/>
      <c r="AD183" s="473"/>
      <c r="AE183" s="473"/>
      <c r="AF183" s="473"/>
      <c r="AG183" s="473"/>
    </row>
    <row r="184" spans="2:33" ht="27.75" thickBot="1">
      <c r="B184" s="498" t="s">
        <v>78</v>
      </c>
      <c r="C184" s="499" t="s">
        <v>204</v>
      </c>
      <c r="D184" s="486" t="s">
        <v>329</v>
      </c>
      <c r="E184" s="471" t="s">
        <v>560</v>
      </c>
      <c r="F184" s="472" t="s">
        <v>561</v>
      </c>
      <c r="G184" s="473"/>
      <c r="H184" s="473"/>
      <c r="I184" s="473"/>
      <c r="J184" s="473"/>
      <c r="K184" s="473"/>
      <c r="L184" s="473"/>
      <c r="M184" s="473"/>
      <c r="N184" s="473"/>
      <c r="O184" s="473"/>
      <c r="P184" s="473"/>
      <c r="Q184" s="473"/>
      <c r="R184" s="473"/>
      <c r="S184" s="473"/>
      <c r="T184" s="473"/>
      <c r="U184" s="473"/>
      <c r="V184" s="473"/>
      <c r="W184" s="473"/>
      <c r="X184" s="473"/>
      <c r="Y184" s="473"/>
      <c r="Z184" s="473"/>
      <c r="AA184" s="473"/>
      <c r="AB184" s="473"/>
      <c r="AC184" s="473"/>
      <c r="AD184" s="473"/>
      <c r="AE184" s="473"/>
      <c r="AF184" s="473"/>
      <c r="AG184" s="473"/>
    </row>
    <row r="185" spans="2:33" ht="27.75" thickBot="1">
      <c r="B185" s="492" t="s">
        <v>76</v>
      </c>
      <c r="C185" s="469" t="s">
        <v>205</v>
      </c>
      <c r="D185" s="486" t="s">
        <v>330</v>
      </c>
      <c r="E185" s="471" t="s">
        <v>562</v>
      </c>
      <c r="F185" s="472" t="s">
        <v>561</v>
      </c>
      <c r="G185" s="473"/>
      <c r="H185" s="473"/>
      <c r="I185" s="473"/>
      <c r="J185" s="473"/>
      <c r="K185" s="473"/>
      <c r="L185" s="473"/>
      <c r="M185" s="473"/>
      <c r="N185" s="473"/>
      <c r="O185" s="473"/>
      <c r="P185" s="473"/>
      <c r="Q185" s="473"/>
      <c r="R185" s="473"/>
      <c r="S185" s="473"/>
      <c r="T185" s="473"/>
      <c r="U185" s="473"/>
      <c r="V185" s="473"/>
      <c r="W185" s="473"/>
      <c r="X185" s="473"/>
      <c r="Y185" s="473"/>
      <c r="Z185" s="473"/>
      <c r="AA185" s="473"/>
      <c r="AB185" s="473"/>
      <c r="AC185" s="473"/>
      <c r="AD185" s="473"/>
      <c r="AE185" s="473"/>
      <c r="AF185" s="473"/>
      <c r="AG185" s="473"/>
    </row>
    <row r="186" spans="2:33" ht="47.25" thickBot="1">
      <c r="B186" s="492" t="s">
        <v>166</v>
      </c>
      <c r="C186" s="469" t="s">
        <v>206</v>
      </c>
      <c r="D186" s="486" t="s">
        <v>331</v>
      </c>
      <c r="E186" s="471" t="s">
        <v>563</v>
      </c>
      <c r="F186" s="472" t="s">
        <v>561</v>
      </c>
      <c r="G186" s="473"/>
      <c r="H186" s="473"/>
      <c r="I186" s="473"/>
      <c r="J186" s="473"/>
      <c r="K186" s="473"/>
      <c r="L186" s="473"/>
      <c r="M186" s="473"/>
      <c r="N186" s="473"/>
      <c r="O186" s="473"/>
      <c r="P186" s="473"/>
      <c r="Q186" s="473"/>
      <c r="R186" s="473"/>
      <c r="S186" s="473"/>
      <c r="T186" s="473"/>
      <c r="U186" s="473"/>
      <c r="V186" s="473"/>
      <c r="W186" s="473"/>
      <c r="X186" s="473"/>
      <c r="Y186" s="473"/>
      <c r="Z186" s="473"/>
      <c r="AA186" s="473"/>
      <c r="AB186" s="473"/>
      <c r="AC186" s="473"/>
      <c r="AD186" s="473"/>
      <c r="AE186" s="473"/>
      <c r="AF186" s="473"/>
      <c r="AG186" s="473"/>
    </row>
    <row r="187" spans="2:33" ht="27.75" thickBot="1">
      <c r="B187" s="492" t="s">
        <v>75</v>
      </c>
      <c r="C187" s="469" t="s">
        <v>207</v>
      </c>
      <c r="D187" s="486" t="s">
        <v>332</v>
      </c>
      <c r="E187" s="471" t="s">
        <v>564</v>
      </c>
      <c r="F187" s="472" t="s">
        <v>561</v>
      </c>
      <c r="G187" s="473"/>
      <c r="H187" s="473"/>
      <c r="I187" s="473"/>
      <c r="J187" s="473"/>
      <c r="K187" s="473"/>
      <c r="L187" s="473"/>
      <c r="M187" s="473"/>
      <c r="N187" s="473"/>
      <c r="O187" s="473"/>
      <c r="P187" s="473"/>
      <c r="Q187" s="473"/>
      <c r="R187" s="473"/>
      <c r="S187" s="473"/>
      <c r="T187" s="473"/>
      <c r="U187" s="473"/>
      <c r="V187" s="473"/>
      <c r="W187" s="473"/>
      <c r="X187" s="473"/>
      <c r="Y187" s="473"/>
      <c r="Z187" s="473"/>
      <c r="AA187" s="473"/>
      <c r="AB187" s="473"/>
      <c r="AC187" s="473"/>
      <c r="AD187" s="473"/>
      <c r="AE187" s="473"/>
      <c r="AF187" s="473"/>
      <c r="AG187" s="473"/>
    </row>
    <row r="188" spans="2:33" ht="27.75" thickBot="1">
      <c r="B188" s="500" t="s">
        <v>421</v>
      </c>
      <c r="C188" s="494" t="s">
        <v>208</v>
      </c>
      <c r="D188" s="486" t="s">
        <v>333</v>
      </c>
      <c r="E188" s="471" t="s">
        <v>565</v>
      </c>
      <c r="F188" s="472" t="s">
        <v>561</v>
      </c>
      <c r="G188" s="473"/>
      <c r="H188" s="473"/>
      <c r="I188" s="473"/>
      <c r="J188" s="473"/>
      <c r="K188" s="473"/>
      <c r="L188" s="473"/>
      <c r="M188" s="473"/>
      <c r="N188" s="473"/>
      <c r="O188" s="473"/>
      <c r="P188" s="473"/>
      <c r="Q188" s="473"/>
      <c r="R188" s="473"/>
      <c r="S188" s="473"/>
      <c r="T188" s="473"/>
      <c r="U188" s="473"/>
      <c r="V188" s="473"/>
      <c r="W188" s="473"/>
      <c r="X188" s="473"/>
      <c r="Y188" s="473"/>
      <c r="Z188" s="473"/>
      <c r="AA188" s="473"/>
      <c r="AB188" s="473"/>
      <c r="AC188" s="473"/>
      <c r="AD188" s="473"/>
      <c r="AE188" s="473"/>
      <c r="AF188" s="473"/>
      <c r="AG188" s="473"/>
    </row>
    <row r="189" spans="2:33" ht="27.75" thickBot="1">
      <c r="B189" s="495" t="s">
        <v>209</v>
      </c>
      <c r="C189" s="503" t="s">
        <v>209</v>
      </c>
      <c r="D189" s="502" t="s">
        <v>334</v>
      </c>
      <c r="E189" s="471" t="s">
        <v>566</v>
      </c>
      <c r="F189" s="472"/>
      <c r="G189" s="473"/>
      <c r="H189" s="473"/>
      <c r="I189" s="473"/>
      <c r="J189" s="473"/>
      <c r="K189" s="473"/>
      <c r="L189" s="473"/>
      <c r="M189" s="473"/>
      <c r="N189" s="473"/>
      <c r="O189" s="473"/>
      <c r="P189" s="473"/>
      <c r="Q189" s="473"/>
      <c r="R189" s="473"/>
      <c r="S189" s="473"/>
      <c r="T189" s="473"/>
      <c r="U189" s="473"/>
      <c r="V189" s="473"/>
      <c r="W189" s="473"/>
      <c r="X189" s="473"/>
      <c r="Y189" s="473"/>
      <c r="Z189" s="473"/>
      <c r="AA189" s="473"/>
      <c r="AB189" s="473"/>
      <c r="AC189" s="473"/>
      <c r="AD189" s="473"/>
      <c r="AE189" s="473"/>
      <c r="AF189" s="473"/>
      <c r="AG189" s="473"/>
    </row>
    <row r="190" spans="2:33" ht="27.75" thickBot="1">
      <c r="B190" s="498" t="s">
        <v>78</v>
      </c>
      <c r="C190" s="499" t="s">
        <v>210</v>
      </c>
      <c r="D190" s="486" t="s">
        <v>335</v>
      </c>
      <c r="E190" s="471" t="s">
        <v>567</v>
      </c>
      <c r="F190" s="504" t="s">
        <v>568</v>
      </c>
      <c r="G190" s="473"/>
      <c r="H190" s="473"/>
      <c r="I190" s="473"/>
      <c r="J190" s="473"/>
      <c r="K190" s="473"/>
      <c r="L190" s="473"/>
      <c r="M190" s="473"/>
      <c r="N190" s="473"/>
      <c r="O190" s="473"/>
      <c r="P190" s="473"/>
      <c r="Q190" s="473"/>
      <c r="R190" s="473"/>
      <c r="S190" s="473"/>
      <c r="T190" s="473"/>
      <c r="U190" s="473"/>
      <c r="V190" s="473"/>
      <c r="W190" s="473"/>
      <c r="X190" s="473"/>
      <c r="Y190" s="473"/>
      <c r="Z190" s="473"/>
      <c r="AA190" s="473"/>
      <c r="AB190" s="473"/>
      <c r="AC190" s="473"/>
      <c r="AD190" s="473"/>
      <c r="AE190" s="473"/>
      <c r="AF190" s="473"/>
      <c r="AG190" s="473"/>
    </row>
    <row r="191" spans="2:33" ht="27.75" thickBot="1">
      <c r="B191" s="492" t="s">
        <v>76</v>
      </c>
      <c r="C191" s="469" t="s">
        <v>211</v>
      </c>
      <c r="D191" s="486" t="s">
        <v>336</v>
      </c>
      <c r="E191" s="471" t="s">
        <v>569</v>
      </c>
      <c r="F191" s="504" t="s">
        <v>568</v>
      </c>
      <c r="G191" s="473"/>
      <c r="H191" s="473"/>
      <c r="I191" s="473"/>
      <c r="J191" s="473"/>
      <c r="K191" s="473"/>
      <c r="L191" s="473"/>
      <c r="M191" s="473"/>
      <c r="N191" s="473"/>
      <c r="O191" s="473"/>
      <c r="P191" s="473"/>
      <c r="Q191" s="473"/>
      <c r="R191" s="473"/>
      <c r="S191" s="473"/>
      <c r="T191" s="473"/>
      <c r="U191" s="473"/>
      <c r="V191" s="473"/>
      <c r="W191" s="473"/>
      <c r="X191" s="473"/>
      <c r="Y191" s="473"/>
      <c r="Z191" s="473"/>
      <c r="AA191" s="473"/>
      <c r="AB191" s="473"/>
      <c r="AC191" s="473"/>
      <c r="AD191" s="473"/>
      <c r="AE191" s="473"/>
      <c r="AF191" s="473"/>
      <c r="AG191" s="473"/>
    </row>
    <row r="192" spans="2:33" ht="47.25" thickBot="1">
      <c r="B192" s="492" t="s">
        <v>166</v>
      </c>
      <c r="C192" s="469" t="s">
        <v>212</v>
      </c>
      <c r="D192" s="486" t="s">
        <v>337</v>
      </c>
      <c r="E192" s="471" t="s">
        <v>570</v>
      </c>
      <c r="F192" s="504" t="s">
        <v>568</v>
      </c>
      <c r="G192" s="473"/>
      <c r="H192" s="473"/>
      <c r="I192" s="473"/>
      <c r="J192" s="473"/>
      <c r="K192" s="473"/>
      <c r="L192" s="473"/>
      <c r="M192" s="473"/>
      <c r="N192" s="473"/>
      <c r="O192" s="473"/>
      <c r="P192" s="473"/>
      <c r="Q192" s="473"/>
      <c r="R192" s="473"/>
      <c r="S192" s="473"/>
      <c r="T192" s="473"/>
      <c r="U192" s="473"/>
      <c r="V192" s="473"/>
      <c r="W192" s="473"/>
      <c r="X192" s="473"/>
      <c r="Y192" s="473"/>
      <c r="Z192" s="473"/>
      <c r="AA192" s="473"/>
      <c r="AB192" s="473"/>
      <c r="AC192" s="473"/>
      <c r="AD192" s="473"/>
      <c r="AE192" s="473"/>
      <c r="AF192" s="473"/>
      <c r="AG192" s="473"/>
    </row>
    <row r="193" spans="2:33" ht="27.75" thickBot="1">
      <c r="B193" s="492" t="s">
        <v>75</v>
      </c>
      <c r="C193" s="469" t="s">
        <v>213</v>
      </c>
      <c r="D193" s="486" t="s">
        <v>338</v>
      </c>
      <c r="E193" s="471" t="s">
        <v>571</v>
      </c>
      <c r="F193" s="504" t="s">
        <v>568</v>
      </c>
      <c r="G193" s="473"/>
      <c r="H193" s="473"/>
      <c r="I193" s="473"/>
      <c r="J193" s="473"/>
      <c r="K193" s="473"/>
      <c r="L193" s="473"/>
      <c r="M193" s="473"/>
      <c r="N193" s="473"/>
      <c r="O193" s="473"/>
      <c r="P193" s="473"/>
      <c r="Q193" s="473"/>
      <c r="R193" s="473"/>
      <c r="S193" s="473"/>
      <c r="T193" s="473"/>
      <c r="U193" s="473"/>
      <c r="V193" s="473"/>
      <c r="W193" s="473"/>
      <c r="X193" s="473"/>
      <c r="Y193" s="473"/>
      <c r="Z193" s="473"/>
      <c r="AA193" s="473"/>
      <c r="AB193" s="473"/>
      <c r="AC193" s="473"/>
      <c r="AD193" s="473"/>
      <c r="AE193" s="473"/>
      <c r="AF193" s="473"/>
      <c r="AG193" s="473"/>
    </row>
    <row r="194" spans="2:33" ht="27.75" thickBot="1">
      <c r="B194" s="500" t="s">
        <v>421</v>
      </c>
      <c r="C194" s="494" t="s">
        <v>214</v>
      </c>
      <c r="D194" s="486" t="s">
        <v>339</v>
      </c>
      <c r="E194" s="471" t="s">
        <v>572</v>
      </c>
      <c r="F194" s="504" t="s">
        <v>568</v>
      </c>
      <c r="G194" s="473"/>
      <c r="H194" s="473"/>
      <c r="I194" s="473"/>
      <c r="J194" s="473"/>
      <c r="K194" s="473"/>
      <c r="L194" s="473"/>
      <c r="M194" s="473"/>
      <c r="N194" s="473"/>
      <c r="O194" s="473"/>
      <c r="P194" s="473"/>
      <c r="Q194" s="473"/>
      <c r="R194" s="473"/>
      <c r="S194" s="473"/>
      <c r="T194" s="473"/>
      <c r="U194" s="473"/>
      <c r="V194" s="473"/>
      <c r="W194" s="473"/>
      <c r="X194" s="473"/>
      <c r="Y194" s="473"/>
      <c r="Z194" s="473"/>
      <c r="AA194" s="473"/>
      <c r="AB194" s="473"/>
      <c r="AC194" s="473"/>
      <c r="AD194" s="473"/>
      <c r="AE194" s="473"/>
      <c r="AF194" s="473"/>
      <c r="AG194" s="473"/>
    </row>
    <row r="195" spans="2:33" ht="27.75" thickBot="1">
      <c r="B195" s="488" t="s">
        <v>229</v>
      </c>
      <c r="C195" s="501" t="s">
        <v>218</v>
      </c>
      <c r="D195" s="502" t="s">
        <v>340</v>
      </c>
      <c r="E195" s="471"/>
      <c r="F195" s="505"/>
      <c r="G195" s="473"/>
      <c r="H195" s="473"/>
      <c r="I195" s="473"/>
      <c r="J195" s="473"/>
      <c r="K195" s="473"/>
      <c r="L195" s="473"/>
      <c r="M195" s="473"/>
      <c r="N195" s="473"/>
      <c r="O195" s="473"/>
      <c r="P195" s="473"/>
      <c r="Q195" s="473"/>
      <c r="R195" s="473"/>
      <c r="S195" s="473"/>
      <c r="T195" s="473"/>
      <c r="U195" s="473"/>
      <c r="V195" s="473"/>
      <c r="W195" s="473"/>
      <c r="X195" s="473"/>
      <c r="Y195" s="473"/>
      <c r="Z195" s="473"/>
      <c r="AA195" s="473"/>
      <c r="AB195" s="473"/>
      <c r="AC195" s="473"/>
      <c r="AD195" s="473"/>
      <c r="AE195" s="473"/>
      <c r="AF195" s="473"/>
      <c r="AG195" s="473"/>
    </row>
    <row r="196" spans="2:33" ht="47.25" thickBot="1">
      <c r="B196" s="495" t="s">
        <v>216</v>
      </c>
      <c r="C196" s="503" t="s">
        <v>216</v>
      </c>
      <c r="D196" s="502" t="s">
        <v>341</v>
      </c>
      <c r="E196" s="506" t="s">
        <v>1024</v>
      </c>
      <c r="F196" s="505"/>
      <c r="G196" s="473"/>
      <c r="H196" s="473"/>
      <c r="I196" s="473"/>
      <c r="J196" s="473"/>
      <c r="K196" s="473"/>
      <c r="L196" s="473"/>
      <c r="M196" s="473"/>
      <c r="N196" s="473"/>
      <c r="O196" s="473"/>
      <c r="P196" s="473"/>
      <c r="Q196" s="473"/>
      <c r="R196" s="473"/>
      <c r="S196" s="473"/>
      <c r="T196" s="473"/>
      <c r="U196" s="473"/>
      <c r="V196" s="473"/>
      <c r="W196" s="473"/>
      <c r="X196" s="473"/>
      <c r="Y196" s="473"/>
      <c r="Z196" s="473"/>
      <c r="AA196" s="473"/>
      <c r="AB196" s="473"/>
      <c r="AC196" s="473"/>
      <c r="AD196" s="473"/>
      <c r="AE196" s="473"/>
      <c r="AF196" s="473"/>
      <c r="AG196" s="473"/>
    </row>
    <row r="197" spans="2:33" ht="46.5">
      <c r="B197" s="498" t="s">
        <v>78</v>
      </c>
      <c r="C197" s="499" t="s">
        <v>219</v>
      </c>
      <c r="D197" s="470" t="s">
        <v>342</v>
      </c>
      <c r="E197" s="506" t="s">
        <v>573</v>
      </c>
      <c r="F197" s="504" t="s">
        <v>574</v>
      </c>
      <c r="G197" s="473"/>
      <c r="H197" s="473"/>
      <c r="I197" s="473"/>
      <c r="J197" s="473"/>
      <c r="K197" s="473"/>
      <c r="L197" s="473"/>
      <c r="M197" s="473"/>
      <c r="N197" s="473"/>
      <c r="O197" s="473"/>
      <c r="P197" s="473"/>
      <c r="Q197" s="473"/>
      <c r="R197" s="473"/>
      <c r="S197" s="473"/>
      <c r="T197" s="473"/>
      <c r="U197" s="473"/>
      <c r="V197" s="473"/>
      <c r="W197" s="473"/>
      <c r="X197" s="473"/>
      <c r="Y197" s="473"/>
      <c r="Z197" s="473"/>
      <c r="AA197" s="473"/>
      <c r="AB197" s="473"/>
      <c r="AC197" s="473"/>
      <c r="AD197" s="473"/>
      <c r="AE197" s="473"/>
      <c r="AF197" s="473"/>
      <c r="AG197" s="473"/>
    </row>
    <row r="198" spans="2:33" ht="46.5">
      <c r="B198" s="492" t="s">
        <v>76</v>
      </c>
      <c r="C198" s="469" t="s">
        <v>220</v>
      </c>
      <c r="D198" s="486" t="s">
        <v>343</v>
      </c>
      <c r="E198" s="506" t="s">
        <v>575</v>
      </c>
      <c r="F198" s="504" t="s">
        <v>574</v>
      </c>
      <c r="G198" s="473"/>
      <c r="H198" s="473"/>
      <c r="I198" s="473"/>
      <c r="J198" s="473"/>
      <c r="K198" s="473"/>
      <c r="L198" s="473"/>
      <c r="M198" s="473"/>
      <c r="N198" s="473"/>
      <c r="O198" s="473"/>
      <c r="P198" s="473"/>
      <c r="Q198" s="473"/>
      <c r="R198" s="473"/>
      <c r="S198" s="473"/>
      <c r="T198" s="473"/>
      <c r="U198" s="473"/>
      <c r="V198" s="473"/>
      <c r="W198" s="473"/>
      <c r="X198" s="473"/>
      <c r="Y198" s="473"/>
      <c r="Z198" s="473"/>
      <c r="AA198" s="473"/>
      <c r="AB198" s="473"/>
      <c r="AC198" s="473"/>
      <c r="AD198" s="473"/>
      <c r="AE198" s="473"/>
      <c r="AF198" s="473"/>
      <c r="AG198" s="473"/>
    </row>
    <row r="199" spans="2:33" ht="46.5">
      <c r="B199" s="492" t="s">
        <v>166</v>
      </c>
      <c r="C199" s="469" t="s">
        <v>221</v>
      </c>
      <c r="D199" s="486" t="s">
        <v>344</v>
      </c>
      <c r="E199" s="506" t="s">
        <v>576</v>
      </c>
      <c r="F199" s="504" t="s">
        <v>574</v>
      </c>
      <c r="G199" s="473"/>
      <c r="H199" s="473"/>
      <c r="I199" s="473"/>
      <c r="J199" s="473"/>
      <c r="K199" s="473"/>
      <c r="L199" s="473"/>
      <c r="M199" s="473"/>
      <c r="N199" s="473"/>
      <c r="O199" s="473"/>
      <c r="P199" s="473"/>
      <c r="Q199" s="473"/>
      <c r="R199" s="473"/>
      <c r="S199" s="473"/>
      <c r="T199" s="473"/>
      <c r="U199" s="473"/>
      <c r="V199" s="473"/>
      <c r="W199" s="473"/>
      <c r="X199" s="473"/>
      <c r="Y199" s="473"/>
      <c r="Z199" s="473"/>
      <c r="AA199" s="473"/>
      <c r="AB199" s="473"/>
      <c r="AC199" s="473"/>
      <c r="AD199" s="473"/>
      <c r="AE199" s="473"/>
      <c r="AF199" s="473"/>
      <c r="AG199" s="473"/>
    </row>
    <row r="200" spans="2:33" ht="46.5">
      <c r="B200" s="492" t="s">
        <v>75</v>
      </c>
      <c r="C200" s="469" t="s">
        <v>222</v>
      </c>
      <c r="D200" s="486" t="s">
        <v>345</v>
      </c>
      <c r="E200" s="506" t="s">
        <v>577</v>
      </c>
      <c r="F200" s="504" t="s">
        <v>574</v>
      </c>
      <c r="G200" s="473"/>
      <c r="H200" s="473"/>
      <c r="I200" s="473"/>
      <c r="J200" s="473"/>
      <c r="K200" s="473"/>
      <c r="L200" s="473"/>
      <c r="M200" s="473"/>
      <c r="N200" s="473"/>
      <c r="O200" s="473"/>
      <c r="P200" s="473"/>
      <c r="Q200" s="473"/>
      <c r="R200" s="473"/>
      <c r="S200" s="473"/>
      <c r="T200" s="473"/>
      <c r="U200" s="473"/>
      <c r="V200" s="473"/>
      <c r="W200" s="473"/>
      <c r="X200" s="473"/>
      <c r="Y200" s="473"/>
      <c r="Z200" s="473"/>
      <c r="AA200" s="473"/>
      <c r="AB200" s="473"/>
      <c r="AC200" s="473"/>
      <c r="AD200" s="473"/>
      <c r="AE200" s="473"/>
      <c r="AF200" s="473"/>
      <c r="AG200" s="473"/>
    </row>
    <row r="201" spans="2:33" ht="47.25" thickBot="1">
      <c r="B201" s="500" t="s">
        <v>421</v>
      </c>
      <c r="C201" s="494" t="s">
        <v>223</v>
      </c>
      <c r="D201" s="475" t="s">
        <v>346</v>
      </c>
      <c r="E201" s="506" t="s">
        <v>578</v>
      </c>
      <c r="F201" s="504" t="s">
        <v>574</v>
      </c>
      <c r="G201" s="473"/>
      <c r="H201" s="473"/>
      <c r="I201" s="473"/>
      <c r="J201" s="473"/>
      <c r="K201" s="473"/>
      <c r="L201" s="473"/>
      <c r="M201" s="473"/>
      <c r="N201" s="473"/>
      <c r="O201" s="473"/>
      <c r="P201" s="473"/>
      <c r="Q201" s="473"/>
      <c r="R201" s="473"/>
      <c r="S201" s="473"/>
      <c r="T201" s="473"/>
      <c r="U201" s="473"/>
      <c r="V201" s="473"/>
      <c r="W201" s="473"/>
      <c r="X201" s="473"/>
      <c r="Y201" s="473"/>
      <c r="Z201" s="473"/>
      <c r="AA201" s="473"/>
      <c r="AB201" s="473"/>
      <c r="AC201" s="473"/>
      <c r="AD201" s="473"/>
      <c r="AE201" s="473"/>
      <c r="AF201" s="473"/>
      <c r="AG201" s="473"/>
    </row>
    <row r="202" spans="2:33" ht="27.75" thickBot="1">
      <c r="B202" s="495" t="s">
        <v>217</v>
      </c>
      <c r="C202" s="503" t="s">
        <v>217</v>
      </c>
      <c r="D202" s="502" t="s">
        <v>347</v>
      </c>
      <c r="E202" s="506"/>
      <c r="F202" s="505"/>
      <c r="G202" s="473"/>
      <c r="H202" s="473"/>
      <c r="I202" s="473"/>
      <c r="J202" s="473"/>
      <c r="K202" s="473"/>
      <c r="L202" s="473"/>
      <c r="M202" s="473"/>
      <c r="N202" s="473"/>
      <c r="O202" s="473"/>
      <c r="P202" s="473"/>
      <c r="Q202" s="473"/>
      <c r="R202" s="473"/>
      <c r="S202" s="473"/>
      <c r="T202" s="473"/>
      <c r="U202" s="473"/>
      <c r="V202" s="473"/>
      <c r="W202" s="473"/>
      <c r="X202" s="473"/>
      <c r="Y202" s="473"/>
      <c r="Z202" s="473"/>
      <c r="AA202" s="473"/>
      <c r="AB202" s="473"/>
      <c r="AC202" s="473"/>
      <c r="AD202" s="473"/>
      <c r="AE202" s="473"/>
      <c r="AF202" s="473"/>
      <c r="AG202" s="473"/>
    </row>
    <row r="203" spans="2:33" ht="46.5">
      <c r="B203" s="498" t="s">
        <v>78</v>
      </c>
      <c r="C203" s="499" t="s">
        <v>224</v>
      </c>
      <c r="D203" s="486" t="s">
        <v>348</v>
      </c>
      <c r="E203" s="506" t="s">
        <v>579</v>
      </c>
      <c r="F203" s="505" t="s">
        <v>580</v>
      </c>
      <c r="G203" s="473"/>
      <c r="H203" s="473"/>
      <c r="I203" s="473"/>
      <c r="J203" s="473"/>
      <c r="K203" s="473"/>
      <c r="L203" s="473"/>
      <c r="M203" s="473"/>
      <c r="N203" s="473"/>
      <c r="O203" s="473"/>
      <c r="P203" s="473"/>
      <c r="Q203" s="473"/>
      <c r="R203" s="473"/>
      <c r="S203" s="473"/>
      <c r="T203" s="473"/>
      <c r="U203" s="473"/>
      <c r="V203" s="473"/>
      <c r="W203" s="473"/>
      <c r="X203" s="473"/>
      <c r="Y203" s="473"/>
      <c r="Z203" s="473"/>
      <c r="AA203" s="473"/>
      <c r="AB203" s="473"/>
      <c r="AC203" s="473"/>
      <c r="AD203" s="473"/>
      <c r="AE203" s="473"/>
      <c r="AF203" s="473"/>
      <c r="AG203" s="473"/>
    </row>
    <row r="204" spans="2:33" ht="46.5">
      <c r="B204" s="492" t="s">
        <v>76</v>
      </c>
      <c r="C204" s="469" t="s">
        <v>225</v>
      </c>
      <c r="D204" s="486" t="s">
        <v>349</v>
      </c>
      <c r="E204" s="506" t="s">
        <v>581</v>
      </c>
      <c r="F204" s="505" t="s">
        <v>580</v>
      </c>
      <c r="G204" s="473"/>
      <c r="H204" s="473"/>
      <c r="I204" s="473"/>
      <c r="J204" s="473"/>
      <c r="K204" s="473"/>
      <c r="L204" s="473"/>
      <c r="M204" s="473"/>
      <c r="N204" s="473"/>
      <c r="O204" s="473"/>
      <c r="P204" s="473"/>
      <c r="Q204" s="473"/>
      <c r="R204" s="473"/>
      <c r="S204" s="473"/>
      <c r="T204" s="473"/>
      <c r="U204" s="473"/>
      <c r="V204" s="473"/>
      <c r="W204" s="473"/>
      <c r="X204" s="473"/>
      <c r="Y204" s="473"/>
      <c r="Z204" s="473"/>
      <c r="AA204" s="473"/>
      <c r="AB204" s="473"/>
      <c r="AC204" s="473"/>
      <c r="AD204" s="473"/>
      <c r="AE204" s="473"/>
      <c r="AF204" s="473"/>
      <c r="AG204" s="473"/>
    </row>
    <row r="205" spans="2:33" ht="46.5">
      <c r="B205" s="492" t="s">
        <v>166</v>
      </c>
      <c r="C205" s="469" t="s">
        <v>226</v>
      </c>
      <c r="D205" s="486" t="s">
        <v>350</v>
      </c>
      <c r="E205" s="506" t="s">
        <v>582</v>
      </c>
      <c r="F205" s="505" t="s">
        <v>580</v>
      </c>
      <c r="G205" s="473"/>
      <c r="H205" s="473"/>
      <c r="I205" s="473"/>
      <c r="J205" s="473"/>
      <c r="K205" s="473"/>
      <c r="L205" s="473"/>
      <c r="M205" s="473"/>
      <c r="N205" s="473"/>
      <c r="O205" s="473"/>
      <c r="P205" s="473"/>
      <c r="Q205" s="473"/>
      <c r="R205" s="473"/>
      <c r="S205" s="473"/>
      <c r="T205" s="473"/>
      <c r="U205" s="473"/>
      <c r="V205" s="473"/>
      <c r="W205" s="473"/>
      <c r="X205" s="473"/>
      <c r="Y205" s="473"/>
      <c r="Z205" s="473"/>
      <c r="AA205" s="473"/>
      <c r="AB205" s="473"/>
      <c r="AC205" s="473"/>
      <c r="AD205" s="473"/>
      <c r="AE205" s="473"/>
      <c r="AF205" s="473"/>
      <c r="AG205" s="473"/>
    </row>
    <row r="206" spans="2:33" ht="46.5">
      <c r="B206" s="492" t="s">
        <v>75</v>
      </c>
      <c r="C206" s="469" t="s">
        <v>227</v>
      </c>
      <c r="D206" s="486" t="s">
        <v>351</v>
      </c>
      <c r="E206" s="506" t="s">
        <v>583</v>
      </c>
      <c r="F206" s="505" t="s">
        <v>580</v>
      </c>
      <c r="G206" s="473"/>
      <c r="H206" s="473"/>
      <c r="I206" s="473"/>
      <c r="J206" s="473"/>
      <c r="K206" s="473"/>
      <c r="L206" s="473"/>
      <c r="M206" s="473"/>
      <c r="N206" s="473"/>
      <c r="O206" s="473"/>
      <c r="P206" s="473"/>
      <c r="Q206" s="473"/>
      <c r="R206" s="473"/>
      <c r="S206" s="473"/>
      <c r="T206" s="473"/>
      <c r="U206" s="473"/>
      <c r="V206" s="473"/>
      <c r="W206" s="473"/>
      <c r="X206" s="473"/>
      <c r="Y206" s="473"/>
      <c r="Z206" s="473"/>
      <c r="AA206" s="473"/>
      <c r="AB206" s="473"/>
      <c r="AC206" s="473"/>
      <c r="AD206" s="473"/>
      <c r="AE206" s="473"/>
      <c r="AF206" s="473"/>
      <c r="AG206" s="473"/>
    </row>
    <row r="207" spans="2:33" ht="47.25" thickBot="1">
      <c r="B207" s="507" t="s">
        <v>421</v>
      </c>
      <c r="C207" s="508" t="s">
        <v>228</v>
      </c>
      <c r="D207" s="486" t="s">
        <v>352</v>
      </c>
      <c r="E207" s="506" t="s">
        <v>584</v>
      </c>
      <c r="F207" s="505" t="s">
        <v>580</v>
      </c>
      <c r="G207" s="473"/>
      <c r="H207" s="473"/>
      <c r="I207" s="473"/>
      <c r="J207" s="473"/>
      <c r="K207" s="473"/>
      <c r="L207" s="473"/>
      <c r="M207" s="473"/>
      <c r="N207" s="473"/>
      <c r="O207" s="473"/>
      <c r="P207" s="473"/>
      <c r="Q207" s="473"/>
      <c r="R207" s="473"/>
      <c r="S207" s="473"/>
      <c r="T207" s="473"/>
      <c r="U207" s="473"/>
      <c r="V207" s="473"/>
      <c r="W207" s="473"/>
      <c r="X207" s="473"/>
      <c r="Y207" s="473"/>
      <c r="Z207" s="473"/>
      <c r="AA207" s="473"/>
      <c r="AB207" s="473"/>
      <c r="AC207" s="473"/>
      <c r="AD207" s="473"/>
      <c r="AE207" s="473"/>
      <c r="AF207" s="473"/>
      <c r="AG207" s="473"/>
    </row>
    <row r="208" spans="2:33" ht="27.75" thickBot="1">
      <c r="B208" s="509" t="s">
        <v>230</v>
      </c>
      <c r="C208" s="510"/>
      <c r="D208" s="511"/>
      <c r="E208" s="512"/>
      <c r="F208" s="513"/>
      <c r="G208" s="473"/>
      <c r="H208" s="473"/>
      <c r="I208" s="473"/>
      <c r="J208" s="473"/>
      <c r="K208" s="473"/>
      <c r="L208" s="473"/>
      <c r="M208" s="473"/>
      <c r="N208" s="473"/>
      <c r="O208" s="473"/>
      <c r="P208" s="473"/>
      <c r="Q208" s="473"/>
      <c r="R208" s="473"/>
      <c r="S208" s="473"/>
      <c r="T208" s="473"/>
      <c r="U208" s="473"/>
      <c r="V208" s="473"/>
      <c r="W208" s="473"/>
      <c r="X208" s="473"/>
      <c r="Y208" s="473"/>
      <c r="Z208" s="473"/>
      <c r="AA208" s="473"/>
      <c r="AB208" s="473"/>
      <c r="AC208" s="473"/>
      <c r="AD208" s="473"/>
      <c r="AE208" s="473"/>
      <c r="AF208" s="473"/>
      <c r="AG208" s="473"/>
    </row>
    <row r="209" spans="2:33" s="21" customFormat="1" ht="27.75" thickBot="1">
      <c r="B209" s="595" t="s">
        <v>1042</v>
      </c>
      <c r="C209" s="596"/>
      <c r="D209" s="597"/>
      <c r="E209" s="596"/>
      <c r="F209" s="596"/>
      <c r="G209" s="596"/>
      <c r="H209" s="596"/>
      <c r="I209" s="596"/>
      <c r="J209" s="596"/>
      <c r="K209" s="596"/>
      <c r="L209" s="596"/>
      <c r="M209" s="598"/>
      <c r="N209" s="598"/>
      <c r="O209" s="598"/>
      <c r="P209" s="598"/>
      <c r="Q209" s="598"/>
      <c r="R209" s="598"/>
      <c r="S209" s="598"/>
      <c r="T209" s="598"/>
      <c r="U209" s="598"/>
      <c r="V209" s="598"/>
      <c r="W209" s="598"/>
      <c r="X209" s="598"/>
      <c r="Y209" s="598"/>
      <c r="Z209" s="598"/>
      <c r="AA209" s="598"/>
      <c r="AB209" s="598"/>
      <c r="AC209" s="599"/>
      <c r="AD209" s="596"/>
      <c r="AE209" s="596"/>
      <c r="AF209" s="596"/>
      <c r="AG209" s="600"/>
    </row>
    <row r="210" spans="2:33" ht="27.75" thickBot="1">
      <c r="B210" s="617" t="s">
        <v>925</v>
      </c>
      <c r="C210" s="514" t="s">
        <v>926</v>
      </c>
      <c r="D210" s="515" t="s">
        <v>907</v>
      </c>
      <c r="E210" s="471"/>
      <c r="F210" s="472"/>
      <c r="G210" s="473"/>
      <c r="H210" s="473"/>
      <c r="I210" s="473"/>
      <c r="J210" s="473"/>
      <c r="K210" s="473"/>
      <c r="L210" s="473"/>
      <c r="M210" s="473"/>
      <c r="N210" s="473"/>
      <c r="O210" s="473"/>
      <c r="P210" s="473"/>
      <c r="Q210" s="473"/>
      <c r="R210" s="473"/>
      <c r="S210" s="473"/>
      <c r="T210" s="473"/>
      <c r="U210" s="473"/>
      <c r="V210" s="473"/>
      <c r="W210" s="473"/>
      <c r="X210" s="473"/>
      <c r="Y210" s="473"/>
      <c r="Z210" s="473"/>
      <c r="AA210" s="473"/>
      <c r="AB210" s="473"/>
      <c r="AC210" s="473"/>
      <c r="AD210" s="473"/>
      <c r="AE210" s="473"/>
      <c r="AF210" s="473"/>
      <c r="AG210" s="473"/>
    </row>
    <row r="211" spans="2:33" ht="27.75" thickBot="1">
      <c r="B211" s="618"/>
      <c r="C211" s="516" t="s">
        <v>927</v>
      </c>
      <c r="D211" s="515" t="s">
        <v>908</v>
      </c>
      <c r="E211" s="471"/>
      <c r="F211" s="472"/>
      <c r="G211" s="473"/>
      <c r="H211" s="473"/>
      <c r="I211" s="473"/>
      <c r="J211" s="473"/>
      <c r="K211" s="473"/>
      <c r="L211" s="473"/>
      <c r="M211" s="473"/>
      <c r="N211" s="473"/>
      <c r="O211" s="473"/>
      <c r="P211" s="473"/>
      <c r="Q211" s="473"/>
      <c r="R211" s="473"/>
      <c r="S211" s="473"/>
      <c r="T211" s="473"/>
      <c r="U211" s="473"/>
      <c r="V211" s="473"/>
      <c r="W211" s="473"/>
      <c r="X211" s="473"/>
      <c r="Y211" s="473"/>
      <c r="Z211" s="473"/>
      <c r="AA211" s="473"/>
      <c r="AB211" s="473"/>
      <c r="AC211" s="473"/>
      <c r="AD211" s="473"/>
      <c r="AE211" s="473"/>
      <c r="AF211" s="473"/>
      <c r="AG211" s="473"/>
    </row>
    <row r="212" spans="2:33" ht="27.75" thickBot="1">
      <c r="B212" s="618"/>
      <c r="C212" s="516" t="s">
        <v>928</v>
      </c>
      <c r="D212" s="515" t="s">
        <v>909</v>
      </c>
      <c r="E212" s="471"/>
      <c r="F212" s="472"/>
      <c r="G212" s="473"/>
      <c r="H212" s="473"/>
      <c r="I212" s="473"/>
      <c r="J212" s="473"/>
      <c r="K212" s="473"/>
      <c r="L212" s="473"/>
      <c r="M212" s="473"/>
      <c r="N212" s="473"/>
      <c r="O212" s="473"/>
      <c r="P212" s="473"/>
      <c r="Q212" s="473"/>
      <c r="R212" s="473"/>
      <c r="S212" s="473"/>
      <c r="T212" s="473"/>
      <c r="U212" s="473"/>
      <c r="V212" s="473"/>
      <c r="W212" s="473"/>
      <c r="X212" s="473"/>
      <c r="Y212" s="473"/>
      <c r="Z212" s="473"/>
      <c r="AA212" s="473"/>
      <c r="AB212" s="473"/>
      <c r="AC212" s="473"/>
      <c r="AD212" s="473"/>
      <c r="AE212" s="473"/>
      <c r="AF212" s="473"/>
      <c r="AG212" s="473"/>
    </row>
    <row r="213" spans="2:33" ht="27.75" thickBot="1">
      <c r="B213" s="618"/>
      <c r="C213" s="516" t="s">
        <v>929</v>
      </c>
      <c r="D213" s="515" t="s">
        <v>910</v>
      </c>
      <c r="E213" s="471"/>
      <c r="F213" s="472"/>
      <c r="G213" s="473"/>
      <c r="H213" s="473"/>
      <c r="I213" s="473"/>
      <c r="J213" s="473"/>
      <c r="K213" s="473"/>
      <c r="L213" s="473"/>
      <c r="M213" s="473"/>
      <c r="N213" s="473"/>
      <c r="O213" s="473"/>
      <c r="P213" s="473"/>
      <c r="Q213" s="473"/>
      <c r="R213" s="473"/>
      <c r="S213" s="473"/>
      <c r="T213" s="473"/>
      <c r="U213" s="473"/>
      <c r="V213" s="473"/>
      <c r="W213" s="473"/>
      <c r="X213" s="473"/>
      <c r="Y213" s="473"/>
      <c r="Z213" s="473"/>
      <c r="AA213" s="473"/>
      <c r="AB213" s="473"/>
      <c r="AC213" s="473"/>
      <c r="AD213" s="473"/>
      <c r="AE213" s="473"/>
      <c r="AF213" s="473"/>
      <c r="AG213" s="473"/>
    </row>
    <row r="214" spans="2:33" ht="27.75" thickBot="1">
      <c r="B214" s="618"/>
      <c r="C214" s="517" t="s">
        <v>930</v>
      </c>
      <c r="D214" s="515" t="s">
        <v>911</v>
      </c>
      <c r="E214" s="471"/>
      <c r="F214" s="472"/>
      <c r="G214" s="473"/>
      <c r="H214" s="473"/>
      <c r="I214" s="473"/>
      <c r="J214" s="473"/>
      <c r="K214" s="473"/>
      <c r="L214" s="473"/>
      <c r="M214" s="473"/>
      <c r="N214" s="473"/>
      <c r="O214" s="473"/>
      <c r="P214" s="473"/>
      <c r="Q214" s="473"/>
      <c r="R214" s="473"/>
      <c r="S214" s="473"/>
      <c r="T214" s="473"/>
      <c r="U214" s="473"/>
      <c r="V214" s="473"/>
      <c r="W214" s="473"/>
      <c r="X214" s="473"/>
      <c r="Y214" s="473"/>
      <c r="Z214" s="473"/>
      <c r="AA214" s="473"/>
      <c r="AB214" s="473"/>
      <c r="AC214" s="473"/>
      <c r="AD214" s="473"/>
      <c r="AE214" s="473"/>
      <c r="AF214" s="473"/>
      <c r="AG214" s="473"/>
    </row>
    <row r="215" spans="2:33" ht="27.75" thickBot="1">
      <c r="B215" s="618"/>
      <c r="C215" s="516" t="s">
        <v>1008</v>
      </c>
      <c r="D215" s="515" t="s">
        <v>912</v>
      </c>
      <c r="E215" s="471"/>
      <c r="F215" s="472"/>
      <c r="G215" s="473"/>
      <c r="H215" s="473"/>
      <c r="I215" s="473"/>
      <c r="J215" s="473"/>
      <c r="K215" s="473"/>
      <c r="L215" s="473"/>
      <c r="M215" s="473"/>
      <c r="N215" s="473"/>
      <c r="O215" s="473"/>
      <c r="P215" s="473"/>
      <c r="Q215" s="473"/>
      <c r="R215" s="473"/>
      <c r="S215" s="473"/>
      <c r="T215" s="473"/>
      <c r="U215" s="473"/>
      <c r="V215" s="473"/>
      <c r="W215" s="473"/>
      <c r="X215" s="473"/>
      <c r="Y215" s="473"/>
      <c r="Z215" s="473"/>
      <c r="AA215" s="473"/>
      <c r="AB215" s="473"/>
      <c r="AC215" s="473"/>
      <c r="AD215" s="473"/>
      <c r="AE215" s="473"/>
      <c r="AF215" s="473"/>
      <c r="AG215" s="473"/>
    </row>
    <row r="216" spans="2:33" ht="27.75" thickBot="1">
      <c r="B216" s="618"/>
      <c r="C216" s="516" t="s">
        <v>1009</v>
      </c>
      <c r="D216" s="515" t="s">
        <v>913</v>
      </c>
      <c r="E216" s="471"/>
      <c r="F216" s="472"/>
      <c r="G216" s="473"/>
      <c r="H216" s="473"/>
      <c r="I216" s="473"/>
      <c r="J216" s="473"/>
      <c r="K216" s="473"/>
      <c r="L216" s="473"/>
      <c r="M216" s="473"/>
      <c r="N216" s="473"/>
      <c r="O216" s="473"/>
      <c r="P216" s="473"/>
      <c r="Q216" s="473"/>
      <c r="R216" s="473"/>
      <c r="S216" s="473"/>
      <c r="T216" s="473"/>
      <c r="U216" s="473"/>
      <c r="V216" s="473"/>
      <c r="W216" s="473"/>
      <c r="X216" s="473"/>
      <c r="Y216" s="473"/>
      <c r="Z216" s="473"/>
      <c r="AA216" s="473"/>
      <c r="AB216" s="473"/>
      <c r="AC216" s="473"/>
      <c r="AD216" s="473"/>
      <c r="AE216" s="473"/>
      <c r="AF216" s="473"/>
      <c r="AG216" s="473"/>
    </row>
    <row r="217" spans="2:33" ht="27.75" thickBot="1">
      <c r="B217" s="618"/>
      <c r="C217" s="516" t="s">
        <v>1010</v>
      </c>
      <c r="D217" s="515" t="s">
        <v>914</v>
      </c>
      <c r="E217" s="471"/>
      <c r="F217" s="472"/>
      <c r="G217" s="473"/>
      <c r="H217" s="473"/>
      <c r="I217" s="473"/>
      <c r="J217" s="473"/>
      <c r="K217" s="473"/>
      <c r="L217" s="473"/>
      <c r="M217" s="473"/>
      <c r="N217" s="473"/>
      <c r="O217" s="473"/>
      <c r="P217" s="473"/>
      <c r="Q217" s="473"/>
      <c r="R217" s="473"/>
      <c r="S217" s="473"/>
      <c r="T217" s="473"/>
      <c r="U217" s="473"/>
      <c r="V217" s="473"/>
      <c r="W217" s="473"/>
      <c r="X217" s="473"/>
      <c r="Y217" s="473"/>
      <c r="Z217" s="473"/>
      <c r="AA217" s="473"/>
      <c r="AB217" s="473"/>
      <c r="AC217" s="473"/>
      <c r="AD217" s="473"/>
      <c r="AE217" s="473"/>
      <c r="AF217" s="473"/>
      <c r="AG217" s="473"/>
    </row>
    <row r="218" spans="2:33" ht="27.75" thickBot="1">
      <c r="B218" s="619"/>
      <c r="C218" s="516" t="s">
        <v>1011</v>
      </c>
      <c r="D218" s="515" t="s">
        <v>915</v>
      </c>
      <c r="E218" s="471"/>
      <c r="F218" s="472"/>
      <c r="G218" s="473"/>
      <c r="H218" s="473"/>
      <c r="I218" s="473"/>
      <c r="J218" s="473"/>
      <c r="K218" s="473"/>
      <c r="L218" s="473"/>
      <c r="M218" s="473"/>
      <c r="N218" s="473"/>
      <c r="O218" s="473"/>
      <c r="P218" s="473"/>
      <c r="Q218" s="473"/>
      <c r="R218" s="473"/>
      <c r="S218" s="473"/>
      <c r="T218" s="473"/>
      <c r="U218" s="473"/>
      <c r="V218" s="473"/>
      <c r="W218" s="473"/>
      <c r="X218" s="473"/>
      <c r="Y218" s="473"/>
      <c r="Z218" s="473"/>
      <c r="AA218" s="473"/>
      <c r="AB218" s="473"/>
      <c r="AC218" s="473"/>
      <c r="AD218" s="473"/>
      <c r="AE218" s="473"/>
      <c r="AF218" s="473"/>
      <c r="AG218" s="473"/>
    </row>
    <row r="219" spans="2:33" s="21" customFormat="1" ht="27.75" thickBot="1">
      <c r="B219" s="601" t="s">
        <v>1041</v>
      </c>
      <c r="C219" s="602"/>
      <c r="D219" s="623"/>
      <c r="E219" s="602"/>
      <c r="F219" s="602"/>
      <c r="G219" s="602"/>
      <c r="H219" s="602"/>
      <c r="I219" s="602"/>
      <c r="J219" s="602"/>
      <c r="K219" s="602"/>
      <c r="L219" s="602"/>
      <c r="M219" s="602"/>
      <c r="N219" s="602"/>
      <c r="O219" s="602"/>
      <c r="P219" s="602"/>
      <c r="Q219" s="602"/>
      <c r="R219" s="602"/>
      <c r="S219" s="602"/>
      <c r="T219" s="602"/>
      <c r="U219" s="602"/>
      <c r="V219" s="602"/>
      <c r="W219" s="602"/>
      <c r="X219" s="602"/>
      <c r="Y219" s="602"/>
      <c r="Z219" s="602"/>
      <c r="AA219" s="602"/>
      <c r="AB219" s="602"/>
      <c r="AC219" s="603"/>
      <c r="AD219" s="602"/>
      <c r="AE219" s="602"/>
      <c r="AF219" s="602"/>
      <c r="AG219" s="624"/>
    </row>
    <row r="220" spans="2:33" ht="27.75" thickBot="1">
      <c r="B220" s="617" t="s">
        <v>931</v>
      </c>
      <c r="C220" s="514" t="s">
        <v>932</v>
      </c>
      <c r="D220" s="515" t="s">
        <v>916</v>
      </c>
      <c r="E220" s="471"/>
      <c r="F220" s="472"/>
      <c r="G220" s="473"/>
      <c r="H220" s="473"/>
      <c r="I220" s="473"/>
      <c r="J220" s="473"/>
      <c r="K220" s="473"/>
      <c r="L220" s="473"/>
      <c r="M220" s="473"/>
      <c r="N220" s="473"/>
      <c r="O220" s="473"/>
      <c r="P220" s="473"/>
      <c r="Q220" s="473"/>
      <c r="R220" s="473"/>
      <c r="S220" s="473"/>
      <c r="T220" s="473"/>
      <c r="U220" s="473"/>
      <c r="V220" s="473"/>
      <c r="W220" s="473"/>
      <c r="X220" s="473"/>
      <c r="Y220" s="473"/>
      <c r="Z220" s="473"/>
      <c r="AA220" s="473"/>
      <c r="AB220" s="473"/>
      <c r="AC220" s="473"/>
      <c r="AD220" s="473"/>
      <c r="AE220" s="473"/>
      <c r="AF220" s="473"/>
      <c r="AG220" s="473"/>
    </row>
    <row r="221" spans="2:33" ht="27.75" thickBot="1">
      <c r="B221" s="618"/>
      <c r="C221" s="516" t="s">
        <v>933</v>
      </c>
      <c r="D221" s="515" t="s">
        <v>917</v>
      </c>
      <c r="E221" s="471"/>
      <c r="F221" s="472"/>
      <c r="G221" s="473"/>
      <c r="H221" s="473"/>
      <c r="I221" s="473"/>
      <c r="J221" s="473"/>
      <c r="K221" s="473"/>
      <c r="L221" s="473"/>
      <c r="M221" s="473"/>
      <c r="N221" s="473"/>
      <c r="O221" s="473"/>
      <c r="P221" s="473"/>
      <c r="Q221" s="473"/>
      <c r="R221" s="473"/>
      <c r="S221" s="473"/>
      <c r="T221" s="473"/>
      <c r="U221" s="473"/>
      <c r="V221" s="473"/>
      <c r="W221" s="473"/>
      <c r="X221" s="473"/>
      <c r="Y221" s="473"/>
      <c r="Z221" s="473"/>
      <c r="AA221" s="473"/>
      <c r="AB221" s="473"/>
      <c r="AC221" s="473"/>
      <c r="AD221" s="473"/>
      <c r="AE221" s="473"/>
      <c r="AF221" s="473"/>
      <c r="AG221" s="473"/>
    </row>
    <row r="222" spans="2:33" ht="27.75" thickBot="1">
      <c r="B222" s="618"/>
      <c r="C222" s="516" t="s">
        <v>934</v>
      </c>
      <c r="D222" s="515" t="s">
        <v>918</v>
      </c>
      <c r="E222" s="471"/>
      <c r="F222" s="472"/>
      <c r="G222" s="473"/>
      <c r="H222" s="473"/>
      <c r="I222" s="473"/>
      <c r="J222" s="473"/>
      <c r="K222" s="473"/>
      <c r="L222" s="473"/>
      <c r="M222" s="473"/>
      <c r="N222" s="473"/>
      <c r="O222" s="473"/>
      <c r="P222" s="473"/>
      <c r="Q222" s="473"/>
      <c r="R222" s="473"/>
      <c r="S222" s="473"/>
      <c r="T222" s="473"/>
      <c r="U222" s="473"/>
      <c r="V222" s="473"/>
      <c r="W222" s="473"/>
      <c r="X222" s="473"/>
      <c r="Y222" s="473"/>
      <c r="Z222" s="473"/>
      <c r="AA222" s="473"/>
      <c r="AB222" s="473"/>
      <c r="AC222" s="473"/>
      <c r="AD222" s="473"/>
      <c r="AE222" s="473"/>
      <c r="AF222" s="473"/>
      <c r="AG222" s="473"/>
    </row>
    <row r="223" spans="2:33" ht="27.75" thickBot="1">
      <c r="B223" s="618"/>
      <c r="C223" s="516" t="s">
        <v>935</v>
      </c>
      <c r="D223" s="515" t="s">
        <v>919</v>
      </c>
      <c r="E223" s="471"/>
      <c r="F223" s="472"/>
      <c r="G223" s="473"/>
      <c r="H223" s="473"/>
      <c r="I223" s="473"/>
      <c r="J223" s="473"/>
      <c r="K223" s="473"/>
      <c r="L223" s="473"/>
      <c r="M223" s="473"/>
      <c r="N223" s="473"/>
      <c r="O223" s="473"/>
      <c r="P223" s="473"/>
      <c r="Q223" s="473"/>
      <c r="R223" s="473"/>
      <c r="S223" s="473"/>
      <c r="T223" s="473"/>
      <c r="U223" s="473"/>
      <c r="V223" s="473"/>
      <c r="W223" s="473"/>
      <c r="X223" s="473"/>
      <c r="Y223" s="473"/>
      <c r="Z223" s="473"/>
      <c r="AA223" s="473"/>
      <c r="AB223" s="473"/>
      <c r="AC223" s="473"/>
      <c r="AD223" s="473"/>
      <c r="AE223" s="473"/>
      <c r="AF223" s="473"/>
      <c r="AG223" s="473"/>
    </row>
    <row r="224" spans="2:33" ht="27.75" thickBot="1">
      <c r="B224" s="618"/>
      <c r="C224" s="517" t="s">
        <v>936</v>
      </c>
      <c r="D224" s="515" t="s">
        <v>920</v>
      </c>
      <c r="E224" s="471"/>
      <c r="F224" s="472"/>
      <c r="G224" s="473"/>
      <c r="H224" s="473"/>
      <c r="I224" s="473"/>
      <c r="J224" s="473"/>
      <c r="K224" s="473"/>
      <c r="L224" s="473"/>
      <c r="M224" s="473"/>
      <c r="N224" s="473"/>
      <c r="O224" s="473"/>
      <c r="P224" s="473"/>
      <c r="Q224" s="473"/>
      <c r="R224" s="473"/>
      <c r="S224" s="473"/>
      <c r="T224" s="473"/>
      <c r="U224" s="473"/>
      <c r="V224" s="473"/>
      <c r="W224" s="473"/>
      <c r="X224" s="473"/>
      <c r="Y224" s="473"/>
      <c r="Z224" s="473"/>
      <c r="AA224" s="473"/>
      <c r="AB224" s="473"/>
      <c r="AC224" s="473"/>
      <c r="AD224" s="473"/>
      <c r="AE224" s="473"/>
      <c r="AF224" s="473"/>
      <c r="AG224" s="473"/>
    </row>
    <row r="225" spans="2:33" ht="27.75" thickBot="1">
      <c r="B225" s="618"/>
      <c r="C225" s="516" t="s">
        <v>1006</v>
      </c>
      <c r="D225" s="515" t="s">
        <v>921</v>
      </c>
      <c r="E225" s="471"/>
      <c r="F225" s="472"/>
      <c r="G225" s="473"/>
      <c r="H225" s="473"/>
      <c r="I225" s="473"/>
      <c r="J225" s="473"/>
      <c r="K225" s="473"/>
      <c r="L225" s="473"/>
      <c r="M225" s="473"/>
      <c r="N225" s="473"/>
      <c r="O225" s="473"/>
      <c r="P225" s="473"/>
      <c r="Q225" s="473"/>
      <c r="R225" s="473"/>
      <c r="S225" s="473"/>
      <c r="T225" s="473"/>
      <c r="U225" s="473"/>
      <c r="V225" s="473"/>
      <c r="W225" s="473"/>
      <c r="X225" s="473"/>
      <c r="Y225" s="473"/>
      <c r="Z225" s="473"/>
      <c r="AA225" s="473"/>
      <c r="AB225" s="473"/>
      <c r="AC225" s="473"/>
      <c r="AD225" s="473"/>
      <c r="AE225" s="473"/>
      <c r="AF225" s="473"/>
      <c r="AG225" s="473"/>
    </row>
    <row r="226" spans="2:33" ht="27.75" thickBot="1">
      <c r="B226" s="618"/>
      <c r="C226" s="516" t="s">
        <v>1007</v>
      </c>
      <c r="D226" s="515" t="s">
        <v>922</v>
      </c>
      <c r="E226" s="471"/>
      <c r="F226" s="472"/>
      <c r="G226" s="473"/>
      <c r="H226" s="473"/>
      <c r="I226" s="473"/>
      <c r="J226" s="473"/>
      <c r="K226" s="473"/>
      <c r="L226" s="473"/>
      <c r="M226" s="473"/>
      <c r="N226" s="473"/>
      <c r="O226" s="473"/>
      <c r="P226" s="473"/>
      <c r="Q226" s="473"/>
      <c r="R226" s="473"/>
      <c r="S226" s="473"/>
      <c r="T226" s="473"/>
      <c r="U226" s="473"/>
      <c r="V226" s="473"/>
      <c r="W226" s="473"/>
      <c r="X226" s="473"/>
      <c r="Y226" s="473"/>
      <c r="Z226" s="473"/>
      <c r="AA226" s="473"/>
      <c r="AB226" s="473"/>
      <c r="AC226" s="473"/>
      <c r="AD226" s="473"/>
      <c r="AE226" s="473"/>
      <c r="AF226" s="473"/>
      <c r="AG226" s="473"/>
    </row>
    <row r="227" spans="2:33" ht="27.75" thickBot="1">
      <c r="B227" s="618"/>
      <c r="C227" s="516" t="s">
        <v>1027</v>
      </c>
      <c r="D227" s="515" t="s">
        <v>923</v>
      </c>
      <c r="E227" s="471"/>
      <c r="F227" s="472"/>
      <c r="G227" s="473"/>
      <c r="H227" s="473"/>
      <c r="I227" s="473"/>
      <c r="J227" s="473"/>
      <c r="K227" s="473"/>
      <c r="L227" s="473"/>
      <c r="M227" s="473"/>
      <c r="N227" s="473"/>
      <c r="O227" s="473"/>
      <c r="P227" s="473"/>
      <c r="Q227" s="473"/>
      <c r="R227" s="473"/>
      <c r="S227" s="473"/>
      <c r="T227" s="473"/>
      <c r="U227" s="473"/>
      <c r="V227" s="473"/>
      <c r="W227" s="473"/>
      <c r="X227" s="473"/>
      <c r="Y227" s="473"/>
      <c r="Z227" s="473"/>
      <c r="AA227" s="473"/>
      <c r="AB227" s="473"/>
      <c r="AC227" s="473"/>
      <c r="AD227" s="473"/>
      <c r="AE227" s="473"/>
      <c r="AF227" s="473"/>
      <c r="AG227" s="473"/>
    </row>
    <row r="228" spans="2:33" ht="27.75" thickBot="1">
      <c r="B228" s="619"/>
      <c r="C228" s="516" t="s">
        <v>1028</v>
      </c>
      <c r="D228" s="515" t="s">
        <v>924</v>
      </c>
      <c r="E228" s="471"/>
      <c r="F228" s="472"/>
      <c r="G228" s="473"/>
      <c r="H228" s="473"/>
      <c r="I228" s="473"/>
      <c r="J228" s="473"/>
      <c r="K228" s="473"/>
      <c r="L228" s="473"/>
      <c r="M228" s="473"/>
      <c r="N228" s="473"/>
      <c r="O228" s="473"/>
      <c r="P228" s="473"/>
      <c r="Q228" s="473"/>
      <c r="R228" s="473"/>
      <c r="S228" s="473"/>
      <c r="T228" s="473"/>
      <c r="U228" s="473"/>
      <c r="V228" s="473"/>
      <c r="W228" s="473"/>
      <c r="X228" s="473"/>
      <c r="Y228" s="473"/>
      <c r="Z228" s="473"/>
      <c r="AA228" s="473"/>
      <c r="AB228" s="473"/>
      <c r="AC228" s="473"/>
      <c r="AD228" s="473"/>
      <c r="AE228" s="473"/>
      <c r="AF228" s="473"/>
      <c r="AG228" s="473"/>
    </row>
    <row r="229" spans="2:33" s="21" customFormat="1" ht="27.75" thickBot="1">
      <c r="B229" s="601" t="s">
        <v>1025</v>
      </c>
      <c r="C229" s="602"/>
      <c r="D229" s="603"/>
      <c r="E229" s="602"/>
      <c r="F229" s="602"/>
      <c r="G229" s="602"/>
      <c r="H229" s="602"/>
      <c r="I229" s="602"/>
      <c r="J229" s="602"/>
      <c r="K229" s="602"/>
      <c r="L229" s="602"/>
      <c r="M229" s="602"/>
      <c r="N229" s="602"/>
      <c r="O229" s="602"/>
      <c r="P229" s="602"/>
      <c r="Q229" s="602"/>
      <c r="R229" s="602"/>
      <c r="S229" s="602"/>
      <c r="T229" s="602"/>
      <c r="U229" s="602"/>
      <c r="V229" s="602"/>
      <c r="W229" s="602"/>
      <c r="X229" s="602"/>
      <c r="Y229" s="602"/>
      <c r="Z229" s="602"/>
      <c r="AA229" s="602"/>
      <c r="AB229" s="602"/>
      <c r="AC229" s="602"/>
      <c r="AD229" s="602"/>
      <c r="AE229" s="602"/>
      <c r="AF229" s="602"/>
      <c r="AG229" s="604"/>
    </row>
    <row r="230" spans="2:33" ht="27.75" thickBot="1">
      <c r="B230" s="620" t="s">
        <v>967</v>
      </c>
      <c r="C230" s="514" t="s">
        <v>100</v>
      </c>
      <c r="D230" s="515" t="s">
        <v>950</v>
      </c>
      <c r="E230" s="471"/>
      <c r="F230" s="472"/>
      <c r="G230" s="473"/>
      <c r="H230" s="473"/>
      <c r="I230" s="473"/>
      <c r="J230" s="473"/>
      <c r="K230" s="473"/>
      <c r="L230" s="473"/>
      <c r="M230" s="473"/>
      <c r="N230" s="473"/>
      <c r="O230" s="473"/>
      <c r="P230" s="473"/>
      <c r="Q230" s="473"/>
      <c r="R230" s="473"/>
      <c r="S230" s="473"/>
      <c r="T230" s="473"/>
      <c r="U230" s="473"/>
      <c r="V230" s="473"/>
      <c r="W230" s="473"/>
      <c r="X230" s="473"/>
      <c r="Y230" s="473"/>
      <c r="Z230" s="473"/>
      <c r="AA230" s="473"/>
      <c r="AB230" s="473"/>
      <c r="AC230" s="473"/>
      <c r="AD230" s="473"/>
      <c r="AE230" s="473"/>
      <c r="AF230" s="473"/>
      <c r="AG230" s="473"/>
    </row>
    <row r="231" spans="2:33" ht="27.75" thickBot="1">
      <c r="B231" s="621"/>
      <c r="C231" s="516" t="s">
        <v>953</v>
      </c>
      <c r="D231" s="515" t="s">
        <v>951</v>
      </c>
      <c r="E231" s="471"/>
      <c r="F231" s="472"/>
      <c r="G231" s="473"/>
      <c r="H231" s="473"/>
      <c r="I231" s="473"/>
      <c r="J231" s="473"/>
      <c r="K231" s="473"/>
      <c r="L231" s="473"/>
      <c r="M231" s="473"/>
      <c r="N231" s="473"/>
      <c r="O231" s="473"/>
      <c r="P231" s="473"/>
      <c r="Q231" s="473"/>
      <c r="R231" s="473"/>
      <c r="S231" s="473"/>
      <c r="T231" s="473"/>
      <c r="U231" s="473"/>
      <c r="V231" s="473"/>
      <c r="W231" s="473"/>
      <c r="X231" s="473"/>
      <c r="Y231" s="473"/>
      <c r="Z231" s="473"/>
      <c r="AA231" s="473"/>
      <c r="AB231" s="473"/>
      <c r="AC231" s="473"/>
      <c r="AD231" s="473"/>
      <c r="AE231" s="473"/>
      <c r="AF231" s="473"/>
      <c r="AG231" s="473"/>
    </row>
    <row r="232" spans="2:33" ht="27.75" thickBot="1">
      <c r="B232" s="621"/>
      <c r="C232" s="516" t="s">
        <v>954</v>
      </c>
      <c r="D232" s="515" t="s">
        <v>952</v>
      </c>
      <c r="E232" s="471"/>
      <c r="F232" s="472"/>
      <c r="G232" s="473"/>
      <c r="H232" s="473"/>
      <c r="I232" s="473"/>
      <c r="J232" s="473"/>
      <c r="K232" s="473"/>
      <c r="L232" s="473"/>
      <c r="M232" s="473"/>
      <c r="N232" s="473"/>
      <c r="O232" s="473"/>
      <c r="P232" s="473"/>
      <c r="Q232" s="473"/>
      <c r="R232" s="473"/>
      <c r="S232" s="473"/>
      <c r="T232" s="473"/>
      <c r="U232" s="473"/>
      <c r="V232" s="473"/>
      <c r="W232" s="473"/>
      <c r="X232" s="473"/>
      <c r="Y232" s="473"/>
      <c r="Z232" s="473"/>
      <c r="AA232" s="473"/>
      <c r="AB232" s="473"/>
      <c r="AC232" s="473"/>
      <c r="AD232" s="473"/>
      <c r="AE232" s="473"/>
      <c r="AF232" s="473"/>
      <c r="AG232" s="473"/>
    </row>
    <row r="233" spans="2:33" ht="27.75" thickBot="1">
      <c r="B233" s="621"/>
      <c r="C233" s="516" t="s">
        <v>955</v>
      </c>
      <c r="D233" s="515" t="s">
        <v>961</v>
      </c>
      <c r="E233" s="471"/>
      <c r="F233" s="472"/>
      <c r="G233" s="473"/>
      <c r="H233" s="473"/>
      <c r="I233" s="473"/>
      <c r="J233" s="473"/>
      <c r="K233" s="473"/>
      <c r="L233" s="473"/>
      <c r="M233" s="473"/>
      <c r="N233" s="473"/>
      <c r="O233" s="473"/>
      <c r="P233" s="473"/>
      <c r="Q233" s="473"/>
      <c r="R233" s="473"/>
      <c r="S233" s="473"/>
      <c r="T233" s="473"/>
      <c r="U233" s="473"/>
      <c r="V233" s="473"/>
      <c r="W233" s="473"/>
      <c r="X233" s="473"/>
      <c r="Y233" s="473"/>
      <c r="Z233" s="473"/>
      <c r="AA233" s="473"/>
      <c r="AB233" s="473"/>
      <c r="AC233" s="473"/>
      <c r="AD233" s="473"/>
      <c r="AE233" s="473"/>
      <c r="AF233" s="473"/>
      <c r="AG233" s="473"/>
    </row>
    <row r="234" spans="2:33" ht="27.75" thickBot="1">
      <c r="B234" s="621"/>
      <c r="C234" s="517" t="s">
        <v>956</v>
      </c>
      <c r="D234" s="515" t="s">
        <v>962</v>
      </c>
      <c r="E234" s="471"/>
      <c r="F234" s="472"/>
      <c r="G234" s="473"/>
      <c r="H234" s="473"/>
      <c r="I234" s="473"/>
      <c r="J234" s="473"/>
      <c r="K234" s="473"/>
      <c r="L234" s="473"/>
      <c r="M234" s="473"/>
      <c r="N234" s="473"/>
      <c r="O234" s="473"/>
      <c r="P234" s="473"/>
      <c r="Q234" s="473"/>
      <c r="R234" s="473"/>
      <c r="S234" s="473"/>
      <c r="T234" s="473"/>
      <c r="U234" s="473"/>
      <c r="V234" s="473"/>
      <c r="W234" s="473"/>
      <c r="X234" s="473"/>
      <c r="Y234" s="473"/>
      <c r="Z234" s="473"/>
      <c r="AA234" s="473"/>
      <c r="AB234" s="473"/>
      <c r="AC234" s="473"/>
      <c r="AD234" s="473"/>
      <c r="AE234" s="473"/>
      <c r="AF234" s="473"/>
      <c r="AG234" s="473"/>
    </row>
    <row r="235" spans="2:33" ht="27.75" thickBot="1">
      <c r="B235" s="621"/>
      <c r="C235" s="516" t="s">
        <v>957</v>
      </c>
      <c r="D235" s="515" t="s">
        <v>963</v>
      </c>
      <c r="E235" s="471"/>
      <c r="F235" s="472"/>
      <c r="G235" s="473"/>
      <c r="H235" s="473"/>
      <c r="I235" s="473"/>
      <c r="J235" s="473"/>
      <c r="K235" s="473"/>
      <c r="L235" s="473"/>
      <c r="M235" s="473"/>
      <c r="N235" s="473"/>
      <c r="O235" s="473"/>
      <c r="P235" s="473"/>
      <c r="Q235" s="473"/>
      <c r="R235" s="473"/>
      <c r="S235" s="473"/>
      <c r="T235" s="473"/>
      <c r="U235" s="473"/>
      <c r="V235" s="473"/>
      <c r="W235" s="473"/>
      <c r="X235" s="473"/>
      <c r="Y235" s="473"/>
      <c r="Z235" s="473"/>
      <c r="AA235" s="473"/>
      <c r="AB235" s="473"/>
      <c r="AC235" s="473"/>
      <c r="AD235" s="473"/>
      <c r="AE235" s="473"/>
      <c r="AF235" s="473"/>
      <c r="AG235" s="473"/>
    </row>
    <row r="236" spans="2:33" ht="27.75" thickBot="1">
      <c r="B236" s="621"/>
      <c r="C236" s="516" t="s">
        <v>958</v>
      </c>
      <c r="D236" s="515" t="s">
        <v>964</v>
      </c>
      <c r="E236" s="471"/>
      <c r="F236" s="472"/>
      <c r="G236" s="473"/>
      <c r="H236" s="473"/>
      <c r="I236" s="473"/>
      <c r="J236" s="473"/>
      <c r="K236" s="473"/>
      <c r="L236" s="473"/>
      <c r="M236" s="473"/>
      <c r="N236" s="473"/>
      <c r="O236" s="473"/>
      <c r="P236" s="473"/>
      <c r="Q236" s="473"/>
      <c r="R236" s="473"/>
      <c r="S236" s="473"/>
      <c r="T236" s="473"/>
      <c r="U236" s="473"/>
      <c r="V236" s="473"/>
      <c r="W236" s="473"/>
      <c r="X236" s="473"/>
      <c r="Y236" s="473"/>
      <c r="Z236" s="473"/>
      <c r="AA236" s="473"/>
      <c r="AB236" s="473"/>
      <c r="AC236" s="473"/>
      <c r="AD236" s="473"/>
      <c r="AE236" s="473"/>
      <c r="AF236" s="473"/>
      <c r="AG236" s="473"/>
    </row>
    <row r="237" spans="2:33" ht="27.75" thickBot="1">
      <c r="B237" s="621"/>
      <c r="C237" s="516" t="s">
        <v>959</v>
      </c>
      <c r="D237" s="515" t="s">
        <v>965</v>
      </c>
      <c r="E237" s="471"/>
      <c r="F237" s="472"/>
      <c r="G237" s="473"/>
      <c r="H237" s="473"/>
      <c r="I237" s="473"/>
      <c r="J237" s="473"/>
      <c r="K237" s="473"/>
      <c r="L237" s="473"/>
      <c r="M237" s="473"/>
      <c r="N237" s="473"/>
      <c r="O237" s="473"/>
      <c r="P237" s="473"/>
      <c r="Q237" s="473"/>
      <c r="R237" s="473"/>
      <c r="S237" s="473"/>
      <c r="T237" s="473"/>
      <c r="U237" s="473"/>
      <c r="V237" s="473"/>
      <c r="W237" s="473"/>
      <c r="X237" s="473"/>
      <c r="Y237" s="473"/>
      <c r="Z237" s="473"/>
      <c r="AA237" s="473"/>
      <c r="AB237" s="473"/>
      <c r="AC237" s="473"/>
      <c r="AD237" s="473"/>
      <c r="AE237" s="473"/>
      <c r="AF237" s="473"/>
      <c r="AG237" s="473"/>
    </row>
    <row r="238" spans="2:33" ht="27.75" thickBot="1">
      <c r="B238" s="622"/>
      <c r="C238" s="516" t="s">
        <v>960</v>
      </c>
      <c r="D238" s="515" t="s">
        <v>966</v>
      </c>
      <c r="E238" s="471"/>
      <c r="F238" s="472"/>
      <c r="G238" s="473"/>
      <c r="H238" s="473"/>
      <c r="I238" s="473"/>
      <c r="J238" s="473"/>
      <c r="K238" s="473"/>
      <c r="L238" s="473"/>
      <c r="M238" s="473"/>
      <c r="N238" s="473"/>
      <c r="O238" s="473"/>
      <c r="P238" s="473"/>
      <c r="Q238" s="473"/>
      <c r="R238" s="473"/>
      <c r="S238" s="473"/>
      <c r="T238" s="473"/>
      <c r="U238" s="473"/>
      <c r="V238" s="473"/>
      <c r="W238" s="473"/>
      <c r="X238" s="473"/>
      <c r="Y238" s="473"/>
      <c r="Z238" s="473"/>
      <c r="AA238" s="473"/>
      <c r="AB238" s="473"/>
      <c r="AC238" s="473"/>
      <c r="AD238" s="473"/>
      <c r="AE238" s="473"/>
      <c r="AF238" s="473"/>
      <c r="AG238" s="473"/>
    </row>
    <row r="239" spans="2:33" s="21" customFormat="1" ht="27.75" thickBot="1">
      <c r="B239" s="601" t="s">
        <v>1026</v>
      </c>
      <c r="C239" s="602"/>
      <c r="D239" s="603"/>
      <c r="E239" s="602"/>
      <c r="F239" s="602"/>
      <c r="G239" s="602"/>
      <c r="H239" s="602"/>
      <c r="I239" s="602"/>
      <c r="J239" s="602"/>
      <c r="K239" s="602"/>
      <c r="L239" s="602"/>
      <c r="M239" s="602"/>
      <c r="N239" s="602"/>
      <c r="O239" s="602"/>
      <c r="P239" s="602"/>
      <c r="Q239" s="602"/>
      <c r="R239" s="602"/>
      <c r="S239" s="602"/>
      <c r="T239" s="602"/>
      <c r="U239" s="602"/>
      <c r="V239" s="602"/>
      <c r="W239" s="602"/>
      <c r="X239" s="602"/>
      <c r="Y239" s="602"/>
      <c r="Z239" s="602"/>
      <c r="AA239" s="602"/>
      <c r="AB239" s="602"/>
      <c r="AC239" s="602"/>
      <c r="AD239" s="602"/>
      <c r="AE239" s="602"/>
      <c r="AF239" s="602"/>
      <c r="AG239" s="604"/>
    </row>
    <row r="240" spans="2:33" ht="27.75" thickBot="1">
      <c r="B240" s="630" t="s">
        <v>968</v>
      </c>
      <c r="C240" s="514" t="s">
        <v>100</v>
      </c>
      <c r="D240" s="515" t="s">
        <v>987</v>
      </c>
      <c r="E240" s="471"/>
      <c r="F240" s="472"/>
      <c r="G240" s="473"/>
      <c r="H240" s="473"/>
      <c r="I240" s="473"/>
      <c r="J240" s="473"/>
      <c r="K240" s="473"/>
      <c r="L240" s="473"/>
      <c r="M240" s="473"/>
      <c r="N240" s="473"/>
      <c r="O240" s="473"/>
      <c r="P240" s="473"/>
      <c r="Q240" s="473"/>
      <c r="R240" s="473"/>
      <c r="S240" s="473"/>
      <c r="T240" s="473"/>
      <c r="U240" s="473"/>
      <c r="V240" s="473"/>
      <c r="W240" s="473"/>
      <c r="X240" s="473"/>
      <c r="Y240" s="473"/>
      <c r="Z240" s="473"/>
      <c r="AA240" s="473"/>
      <c r="AB240" s="473"/>
      <c r="AC240" s="473"/>
      <c r="AD240" s="473"/>
      <c r="AE240" s="473"/>
      <c r="AF240" s="473"/>
      <c r="AG240" s="473"/>
    </row>
    <row r="241" spans="2:33" ht="27.75" thickBot="1">
      <c r="B241" s="631"/>
      <c r="C241" s="516" t="s">
        <v>953</v>
      </c>
      <c r="D241" s="515" t="s">
        <v>988</v>
      </c>
      <c r="E241" s="471"/>
      <c r="F241" s="472"/>
      <c r="G241" s="473"/>
      <c r="H241" s="473"/>
      <c r="I241" s="473"/>
      <c r="J241" s="473"/>
      <c r="K241" s="473"/>
      <c r="L241" s="473"/>
      <c r="M241" s="473"/>
      <c r="N241" s="473"/>
      <c r="O241" s="473"/>
      <c r="P241" s="473"/>
      <c r="Q241" s="473"/>
      <c r="R241" s="473"/>
      <c r="S241" s="473"/>
      <c r="T241" s="473"/>
      <c r="U241" s="473"/>
      <c r="V241" s="473"/>
      <c r="W241" s="473"/>
      <c r="X241" s="473"/>
      <c r="Y241" s="473"/>
      <c r="Z241" s="473"/>
      <c r="AA241" s="473"/>
      <c r="AB241" s="473"/>
      <c r="AC241" s="473"/>
      <c r="AD241" s="473"/>
      <c r="AE241" s="473"/>
      <c r="AF241" s="473"/>
      <c r="AG241" s="473"/>
    </row>
    <row r="242" spans="2:33" ht="27.75" thickBot="1">
      <c r="B242" s="631"/>
      <c r="C242" s="516" t="s">
        <v>954</v>
      </c>
      <c r="D242" s="515" t="s">
        <v>989</v>
      </c>
      <c r="E242" s="471"/>
      <c r="F242" s="472"/>
      <c r="G242" s="473"/>
      <c r="H242" s="473"/>
      <c r="I242" s="473"/>
      <c r="J242" s="473"/>
      <c r="K242" s="473"/>
      <c r="L242" s="473"/>
      <c r="M242" s="473"/>
      <c r="N242" s="473"/>
      <c r="O242" s="473"/>
      <c r="P242" s="473"/>
      <c r="Q242" s="473"/>
      <c r="R242" s="473"/>
      <c r="S242" s="473"/>
      <c r="T242" s="473"/>
      <c r="U242" s="473"/>
      <c r="V242" s="473"/>
      <c r="W242" s="473"/>
      <c r="X242" s="473"/>
      <c r="Y242" s="473"/>
      <c r="Z242" s="473"/>
      <c r="AA242" s="473"/>
      <c r="AB242" s="473"/>
      <c r="AC242" s="473"/>
      <c r="AD242" s="473"/>
      <c r="AE242" s="473"/>
      <c r="AF242" s="473"/>
      <c r="AG242" s="473"/>
    </row>
    <row r="243" spans="2:33" ht="27.75" thickBot="1">
      <c r="B243" s="631"/>
      <c r="C243" s="516" t="s">
        <v>955</v>
      </c>
      <c r="D243" s="515" t="s">
        <v>990</v>
      </c>
      <c r="E243" s="471"/>
      <c r="F243" s="472"/>
      <c r="G243" s="473"/>
      <c r="H243" s="473"/>
      <c r="I243" s="473"/>
      <c r="J243" s="473"/>
      <c r="K243" s="473"/>
      <c r="L243" s="473"/>
      <c r="M243" s="473"/>
      <c r="N243" s="473"/>
      <c r="O243" s="473"/>
      <c r="P243" s="473"/>
      <c r="Q243" s="473"/>
      <c r="R243" s="473"/>
      <c r="S243" s="473"/>
      <c r="T243" s="473"/>
      <c r="U243" s="473"/>
      <c r="V243" s="473"/>
      <c r="W243" s="473"/>
      <c r="X243" s="473"/>
      <c r="Y243" s="473"/>
      <c r="Z243" s="473"/>
      <c r="AA243" s="473"/>
      <c r="AB243" s="473"/>
      <c r="AC243" s="473"/>
      <c r="AD243" s="473"/>
      <c r="AE243" s="473"/>
      <c r="AF243" s="473"/>
      <c r="AG243" s="473"/>
    </row>
    <row r="244" spans="2:33" ht="27.75" thickBot="1">
      <c r="B244" s="631"/>
      <c r="C244" s="517" t="s">
        <v>956</v>
      </c>
      <c r="D244" s="515" t="s">
        <v>991</v>
      </c>
      <c r="E244" s="471"/>
      <c r="F244" s="472"/>
      <c r="G244" s="473"/>
      <c r="H244" s="473"/>
      <c r="I244" s="473"/>
      <c r="J244" s="473"/>
      <c r="K244" s="473"/>
      <c r="L244" s="473"/>
      <c r="M244" s="473"/>
      <c r="N244" s="473"/>
      <c r="O244" s="473"/>
      <c r="P244" s="473"/>
      <c r="Q244" s="473"/>
      <c r="R244" s="473"/>
      <c r="S244" s="473"/>
      <c r="T244" s="473"/>
      <c r="U244" s="473"/>
      <c r="V244" s="473"/>
      <c r="W244" s="473"/>
      <c r="X244" s="473"/>
      <c r="Y244" s="473"/>
      <c r="Z244" s="473"/>
      <c r="AA244" s="473"/>
      <c r="AB244" s="473"/>
      <c r="AC244" s="473"/>
      <c r="AD244" s="473"/>
      <c r="AE244" s="473"/>
      <c r="AF244" s="473"/>
      <c r="AG244" s="473"/>
    </row>
    <row r="245" spans="2:33" ht="27.75" thickBot="1">
      <c r="B245" s="631"/>
      <c r="C245" s="516" t="s">
        <v>957</v>
      </c>
      <c r="D245" s="515" t="s">
        <v>992</v>
      </c>
      <c r="E245" s="471"/>
      <c r="F245" s="472"/>
      <c r="G245" s="473"/>
      <c r="H245" s="473"/>
      <c r="I245" s="473"/>
      <c r="J245" s="473"/>
      <c r="K245" s="473"/>
      <c r="L245" s="473"/>
      <c r="M245" s="473"/>
      <c r="N245" s="473"/>
      <c r="O245" s="473"/>
      <c r="P245" s="473"/>
      <c r="Q245" s="473"/>
      <c r="R245" s="473"/>
      <c r="S245" s="473"/>
      <c r="T245" s="473"/>
      <c r="U245" s="473"/>
      <c r="V245" s="473"/>
      <c r="W245" s="473"/>
      <c r="X245" s="473"/>
      <c r="Y245" s="473"/>
      <c r="Z245" s="473"/>
      <c r="AA245" s="473"/>
      <c r="AB245" s="473"/>
      <c r="AC245" s="473"/>
      <c r="AD245" s="473"/>
      <c r="AE245" s="473"/>
      <c r="AF245" s="473"/>
      <c r="AG245" s="473"/>
    </row>
    <row r="246" spans="2:33" ht="27.75" thickBot="1">
      <c r="B246" s="631"/>
      <c r="C246" s="516" t="s">
        <v>958</v>
      </c>
      <c r="D246" s="515" t="s">
        <v>993</v>
      </c>
      <c r="E246" s="471"/>
      <c r="F246" s="472"/>
      <c r="G246" s="473"/>
      <c r="H246" s="473"/>
      <c r="I246" s="473"/>
      <c r="J246" s="473"/>
      <c r="K246" s="473"/>
      <c r="L246" s="473"/>
      <c r="M246" s="473"/>
      <c r="N246" s="473"/>
      <c r="O246" s="473"/>
      <c r="P246" s="473"/>
      <c r="Q246" s="473"/>
      <c r="R246" s="473"/>
      <c r="S246" s="473"/>
      <c r="T246" s="473"/>
      <c r="U246" s="473"/>
      <c r="V246" s="473"/>
      <c r="W246" s="473"/>
      <c r="X246" s="473"/>
      <c r="Y246" s="473"/>
      <c r="Z246" s="473"/>
      <c r="AA246" s="473"/>
      <c r="AB246" s="473"/>
      <c r="AC246" s="473"/>
      <c r="AD246" s="473"/>
      <c r="AE246" s="473"/>
      <c r="AF246" s="473"/>
      <c r="AG246" s="473"/>
    </row>
    <row r="247" spans="2:33" ht="27.75" thickBot="1">
      <c r="B247" s="631"/>
      <c r="C247" s="516" t="s">
        <v>959</v>
      </c>
      <c r="D247" s="515" t="s">
        <v>994</v>
      </c>
      <c r="E247" s="471"/>
      <c r="F247" s="472"/>
      <c r="G247" s="473"/>
      <c r="H247" s="473"/>
      <c r="I247" s="473"/>
      <c r="J247" s="473"/>
      <c r="K247" s="473"/>
      <c r="L247" s="473"/>
      <c r="M247" s="473"/>
      <c r="N247" s="473"/>
      <c r="O247" s="473"/>
      <c r="P247" s="473"/>
      <c r="Q247" s="473"/>
      <c r="R247" s="473"/>
      <c r="S247" s="473"/>
      <c r="T247" s="473"/>
      <c r="U247" s="473"/>
      <c r="V247" s="473"/>
      <c r="W247" s="473"/>
      <c r="X247" s="473"/>
      <c r="Y247" s="473"/>
      <c r="Z247" s="473"/>
      <c r="AA247" s="473"/>
      <c r="AB247" s="473"/>
      <c r="AC247" s="473"/>
      <c r="AD247" s="473"/>
      <c r="AE247" s="473"/>
      <c r="AF247" s="473"/>
      <c r="AG247" s="473"/>
    </row>
    <row r="248" spans="2:33" ht="27.75" thickBot="1">
      <c r="B248" s="632"/>
      <c r="C248" s="516" t="s">
        <v>960</v>
      </c>
      <c r="D248" s="515" t="s">
        <v>995</v>
      </c>
      <c r="E248" s="471"/>
      <c r="F248" s="472"/>
      <c r="G248" s="473"/>
      <c r="H248" s="473"/>
      <c r="I248" s="473"/>
      <c r="J248" s="473"/>
      <c r="K248" s="473"/>
      <c r="L248" s="473"/>
      <c r="M248" s="473"/>
      <c r="N248" s="473"/>
      <c r="O248" s="473"/>
      <c r="P248" s="473"/>
      <c r="Q248" s="473"/>
      <c r="R248" s="473"/>
      <c r="S248" s="473"/>
      <c r="T248" s="473"/>
      <c r="U248" s="473"/>
      <c r="V248" s="473"/>
      <c r="W248" s="473"/>
      <c r="X248" s="473"/>
      <c r="Y248" s="473"/>
      <c r="Z248" s="473"/>
      <c r="AA248" s="473"/>
      <c r="AB248" s="473"/>
      <c r="AC248" s="473"/>
      <c r="AD248" s="473"/>
      <c r="AE248" s="473"/>
      <c r="AF248" s="473"/>
      <c r="AG248" s="473"/>
    </row>
    <row r="249" spans="2:33" ht="27.75" thickBot="1">
      <c r="B249" s="639" t="s">
        <v>231</v>
      </c>
      <c r="C249" s="640"/>
      <c r="D249" s="640"/>
      <c r="E249" s="640"/>
      <c r="F249" s="640"/>
      <c r="G249" s="473"/>
      <c r="H249" s="473"/>
      <c r="I249" s="473"/>
      <c r="J249" s="473"/>
      <c r="K249" s="473"/>
      <c r="L249" s="473"/>
      <c r="M249" s="473"/>
      <c r="N249" s="473"/>
      <c r="O249" s="473"/>
      <c r="P249" s="473"/>
      <c r="Q249" s="473"/>
      <c r="R249" s="473"/>
      <c r="S249" s="473"/>
      <c r="T249" s="473"/>
      <c r="U249" s="473"/>
      <c r="V249" s="473"/>
      <c r="W249" s="473"/>
      <c r="X249" s="473"/>
      <c r="Y249" s="473"/>
      <c r="Z249" s="473"/>
      <c r="AA249" s="473"/>
      <c r="AB249" s="473"/>
      <c r="AC249" s="473"/>
      <c r="AD249" s="473"/>
      <c r="AE249" s="473"/>
      <c r="AF249" s="473"/>
      <c r="AG249" s="473"/>
    </row>
    <row r="250" spans="2:33" ht="47.25" thickBot="1">
      <c r="B250" s="518" t="s">
        <v>120</v>
      </c>
      <c r="C250" s="503" t="s">
        <v>123</v>
      </c>
      <c r="D250" s="519" t="s">
        <v>353</v>
      </c>
      <c r="E250" s="506" t="s">
        <v>585</v>
      </c>
      <c r="F250" s="505"/>
      <c r="G250" s="473"/>
      <c r="H250" s="473"/>
      <c r="I250" s="473"/>
      <c r="J250" s="473"/>
      <c r="K250" s="473"/>
      <c r="L250" s="473"/>
      <c r="M250" s="473"/>
      <c r="N250" s="473"/>
      <c r="O250" s="473"/>
      <c r="P250" s="473"/>
      <c r="Q250" s="473"/>
      <c r="R250" s="473"/>
      <c r="S250" s="473"/>
      <c r="T250" s="473"/>
      <c r="U250" s="473"/>
      <c r="V250" s="473"/>
      <c r="W250" s="473"/>
      <c r="X250" s="473"/>
      <c r="Y250" s="473"/>
      <c r="Z250" s="473"/>
      <c r="AA250" s="473"/>
      <c r="AB250" s="473"/>
      <c r="AC250" s="473"/>
      <c r="AD250" s="473"/>
      <c r="AE250" s="473"/>
      <c r="AF250" s="473"/>
      <c r="AG250" s="473"/>
    </row>
    <row r="251" spans="2:33">
      <c r="B251" s="629" t="s">
        <v>121</v>
      </c>
      <c r="C251" s="499" t="s">
        <v>124</v>
      </c>
      <c r="D251" s="486" t="s">
        <v>354</v>
      </c>
      <c r="E251" s="520" t="s">
        <v>586</v>
      </c>
      <c r="F251" s="505" t="s">
        <v>587</v>
      </c>
      <c r="G251" s="473"/>
      <c r="H251" s="473"/>
      <c r="I251" s="473"/>
      <c r="J251" s="473"/>
      <c r="K251" s="473"/>
      <c r="L251" s="473"/>
      <c r="M251" s="473"/>
      <c r="N251" s="473"/>
      <c r="O251" s="473"/>
      <c r="P251" s="473"/>
      <c r="Q251" s="473"/>
      <c r="R251" s="473"/>
      <c r="S251" s="473"/>
      <c r="T251" s="473"/>
      <c r="U251" s="473"/>
      <c r="V251" s="473"/>
      <c r="W251" s="473"/>
      <c r="X251" s="473"/>
      <c r="Y251" s="473"/>
      <c r="Z251" s="473"/>
      <c r="AA251" s="473"/>
      <c r="AB251" s="473"/>
      <c r="AC251" s="473"/>
      <c r="AD251" s="473"/>
      <c r="AE251" s="473"/>
      <c r="AF251" s="473"/>
      <c r="AG251" s="473"/>
    </row>
    <row r="252" spans="2:33">
      <c r="B252" s="627"/>
      <c r="C252" s="469" t="s">
        <v>125</v>
      </c>
      <c r="D252" s="486" t="s">
        <v>355</v>
      </c>
      <c r="E252" s="520" t="s">
        <v>588</v>
      </c>
      <c r="F252" s="505" t="s">
        <v>587</v>
      </c>
      <c r="G252" s="473"/>
      <c r="H252" s="473"/>
      <c r="I252" s="473"/>
      <c r="J252" s="473"/>
      <c r="K252" s="473"/>
      <c r="L252" s="473"/>
      <c r="M252" s="473"/>
      <c r="N252" s="473"/>
      <c r="O252" s="473"/>
      <c r="P252" s="473"/>
      <c r="Q252" s="473"/>
      <c r="R252" s="473"/>
      <c r="S252" s="473"/>
      <c r="T252" s="473"/>
      <c r="U252" s="473"/>
      <c r="V252" s="473"/>
      <c r="W252" s="473"/>
      <c r="X252" s="473"/>
      <c r="Y252" s="473"/>
      <c r="Z252" s="473"/>
      <c r="AA252" s="473"/>
      <c r="AB252" s="473"/>
      <c r="AC252" s="473"/>
      <c r="AD252" s="473"/>
      <c r="AE252" s="473"/>
      <c r="AF252" s="473"/>
      <c r="AG252" s="473"/>
    </row>
    <row r="253" spans="2:33" ht="27.75" thickBot="1">
      <c r="B253" s="628"/>
      <c r="C253" s="494" t="s">
        <v>126</v>
      </c>
      <c r="D253" s="475" t="s">
        <v>356</v>
      </c>
      <c r="E253" s="520" t="s">
        <v>589</v>
      </c>
      <c r="F253" s="505" t="s">
        <v>587</v>
      </c>
      <c r="G253" s="473"/>
      <c r="H253" s="473"/>
      <c r="I253" s="473"/>
      <c r="J253" s="473"/>
      <c r="K253" s="473"/>
      <c r="L253" s="473"/>
      <c r="M253" s="473"/>
      <c r="N253" s="473"/>
      <c r="O253" s="473"/>
      <c r="P253" s="473"/>
      <c r="Q253" s="473"/>
      <c r="R253" s="473"/>
      <c r="S253" s="473"/>
      <c r="T253" s="473"/>
      <c r="U253" s="473"/>
      <c r="V253" s="473"/>
      <c r="W253" s="473"/>
      <c r="X253" s="473"/>
      <c r="Y253" s="473"/>
      <c r="Z253" s="473"/>
      <c r="AA253" s="473"/>
      <c r="AB253" s="473"/>
      <c r="AC253" s="473"/>
      <c r="AD253" s="473"/>
      <c r="AE253" s="473"/>
      <c r="AF253" s="473"/>
      <c r="AG253" s="473"/>
    </row>
    <row r="254" spans="2:33">
      <c r="B254" s="629" t="s">
        <v>127</v>
      </c>
      <c r="C254" s="484" t="s">
        <v>131</v>
      </c>
      <c r="D254" s="470" t="s">
        <v>357</v>
      </c>
      <c r="E254" s="520" t="s">
        <v>590</v>
      </c>
      <c r="F254" s="505" t="s">
        <v>591</v>
      </c>
      <c r="G254" s="473"/>
      <c r="H254" s="473"/>
      <c r="I254" s="473"/>
      <c r="J254" s="473"/>
      <c r="K254" s="473"/>
      <c r="L254" s="473"/>
      <c r="M254" s="473"/>
      <c r="N254" s="473"/>
      <c r="O254" s="473"/>
      <c r="P254" s="473"/>
      <c r="Q254" s="473"/>
      <c r="R254" s="473"/>
      <c r="S254" s="473"/>
      <c r="T254" s="473"/>
      <c r="U254" s="473"/>
      <c r="V254" s="473"/>
      <c r="W254" s="473"/>
      <c r="X254" s="473"/>
      <c r="Y254" s="473"/>
      <c r="Z254" s="473"/>
      <c r="AA254" s="473"/>
      <c r="AB254" s="473"/>
      <c r="AC254" s="473"/>
      <c r="AD254" s="473"/>
      <c r="AE254" s="473"/>
      <c r="AF254" s="473"/>
      <c r="AG254" s="473"/>
    </row>
    <row r="255" spans="2:33">
      <c r="B255" s="627"/>
      <c r="C255" s="469" t="s">
        <v>130</v>
      </c>
      <c r="D255" s="486" t="s">
        <v>358</v>
      </c>
      <c r="E255" s="520" t="s">
        <v>592</v>
      </c>
      <c r="F255" s="505" t="s">
        <v>591</v>
      </c>
      <c r="G255" s="473"/>
      <c r="H255" s="473"/>
      <c r="I255" s="473"/>
      <c r="J255" s="473"/>
      <c r="K255" s="473"/>
      <c r="L255" s="473"/>
      <c r="M255" s="473"/>
      <c r="N255" s="473"/>
      <c r="O255" s="473"/>
      <c r="P255" s="473"/>
      <c r="Q255" s="473"/>
      <c r="R255" s="473"/>
      <c r="S255" s="473"/>
      <c r="T255" s="473"/>
      <c r="U255" s="473"/>
      <c r="V255" s="473"/>
      <c r="W255" s="473"/>
      <c r="X255" s="473"/>
      <c r="Y255" s="473"/>
      <c r="Z255" s="473"/>
      <c r="AA255" s="473"/>
      <c r="AB255" s="473"/>
      <c r="AC255" s="473"/>
      <c r="AD255" s="473"/>
      <c r="AE255" s="473"/>
      <c r="AF255" s="473"/>
      <c r="AG255" s="473"/>
    </row>
    <row r="256" spans="2:33" ht="46.5">
      <c r="B256" s="627"/>
      <c r="C256" s="469" t="s">
        <v>129</v>
      </c>
      <c r="D256" s="486" t="s">
        <v>359</v>
      </c>
      <c r="E256" s="520" t="s">
        <v>593</v>
      </c>
      <c r="F256" s="505" t="s">
        <v>591</v>
      </c>
      <c r="G256" s="473"/>
      <c r="H256" s="473"/>
      <c r="I256" s="473"/>
      <c r="J256" s="473"/>
      <c r="K256" s="473"/>
      <c r="L256" s="473"/>
      <c r="M256" s="473"/>
      <c r="N256" s="473"/>
      <c r="O256" s="473"/>
      <c r="P256" s="473"/>
      <c r="Q256" s="473"/>
      <c r="R256" s="473"/>
      <c r="S256" s="473"/>
      <c r="T256" s="473"/>
      <c r="U256" s="473"/>
      <c r="V256" s="473"/>
      <c r="W256" s="473"/>
      <c r="X256" s="473"/>
      <c r="Y256" s="473"/>
      <c r="Z256" s="473"/>
      <c r="AA256" s="473"/>
      <c r="AB256" s="473"/>
      <c r="AC256" s="473"/>
      <c r="AD256" s="473"/>
      <c r="AE256" s="473"/>
      <c r="AF256" s="473"/>
      <c r="AG256" s="473"/>
    </row>
    <row r="257" spans="2:33" ht="46.5">
      <c r="B257" s="627"/>
      <c r="C257" s="469" t="s">
        <v>132</v>
      </c>
      <c r="D257" s="486" t="s">
        <v>360</v>
      </c>
      <c r="E257" s="520" t="s">
        <v>594</v>
      </c>
      <c r="F257" s="505" t="s">
        <v>591</v>
      </c>
      <c r="G257" s="473"/>
      <c r="H257" s="473"/>
      <c r="I257" s="473"/>
      <c r="J257" s="473"/>
      <c r="K257" s="473"/>
      <c r="L257" s="473"/>
      <c r="M257" s="473"/>
      <c r="N257" s="473"/>
      <c r="O257" s="473"/>
      <c r="P257" s="473"/>
      <c r="Q257" s="473"/>
      <c r="R257" s="473"/>
      <c r="S257" s="473"/>
      <c r="T257" s="473"/>
      <c r="U257" s="473"/>
      <c r="V257" s="473"/>
      <c r="W257" s="473"/>
      <c r="X257" s="473"/>
      <c r="Y257" s="473"/>
      <c r="Z257" s="473"/>
      <c r="AA257" s="473"/>
      <c r="AB257" s="473"/>
      <c r="AC257" s="473"/>
      <c r="AD257" s="473"/>
      <c r="AE257" s="473"/>
      <c r="AF257" s="473"/>
      <c r="AG257" s="473"/>
    </row>
    <row r="258" spans="2:33">
      <c r="B258" s="627"/>
      <c r="C258" s="469" t="s">
        <v>134</v>
      </c>
      <c r="D258" s="486" t="s">
        <v>361</v>
      </c>
      <c r="E258" s="521" t="s">
        <v>595</v>
      </c>
      <c r="F258" s="505" t="s">
        <v>591</v>
      </c>
      <c r="G258" s="473"/>
      <c r="H258" s="473"/>
      <c r="I258" s="473"/>
      <c r="J258" s="473"/>
      <c r="K258" s="473"/>
      <c r="L258" s="473"/>
      <c r="M258" s="473"/>
      <c r="N258" s="473"/>
      <c r="O258" s="473"/>
      <c r="P258" s="473"/>
      <c r="Q258" s="473"/>
      <c r="R258" s="473"/>
      <c r="S258" s="473"/>
      <c r="T258" s="473"/>
      <c r="U258" s="473"/>
      <c r="V258" s="473"/>
      <c r="W258" s="473"/>
      <c r="X258" s="473"/>
      <c r="Y258" s="473"/>
      <c r="Z258" s="473"/>
      <c r="AA258" s="473"/>
      <c r="AB258" s="473"/>
      <c r="AC258" s="473"/>
      <c r="AD258" s="473"/>
      <c r="AE258" s="473"/>
      <c r="AF258" s="473"/>
      <c r="AG258" s="473"/>
    </row>
    <row r="259" spans="2:33" ht="27.75" thickBot="1">
      <c r="B259" s="628"/>
      <c r="C259" s="494" t="s">
        <v>133</v>
      </c>
      <c r="D259" s="475" t="s">
        <v>362</v>
      </c>
      <c r="E259" s="522" t="s">
        <v>596</v>
      </c>
      <c r="F259" s="505" t="s">
        <v>591</v>
      </c>
      <c r="G259" s="473"/>
      <c r="H259" s="473"/>
      <c r="I259" s="473"/>
      <c r="J259" s="473"/>
      <c r="K259" s="473"/>
      <c r="L259" s="473"/>
      <c r="M259" s="473"/>
      <c r="N259" s="473"/>
      <c r="O259" s="473"/>
      <c r="P259" s="473"/>
      <c r="Q259" s="473"/>
      <c r="R259" s="473"/>
      <c r="S259" s="473"/>
      <c r="T259" s="473"/>
      <c r="U259" s="473"/>
      <c r="V259" s="473"/>
      <c r="W259" s="473"/>
      <c r="X259" s="473"/>
      <c r="Y259" s="473"/>
      <c r="Z259" s="473"/>
      <c r="AA259" s="473"/>
      <c r="AB259" s="473"/>
      <c r="AC259" s="473"/>
      <c r="AD259" s="473"/>
      <c r="AE259" s="473"/>
      <c r="AF259" s="473"/>
      <c r="AG259" s="473"/>
    </row>
    <row r="260" spans="2:33">
      <c r="B260" s="627" t="s">
        <v>135</v>
      </c>
      <c r="C260" s="499" t="s">
        <v>131</v>
      </c>
      <c r="D260" s="486" t="s">
        <v>363</v>
      </c>
      <c r="E260" s="520" t="s">
        <v>590</v>
      </c>
      <c r="F260" s="505" t="s">
        <v>597</v>
      </c>
      <c r="G260" s="473"/>
      <c r="H260" s="473"/>
      <c r="I260" s="473"/>
      <c r="J260" s="473"/>
      <c r="K260" s="473"/>
      <c r="L260" s="473"/>
      <c r="M260" s="473"/>
      <c r="N260" s="473"/>
      <c r="O260" s="473"/>
      <c r="P260" s="473"/>
      <c r="Q260" s="473"/>
      <c r="R260" s="473"/>
      <c r="S260" s="473"/>
      <c r="T260" s="473"/>
      <c r="U260" s="473"/>
      <c r="V260" s="473"/>
      <c r="W260" s="473"/>
      <c r="X260" s="473"/>
      <c r="Y260" s="473"/>
      <c r="Z260" s="473"/>
      <c r="AA260" s="473"/>
      <c r="AB260" s="473"/>
      <c r="AC260" s="473"/>
      <c r="AD260" s="473"/>
      <c r="AE260" s="473"/>
      <c r="AF260" s="473"/>
      <c r="AG260" s="473"/>
    </row>
    <row r="261" spans="2:33">
      <c r="B261" s="627"/>
      <c r="C261" s="469" t="s">
        <v>130</v>
      </c>
      <c r="D261" s="486" t="s">
        <v>364</v>
      </c>
      <c r="E261" s="520" t="s">
        <v>592</v>
      </c>
      <c r="F261" s="505" t="s">
        <v>597</v>
      </c>
      <c r="G261" s="473"/>
      <c r="H261" s="473"/>
      <c r="I261" s="473"/>
      <c r="J261" s="473"/>
      <c r="K261" s="473"/>
      <c r="L261" s="473"/>
      <c r="M261" s="473"/>
      <c r="N261" s="473"/>
      <c r="O261" s="473"/>
      <c r="P261" s="473"/>
      <c r="Q261" s="473"/>
      <c r="R261" s="473"/>
      <c r="S261" s="473"/>
      <c r="T261" s="473"/>
      <c r="U261" s="473"/>
      <c r="V261" s="473"/>
      <c r="W261" s="473"/>
      <c r="X261" s="473"/>
      <c r="Y261" s="473"/>
      <c r="Z261" s="473"/>
      <c r="AA261" s="473"/>
      <c r="AB261" s="473"/>
      <c r="AC261" s="473"/>
      <c r="AD261" s="473"/>
      <c r="AE261" s="473"/>
      <c r="AF261" s="473"/>
      <c r="AG261" s="473"/>
    </row>
    <row r="262" spans="2:33" ht="46.5">
      <c r="B262" s="627"/>
      <c r="C262" s="469" t="s">
        <v>129</v>
      </c>
      <c r="D262" s="486" t="s">
        <v>365</v>
      </c>
      <c r="E262" s="520" t="s">
        <v>593</v>
      </c>
      <c r="F262" s="505" t="s">
        <v>597</v>
      </c>
      <c r="G262" s="473"/>
      <c r="H262" s="473"/>
      <c r="I262" s="473"/>
      <c r="J262" s="473"/>
      <c r="K262" s="473"/>
      <c r="L262" s="473"/>
      <c r="M262" s="473"/>
      <c r="N262" s="473"/>
      <c r="O262" s="473"/>
      <c r="P262" s="473"/>
      <c r="Q262" s="473"/>
      <c r="R262" s="473"/>
      <c r="S262" s="473"/>
      <c r="T262" s="473"/>
      <c r="U262" s="473"/>
      <c r="V262" s="473"/>
      <c r="W262" s="473"/>
      <c r="X262" s="473"/>
      <c r="Y262" s="473"/>
      <c r="Z262" s="473"/>
      <c r="AA262" s="473"/>
      <c r="AB262" s="473"/>
      <c r="AC262" s="473"/>
      <c r="AD262" s="473"/>
      <c r="AE262" s="473"/>
      <c r="AF262" s="473"/>
      <c r="AG262" s="473"/>
    </row>
    <row r="263" spans="2:33" ht="46.5">
      <c r="B263" s="627"/>
      <c r="C263" s="469" t="s">
        <v>132</v>
      </c>
      <c r="D263" s="486" t="s">
        <v>366</v>
      </c>
      <c r="E263" s="520" t="s">
        <v>594</v>
      </c>
      <c r="F263" s="505" t="s">
        <v>597</v>
      </c>
      <c r="G263" s="473"/>
      <c r="H263" s="473"/>
      <c r="I263" s="473"/>
      <c r="J263" s="473"/>
      <c r="K263" s="473"/>
      <c r="L263" s="473"/>
      <c r="M263" s="473"/>
      <c r="N263" s="473"/>
      <c r="O263" s="473"/>
      <c r="P263" s="473"/>
      <c r="Q263" s="473"/>
      <c r="R263" s="473"/>
      <c r="S263" s="473"/>
      <c r="T263" s="473"/>
      <c r="U263" s="473"/>
      <c r="V263" s="473"/>
      <c r="W263" s="473"/>
      <c r="X263" s="473"/>
      <c r="Y263" s="473"/>
      <c r="Z263" s="473"/>
      <c r="AA263" s="473"/>
      <c r="AB263" s="473"/>
      <c r="AC263" s="473"/>
      <c r="AD263" s="473"/>
      <c r="AE263" s="473"/>
      <c r="AF263" s="473"/>
      <c r="AG263" s="473"/>
    </row>
    <row r="264" spans="2:33">
      <c r="B264" s="627"/>
      <c r="C264" s="469" t="s">
        <v>134</v>
      </c>
      <c r="D264" s="486" t="s">
        <v>367</v>
      </c>
      <c r="E264" s="521" t="s">
        <v>595</v>
      </c>
      <c r="F264" s="505" t="s">
        <v>597</v>
      </c>
      <c r="G264" s="473"/>
      <c r="H264" s="473"/>
      <c r="I264" s="473"/>
      <c r="J264" s="473"/>
      <c r="K264" s="473"/>
      <c r="L264" s="473"/>
      <c r="M264" s="473"/>
      <c r="N264" s="473"/>
      <c r="O264" s="473"/>
      <c r="P264" s="473"/>
      <c r="Q264" s="473"/>
      <c r="R264" s="473"/>
      <c r="S264" s="473"/>
      <c r="T264" s="473"/>
      <c r="U264" s="473"/>
      <c r="V264" s="473"/>
      <c r="W264" s="473"/>
      <c r="X264" s="473"/>
      <c r="Y264" s="473"/>
      <c r="Z264" s="473"/>
      <c r="AA264" s="473"/>
      <c r="AB264" s="473"/>
      <c r="AC264" s="473"/>
      <c r="AD264" s="473"/>
      <c r="AE264" s="473"/>
      <c r="AF264" s="473"/>
      <c r="AG264" s="473"/>
    </row>
    <row r="265" spans="2:33" ht="27.75" thickBot="1">
      <c r="B265" s="642"/>
      <c r="C265" s="469" t="s">
        <v>133</v>
      </c>
      <c r="D265" s="475" t="s">
        <v>368</v>
      </c>
      <c r="E265" s="522" t="s">
        <v>596</v>
      </c>
      <c r="F265" s="505" t="s">
        <v>597</v>
      </c>
      <c r="G265" s="473"/>
      <c r="H265" s="473"/>
      <c r="I265" s="473"/>
      <c r="J265" s="473"/>
      <c r="K265" s="473"/>
      <c r="L265" s="473"/>
      <c r="M265" s="473"/>
      <c r="N265" s="473"/>
      <c r="O265" s="473"/>
      <c r="P265" s="473"/>
      <c r="Q265" s="473"/>
      <c r="R265" s="473"/>
      <c r="S265" s="473"/>
      <c r="T265" s="473"/>
      <c r="U265" s="473"/>
      <c r="V265" s="473"/>
      <c r="W265" s="473"/>
      <c r="X265" s="473"/>
      <c r="Y265" s="473"/>
      <c r="Z265" s="473"/>
      <c r="AA265" s="473"/>
      <c r="AB265" s="473"/>
      <c r="AC265" s="473"/>
      <c r="AD265" s="473"/>
      <c r="AE265" s="473"/>
      <c r="AF265" s="473"/>
      <c r="AG265" s="473"/>
    </row>
    <row r="266" spans="2:33" ht="27.75" thickBot="1">
      <c r="B266" s="637" t="s">
        <v>232</v>
      </c>
      <c r="C266" s="638"/>
      <c r="D266" s="638"/>
      <c r="E266" s="638"/>
      <c r="F266" s="638"/>
      <c r="G266" s="473"/>
      <c r="H266" s="473"/>
      <c r="I266" s="473"/>
      <c r="J266" s="473"/>
      <c r="K266" s="473"/>
      <c r="L266" s="473"/>
      <c r="M266" s="473"/>
      <c r="N266" s="473"/>
      <c r="O266" s="473"/>
      <c r="P266" s="473"/>
      <c r="Q266" s="473"/>
      <c r="R266" s="473"/>
      <c r="S266" s="473"/>
      <c r="T266" s="473"/>
      <c r="U266" s="473"/>
      <c r="V266" s="473"/>
      <c r="W266" s="473"/>
      <c r="X266" s="473"/>
      <c r="Y266" s="473"/>
      <c r="Z266" s="473"/>
      <c r="AA266" s="473"/>
      <c r="AB266" s="473"/>
      <c r="AC266" s="473"/>
      <c r="AD266" s="473"/>
      <c r="AE266" s="473"/>
      <c r="AF266" s="473"/>
      <c r="AG266" s="473"/>
    </row>
    <row r="267" spans="2:33" ht="27.75" thickBot="1">
      <c r="B267" s="523" t="s">
        <v>136</v>
      </c>
      <c r="C267" s="524" t="s">
        <v>137</v>
      </c>
      <c r="D267" s="519" t="s">
        <v>369</v>
      </c>
      <c r="E267" s="522" t="s">
        <v>598</v>
      </c>
      <c r="F267" s="505"/>
      <c r="G267" s="473"/>
      <c r="H267" s="473"/>
      <c r="I267" s="473"/>
      <c r="J267" s="473"/>
      <c r="K267" s="473"/>
      <c r="L267" s="473"/>
      <c r="M267" s="473"/>
      <c r="N267" s="473"/>
      <c r="O267" s="473"/>
      <c r="P267" s="473"/>
      <c r="Q267" s="473"/>
      <c r="R267" s="473"/>
      <c r="S267" s="473"/>
      <c r="T267" s="473"/>
      <c r="U267" s="473"/>
      <c r="V267" s="473"/>
      <c r="W267" s="473"/>
      <c r="X267" s="473"/>
      <c r="Y267" s="473"/>
      <c r="Z267" s="473"/>
      <c r="AA267" s="473"/>
      <c r="AB267" s="473"/>
      <c r="AC267" s="473"/>
      <c r="AD267" s="473"/>
      <c r="AE267" s="473"/>
      <c r="AF267" s="473"/>
      <c r="AG267" s="473"/>
    </row>
    <row r="268" spans="2:33" ht="27.75" thickBot="1">
      <c r="B268" s="629" t="s">
        <v>127</v>
      </c>
      <c r="C268" s="484" t="s">
        <v>143</v>
      </c>
      <c r="D268" s="470" t="s">
        <v>370</v>
      </c>
      <c r="E268" s="522" t="s">
        <v>599</v>
      </c>
      <c r="F268" s="505" t="s">
        <v>600</v>
      </c>
      <c r="G268" s="473"/>
      <c r="H268" s="473"/>
      <c r="I268" s="473"/>
      <c r="J268" s="473"/>
      <c r="K268" s="473"/>
      <c r="L268" s="473"/>
      <c r="M268" s="473"/>
      <c r="N268" s="473"/>
      <c r="O268" s="473"/>
      <c r="P268" s="473"/>
      <c r="Q268" s="473"/>
      <c r="R268" s="473"/>
      <c r="S268" s="473"/>
      <c r="T268" s="473"/>
      <c r="U268" s="473"/>
      <c r="V268" s="473"/>
      <c r="W268" s="473"/>
      <c r="X268" s="473"/>
      <c r="Y268" s="473"/>
      <c r="Z268" s="473"/>
      <c r="AA268" s="473"/>
      <c r="AB268" s="473"/>
      <c r="AC268" s="473"/>
      <c r="AD268" s="473"/>
      <c r="AE268" s="473"/>
      <c r="AF268" s="473"/>
      <c r="AG268" s="473"/>
    </row>
    <row r="269" spans="2:33" ht="27.75" thickBot="1">
      <c r="B269" s="627"/>
      <c r="C269" s="469" t="s">
        <v>138</v>
      </c>
      <c r="D269" s="486" t="s">
        <v>371</v>
      </c>
      <c r="E269" s="522" t="s">
        <v>601</v>
      </c>
      <c r="F269" s="505" t="s">
        <v>600</v>
      </c>
      <c r="G269" s="473"/>
      <c r="H269" s="473"/>
      <c r="I269" s="473"/>
      <c r="J269" s="473"/>
      <c r="K269" s="473"/>
      <c r="L269" s="473"/>
      <c r="M269" s="473"/>
      <c r="N269" s="473"/>
      <c r="O269" s="473"/>
      <c r="P269" s="473"/>
      <c r="Q269" s="473"/>
      <c r="R269" s="473"/>
      <c r="S269" s="473"/>
      <c r="T269" s="473"/>
      <c r="U269" s="473"/>
      <c r="V269" s="473"/>
      <c r="W269" s="473"/>
      <c r="X269" s="473"/>
      <c r="Y269" s="473"/>
      <c r="Z269" s="473"/>
      <c r="AA269" s="473"/>
      <c r="AB269" s="473"/>
      <c r="AC269" s="473"/>
      <c r="AD269" s="473"/>
      <c r="AE269" s="473"/>
      <c r="AF269" s="473"/>
      <c r="AG269" s="473"/>
    </row>
    <row r="270" spans="2:33" ht="27.75" thickBot="1">
      <c r="B270" s="627"/>
      <c r="C270" s="469" t="s">
        <v>139</v>
      </c>
      <c r="D270" s="486" t="s">
        <v>372</v>
      </c>
      <c r="E270" s="522" t="s">
        <v>602</v>
      </c>
      <c r="F270" s="505" t="s">
        <v>600</v>
      </c>
      <c r="G270" s="473"/>
      <c r="H270" s="473"/>
      <c r="I270" s="473"/>
      <c r="J270" s="473"/>
      <c r="K270" s="473"/>
      <c r="L270" s="473"/>
      <c r="M270" s="473"/>
      <c r="N270" s="473"/>
      <c r="O270" s="473"/>
      <c r="P270" s="473"/>
      <c r="Q270" s="473"/>
      <c r="R270" s="473"/>
      <c r="S270" s="473"/>
      <c r="T270" s="473"/>
      <c r="U270" s="473"/>
      <c r="V270" s="473"/>
      <c r="W270" s="473"/>
      <c r="X270" s="473"/>
      <c r="Y270" s="473"/>
      <c r="Z270" s="473"/>
      <c r="AA270" s="473"/>
      <c r="AB270" s="473"/>
      <c r="AC270" s="473"/>
      <c r="AD270" s="473"/>
      <c r="AE270" s="473"/>
      <c r="AF270" s="473"/>
      <c r="AG270" s="473"/>
    </row>
    <row r="271" spans="2:33" ht="27.75" thickBot="1">
      <c r="B271" s="627"/>
      <c r="C271" s="469" t="s">
        <v>140</v>
      </c>
      <c r="D271" s="486" t="s">
        <v>373</v>
      </c>
      <c r="E271" s="522" t="s">
        <v>603</v>
      </c>
      <c r="F271" s="505" t="s">
        <v>600</v>
      </c>
      <c r="G271" s="473"/>
      <c r="H271" s="473"/>
      <c r="I271" s="473"/>
      <c r="J271" s="473"/>
      <c r="K271" s="473"/>
      <c r="L271" s="473"/>
      <c r="M271" s="473"/>
      <c r="N271" s="473"/>
      <c r="O271" s="473"/>
      <c r="P271" s="473"/>
      <c r="Q271" s="473"/>
      <c r="R271" s="473"/>
      <c r="S271" s="473"/>
      <c r="T271" s="473"/>
      <c r="U271" s="473"/>
      <c r="V271" s="473"/>
      <c r="W271" s="473"/>
      <c r="X271" s="473"/>
      <c r="Y271" s="473"/>
      <c r="Z271" s="473"/>
      <c r="AA271" s="473"/>
      <c r="AB271" s="473"/>
      <c r="AC271" s="473"/>
      <c r="AD271" s="473"/>
      <c r="AE271" s="473"/>
      <c r="AF271" s="473"/>
      <c r="AG271" s="473"/>
    </row>
    <row r="272" spans="2:33" ht="27.75" thickBot="1">
      <c r="B272" s="627"/>
      <c r="C272" s="469" t="s">
        <v>141</v>
      </c>
      <c r="D272" s="486" t="s">
        <v>374</v>
      </c>
      <c r="E272" s="522" t="s">
        <v>604</v>
      </c>
      <c r="F272" s="505" t="s">
        <v>600</v>
      </c>
      <c r="G272" s="473"/>
      <c r="H272" s="473"/>
      <c r="I272" s="473"/>
      <c r="J272" s="473"/>
      <c r="K272" s="473"/>
      <c r="L272" s="473"/>
      <c r="M272" s="473"/>
      <c r="N272" s="473"/>
      <c r="O272" s="473"/>
      <c r="P272" s="473"/>
      <c r="Q272" s="473"/>
      <c r="R272" s="473"/>
      <c r="S272" s="473"/>
      <c r="T272" s="473"/>
      <c r="U272" s="473"/>
      <c r="V272" s="473"/>
      <c r="W272" s="473"/>
      <c r="X272" s="473"/>
      <c r="Y272" s="473"/>
      <c r="Z272" s="473"/>
      <c r="AA272" s="473"/>
      <c r="AB272" s="473"/>
      <c r="AC272" s="473"/>
      <c r="AD272" s="473"/>
      <c r="AE272" s="473"/>
      <c r="AF272" s="473"/>
      <c r="AG272" s="473"/>
    </row>
    <row r="273" spans="2:33" ht="27.75" thickBot="1">
      <c r="B273" s="628"/>
      <c r="C273" s="494" t="s">
        <v>142</v>
      </c>
      <c r="D273" s="475" t="s">
        <v>375</v>
      </c>
      <c r="E273" s="522" t="s">
        <v>605</v>
      </c>
      <c r="F273" s="505" t="s">
        <v>600</v>
      </c>
      <c r="G273" s="473"/>
      <c r="H273" s="473"/>
      <c r="I273" s="473"/>
      <c r="J273" s="473"/>
      <c r="K273" s="473"/>
      <c r="L273" s="473"/>
      <c r="M273" s="473"/>
      <c r="N273" s="473"/>
      <c r="O273" s="473"/>
      <c r="P273" s="473"/>
      <c r="Q273" s="473"/>
      <c r="R273" s="473"/>
      <c r="S273" s="473"/>
      <c r="T273" s="473"/>
      <c r="U273" s="473"/>
      <c r="V273" s="473"/>
      <c r="W273" s="473"/>
      <c r="X273" s="473"/>
      <c r="Y273" s="473"/>
      <c r="Z273" s="473"/>
      <c r="AA273" s="473"/>
      <c r="AB273" s="473"/>
      <c r="AC273" s="473"/>
      <c r="AD273" s="473"/>
      <c r="AE273" s="473"/>
      <c r="AF273" s="473"/>
      <c r="AG273" s="473"/>
    </row>
    <row r="274" spans="2:33" ht="27.75" thickBot="1">
      <c r="B274" s="629" t="s">
        <v>135</v>
      </c>
      <c r="C274" s="484" t="s">
        <v>143</v>
      </c>
      <c r="D274" s="486" t="s">
        <v>376</v>
      </c>
      <c r="E274" s="522" t="s">
        <v>599</v>
      </c>
      <c r="F274" s="505" t="s">
        <v>606</v>
      </c>
      <c r="G274" s="473"/>
      <c r="H274" s="473"/>
      <c r="I274" s="473"/>
      <c r="J274" s="473"/>
      <c r="K274" s="473"/>
      <c r="L274" s="473"/>
      <c r="M274" s="473"/>
      <c r="N274" s="473"/>
      <c r="O274" s="473"/>
      <c r="P274" s="473"/>
      <c r="Q274" s="473"/>
      <c r="R274" s="473"/>
      <c r="S274" s="473"/>
      <c r="T274" s="473"/>
      <c r="U274" s="473"/>
      <c r="V274" s="473"/>
      <c r="W274" s="473"/>
      <c r="X274" s="473"/>
      <c r="Y274" s="473"/>
      <c r="Z274" s="473"/>
      <c r="AA274" s="473"/>
      <c r="AB274" s="473"/>
      <c r="AC274" s="473"/>
      <c r="AD274" s="473"/>
      <c r="AE274" s="473"/>
      <c r="AF274" s="473"/>
      <c r="AG274" s="473"/>
    </row>
    <row r="275" spans="2:33" ht="27.75" thickBot="1">
      <c r="B275" s="627"/>
      <c r="C275" s="469" t="s">
        <v>138</v>
      </c>
      <c r="D275" s="486" t="s">
        <v>377</v>
      </c>
      <c r="E275" s="522" t="s">
        <v>601</v>
      </c>
      <c r="F275" s="505" t="s">
        <v>606</v>
      </c>
      <c r="G275" s="473"/>
      <c r="H275" s="473"/>
      <c r="I275" s="473"/>
      <c r="J275" s="473"/>
      <c r="K275" s="473"/>
      <c r="L275" s="473"/>
      <c r="M275" s="473"/>
      <c r="N275" s="473"/>
      <c r="O275" s="473"/>
      <c r="P275" s="473"/>
      <c r="Q275" s="473"/>
      <c r="R275" s="473"/>
      <c r="S275" s="473"/>
      <c r="T275" s="473"/>
      <c r="U275" s="473"/>
      <c r="V275" s="473"/>
      <c r="W275" s="473"/>
      <c r="X275" s="473"/>
      <c r="Y275" s="473"/>
      <c r="Z275" s="473"/>
      <c r="AA275" s="473"/>
      <c r="AB275" s="473"/>
      <c r="AC275" s="473"/>
      <c r="AD275" s="473"/>
      <c r="AE275" s="473"/>
      <c r="AF275" s="473"/>
      <c r="AG275" s="473"/>
    </row>
    <row r="276" spans="2:33" ht="27.75" thickBot="1">
      <c r="B276" s="627"/>
      <c r="C276" s="469" t="s">
        <v>139</v>
      </c>
      <c r="D276" s="486" t="s">
        <v>378</v>
      </c>
      <c r="E276" s="522" t="s">
        <v>602</v>
      </c>
      <c r="F276" s="505" t="s">
        <v>606</v>
      </c>
      <c r="G276" s="473"/>
      <c r="H276" s="473"/>
      <c r="I276" s="473"/>
      <c r="J276" s="473"/>
      <c r="K276" s="473"/>
      <c r="L276" s="473"/>
      <c r="M276" s="473"/>
      <c r="N276" s="473"/>
      <c r="O276" s="473"/>
      <c r="P276" s="473"/>
      <c r="Q276" s="473"/>
      <c r="R276" s="473"/>
      <c r="S276" s="473"/>
      <c r="T276" s="473"/>
      <c r="U276" s="473"/>
      <c r="V276" s="473"/>
      <c r="W276" s="473"/>
      <c r="X276" s="473"/>
      <c r="Y276" s="473"/>
      <c r="Z276" s="473"/>
      <c r="AA276" s="473"/>
      <c r="AB276" s="473"/>
      <c r="AC276" s="473"/>
      <c r="AD276" s="473"/>
      <c r="AE276" s="473"/>
      <c r="AF276" s="473"/>
      <c r="AG276" s="473"/>
    </row>
    <row r="277" spans="2:33" ht="27.75" thickBot="1">
      <c r="B277" s="627"/>
      <c r="C277" s="469" t="s">
        <v>140</v>
      </c>
      <c r="D277" s="486" t="s">
        <v>379</v>
      </c>
      <c r="E277" s="522" t="s">
        <v>603</v>
      </c>
      <c r="F277" s="505" t="s">
        <v>606</v>
      </c>
      <c r="G277" s="473"/>
      <c r="H277" s="473"/>
      <c r="I277" s="473"/>
      <c r="J277" s="473"/>
      <c r="K277" s="473"/>
      <c r="L277" s="473"/>
      <c r="M277" s="473"/>
      <c r="N277" s="473"/>
      <c r="O277" s="473"/>
      <c r="P277" s="473"/>
      <c r="Q277" s="473"/>
      <c r="R277" s="473"/>
      <c r="S277" s="473"/>
      <c r="T277" s="473"/>
      <c r="U277" s="473"/>
      <c r="V277" s="473"/>
      <c r="W277" s="473"/>
      <c r="X277" s="473"/>
      <c r="Y277" s="473"/>
      <c r="Z277" s="473"/>
      <c r="AA277" s="473"/>
      <c r="AB277" s="473"/>
      <c r="AC277" s="473"/>
      <c r="AD277" s="473"/>
      <c r="AE277" s="473"/>
      <c r="AF277" s="473"/>
      <c r="AG277" s="473"/>
    </row>
    <row r="278" spans="2:33" ht="27.75" thickBot="1">
      <c r="B278" s="627"/>
      <c r="C278" s="469" t="s">
        <v>141</v>
      </c>
      <c r="D278" s="486" t="s">
        <v>380</v>
      </c>
      <c r="E278" s="522" t="s">
        <v>604</v>
      </c>
      <c r="F278" s="505" t="s">
        <v>606</v>
      </c>
      <c r="G278" s="473"/>
      <c r="H278" s="473"/>
      <c r="I278" s="473"/>
      <c r="J278" s="473"/>
      <c r="K278" s="473"/>
      <c r="L278" s="473"/>
      <c r="M278" s="473"/>
      <c r="N278" s="473"/>
      <c r="O278" s="473"/>
      <c r="P278" s="473"/>
      <c r="Q278" s="473"/>
      <c r="R278" s="473"/>
      <c r="S278" s="473"/>
      <c r="T278" s="473"/>
      <c r="U278" s="473"/>
      <c r="V278" s="473"/>
      <c r="W278" s="473"/>
      <c r="X278" s="473"/>
      <c r="Y278" s="473"/>
      <c r="Z278" s="473"/>
      <c r="AA278" s="473"/>
      <c r="AB278" s="473"/>
      <c r="AC278" s="473"/>
      <c r="AD278" s="473"/>
      <c r="AE278" s="473"/>
      <c r="AF278" s="473"/>
      <c r="AG278" s="473"/>
    </row>
    <row r="279" spans="2:33" ht="27.75" thickBot="1">
      <c r="B279" s="628"/>
      <c r="C279" s="494" t="s">
        <v>142</v>
      </c>
      <c r="D279" s="475" t="s">
        <v>381</v>
      </c>
      <c r="E279" s="522" t="s">
        <v>605</v>
      </c>
      <c r="F279" s="505" t="s">
        <v>606</v>
      </c>
      <c r="G279" s="473"/>
      <c r="H279" s="473"/>
      <c r="I279" s="473"/>
      <c r="J279" s="473"/>
      <c r="K279" s="473"/>
      <c r="L279" s="473"/>
      <c r="M279" s="473"/>
      <c r="N279" s="473"/>
      <c r="O279" s="473"/>
      <c r="P279" s="473"/>
      <c r="Q279" s="473"/>
      <c r="R279" s="473"/>
      <c r="S279" s="473"/>
      <c r="T279" s="473"/>
      <c r="U279" s="473"/>
      <c r="V279" s="473"/>
      <c r="W279" s="473"/>
      <c r="X279" s="473"/>
      <c r="Y279" s="473"/>
      <c r="Z279" s="473"/>
      <c r="AA279" s="473"/>
      <c r="AB279" s="473"/>
      <c r="AC279" s="473"/>
      <c r="AD279" s="473"/>
      <c r="AE279" s="473"/>
      <c r="AF279" s="473"/>
      <c r="AG279" s="473"/>
    </row>
    <row r="280" spans="2:33" ht="27.75" thickBot="1">
      <c r="B280" s="637" t="s">
        <v>233</v>
      </c>
      <c r="C280" s="638"/>
      <c r="D280" s="638"/>
      <c r="E280" s="638"/>
      <c r="F280" s="638"/>
      <c r="G280" s="473"/>
      <c r="H280" s="473"/>
      <c r="I280" s="473"/>
      <c r="J280" s="473"/>
      <c r="K280" s="473"/>
      <c r="L280" s="473"/>
      <c r="M280" s="473"/>
      <c r="N280" s="473"/>
      <c r="O280" s="473"/>
      <c r="P280" s="473"/>
      <c r="Q280" s="473"/>
      <c r="R280" s="473"/>
      <c r="S280" s="473"/>
      <c r="T280" s="473"/>
      <c r="U280" s="473"/>
      <c r="V280" s="473"/>
      <c r="W280" s="473"/>
      <c r="X280" s="473"/>
      <c r="Y280" s="473"/>
      <c r="Z280" s="473"/>
      <c r="AA280" s="473"/>
      <c r="AB280" s="473"/>
      <c r="AC280" s="473"/>
      <c r="AD280" s="473"/>
      <c r="AE280" s="473"/>
      <c r="AF280" s="473"/>
      <c r="AG280" s="473"/>
    </row>
    <row r="281" spans="2:33" ht="27.75" thickBot="1">
      <c r="B281" s="525" t="s">
        <v>144</v>
      </c>
      <c r="C281" s="496" t="s">
        <v>146</v>
      </c>
      <c r="D281" s="526" t="s">
        <v>382</v>
      </c>
      <c r="E281" s="506"/>
      <c r="F281" s="505"/>
      <c r="G281" s="473"/>
      <c r="H281" s="473"/>
      <c r="I281" s="473"/>
      <c r="J281" s="473"/>
      <c r="K281" s="473"/>
      <c r="L281" s="473"/>
      <c r="M281" s="473"/>
      <c r="N281" s="473"/>
      <c r="O281" s="473"/>
      <c r="P281" s="473"/>
      <c r="Q281" s="473"/>
      <c r="R281" s="473"/>
      <c r="S281" s="473"/>
      <c r="T281" s="473"/>
      <c r="U281" s="473"/>
      <c r="V281" s="473"/>
      <c r="W281" s="473"/>
      <c r="X281" s="473"/>
      <c r="Y281" s="473"/>
      <c r="Z281" s="473"/>
      <c r="AA281" s="473"/>
      <c r="AB281" s="473"/>
      <c r="AC281" s="473"/>
      <c r="AD281" s="473"/>
      <c r="AE281" s="473"/>
      <c r="AF281" s="473"/>
      <c r="AG281" s="473"/>
    </row>
    <row r="282" spans="2:33" ht="47.25" thickBot="1">
      <c r="B282" s="627" t="s">
        <v>127</v>
      </c>
      <c r="C282" s="499" t="s">
        <v>147</v>
      </c>
      <c r="D282" s="470" t="s">
        <v>383</v>
      </c>
      <c r="E282" s="522" t="s">
        <v>607</v>
      </c>
      <c r="F282" s="505" t="s">
        <v>608</v>
      </c>
      <c r="G282" s="473"/>
      <c r="H282" s="473"/>
      <c r="I282" s="473"/>
      <c r="J282" s="473"/>
      <c r="K282" s="473"/>
      <c r="L282" s="473"/>
      <c r="M282" s="473"/>
      <c r="N282" s="473"/>
      <c r="O282" s="473"/>
      <c r="P282" s="473"/>
      <c r="Q282" s="473"/>
      <c r="R282" s="473"/>
      <c r="S282" s="473"/>
      <c r="T282" s="473"/>
      <c r="U282" s="473"/>
      <c r="V282" s="473"/>
      <c r="W282" s="473"/>
      <c r="X282" s="473"/>
      <c r="Y282" s="473"/>
      <c r="Z282" s="473"/>
      <c r="AA282" s="473"/>
      <c r="AB282" s="473"/>
      <c r="AC282" s="473"/>
      <c r="AD282" s="473"/>
      <c r="AE282" s="473"/>
      <c r="AF282" s="473"/>
      <c r="AG282" s="473"/>
    </row>
    <row r="283" spans="2:33" ht="47.25" thickBot="1">
      <c r="B283" s="627"/>
      <c r="C283" s="469" t="s">
        <v>148</v>
      </c>
      <c r="D283" s="486" t="s">
        <v>384</v>
      </c>
      <c r="E283" s="522" t="s">
        <v>609</v>
      </c>
      <c r="F283" s="505" t="s">
        <v>608</v>
      </c>
      <c r="G283" s="473"/>
      <c r="H283" s="473"/>
      <c r="I283" s="473"/>
      <c r="J283" s="473"/>
      <c r="K283" s="473"/>
      <c r="L283" s="473"/>
      <c r="M283" s="473"/>
      <c r="N283" s="473"/>
      <c r="O283" s="473"/>
      <c r="P283" s="473"/>
      <c r="Q283" s="473"/>
      <c r="R283" s="473"/>
      <c r="S283" s="473"/>
      <c r="T283" s="473"/>
      <c r="U283" s="473"/>
      <c r="V283" s="473"/>
      <c r="W283" s="473"/>
      <c r="X283" s="473"/>
      <c r="Y283" s="473"/>
      <c r="Z283" s="473"/>
      <c r="AA283" s="473"/>
      <c r="AB283" s="473"/>
      <c r="AC283" s="473"/>
      <c r="AD283" s="473"/>
      <c r="AE283" s="473"/>
      <c r="AF283" s="473"/>
      <c r="AG283" s="473"/>
    </row>
    <row r="284" spans="2:33" ht="47.25" thickBot="1">
      <c r="B284" s="627"/>
      <c r="C284" s="469" t="s">
        <v>149</v>
      </c>
      <c r="D284" s="486" t="s">
        <v>385</v>
      </c>
      <c r="E284" s="522" t="s">
        <v>610</v>
      </c>
      <c r="F284" s="505" t="s">
        <v>608</v>
      </c>
      <c r="G284" s="473"/>
      <c r="H284" s="473"/>
      <c r="I284" s="473"/>
      <c r="J284" s="473"/>
      <c r="K284" s="473"/>
      <c r="L284" s="473"/>
      <c r="M284" s="473"/>
      <c r="N284" s="473"/>
      <c r="O284" s="473"/>
      <c r="P284" s="473"/>
      <c r="Q284" s="473"/>
      <c r="R284" s="473"/>
      <c r="S284" s="473"/>
      <c r="T284" s="473"/>
      <c r="U284" s="473"/>
      <c r="V284" s="473"/>
      <c r="W284" s="473"/>
      <c r="X284" s="473"/>
      <c r="Y284" s="473"/>
      <c r="Z284" s="473"/>
      <c r="AA284" s="473"/>
      <c r="AB284" s="473"/>
      <c r="AC284" s="473"/>
      <c r="AD284" s="473"/>
      <c r="AE284" s="473"/>
      <c r="AF284" s="473"/>
      <c r="AG284" s="473"/>
    </row>
    <row r="285" spans="2:33" ht="47.25" thickBot="1">
      <c r="B285" s="627"/>
      <c r="C285" s="469" t="s">
        <v>150</v>
      </c>
      <c r="D285" s="486" t="s">
        <v>386</v>
      </c>
      <c r="E285" s="522" t="s">
        <v>611</v>
      </c>
      <c r="F285" s="505" t="s">
        <v>608</v>
      </c>
      <c r="G285" s="473"/>
      <c r="H285" s="473"/>
      <c r="I285" s="473"/>
      <c r="J285" s="473"/>
      <c r="K285" s="473"/>
      <c r="L285" s="473"/>
      <c r="M285" s="473"/>
      <c r="N285" s="473"/>
      <c r="O285" s="473"/>
      <c r="P285" s="473"/>
      <c r="Q285" s="473"/>
      <c r="R285" s="473"/>
      <c r="S285" s="473"/>
      <c r="T285" s="473"/>
      <c r="U285" s="473"/>
      <c r="V285" s="473"/>
      <c r="W285" s="473"/>
      <c r="X285" s="473"/>
      <c r="Y285" s="473"/>
      <c r="Z285" s="473"/>
      <c r="AA285" s="473"/>
      <c r="AB285" s="473"/>
      <c r="AC285" s="473"/>
      <c r="AD285" s="473"/>
      <c r="AE285" s="473"/>
      <c r="AF285" s="473"/>
      <c r="AG285" s="473"/>
    </row>
    <row r="286" spans="2:33" ht="46.5">
      <c r="B286" s="627"/>
      <c r="C286" s="469" t="s">
        <v>151</v>
      </c>
      <c r="D286" s="486" t="s">
        <v>387</v>
      </c>
      <c r="E286" s="506" t="s">
        <v>612</v>
      </c>
      <c r="F286" s="505" t="s">
        <v>608</v>
      </c>
      <c r="G286" s="473"/>
      <c r="H286" s="473"/>
      <c r="I286" s="473"/>
      <c r="J286" s="473"/>
      <c r="K286" s="473"/>
      <c r="L286" s="473"/>
      <c r="M286" s="473"/>
      <c r="N286" s="473"/>
      <c r="O286" s="473"/>
      <c r="P286" s="473"/>
      <c r="Q286" s="473"/>
      <c r="R286" s="473"/>
      <c r="S286" s="473"/>
      <c r="T286" s="473"/>
      <c r="U286" s="473"/>
      <c r="V286" s="473"/>
      <c r="W286" s="473"/>
      <c r="X286" s="473"/>
      <c r="Y286" s="473"/>
      <c r="Z286" s="473"/>
      <c r="AA286" s="473"/>
      <c r="AB286" s="473"/>
      <c r="AC286" s="473"/>
      <c r="AD286" s="473"/>
      <c r="AE286" s="473"/>
      <c r="AF286" s="473"/>
      <c r="AG286" s="473"/>
    </row>
    <row r="287" spans="2:33" ht="47.25" thickBot="1">
      <c r="B287" s="628"/>
      <c r="C287" s="494" t="s">
        <v>152</v>
      </c>
      <c r="D287" s="475" t="s">
        <v>388</v>
      </c>
      <c r="E287" s="522" t="s">
        <v>613</v>
      </c>
      <c r="F287" s="505" t="s">
        <v>608</v>
      </c>
      <c r="G287" s="473"/>
      <c r="H287" s="473"/>
      <c r="I287" s="473"/>
      <c r="J287" s="473"/>
      <c r="K287" s="473"/>
      <c r="L287" s="473"/>
      <c r="M287" s="473"/>
      <c r="N287" s="473"/>
      <c r="O287" s="473"/>
      <c r="P287" s="473"/>
      <c r="Q287" s="473"/>
      <c r="R287" s="473"/>
      <c r="S287" s="473"/>
      <c r="T287" s="473"/>
      <c r="U287" s="473"/>
      <c r="V287" s="473"/>
      <c r="W287" s="473"/>
      <c r="X287" s="473"/>
      <c r="Y287" s="473"/>
      <c r="Z287" s="473"/>
      <c r="AA287" s="473"/>
      <c r="AB287" s="473"/>
      <c r="AC287" s="473"/>
      <c r="AD287" s="473"/>
      <c r="AE287" s="473"/>
      <c r="AF287" s="473"/>
      <c r="AG287" s="473"/>
    </row>
    <row r="288" spans="2:33" ht="46.5">
      <c r="B288" s="629" t="s">
        <v>128</v>
      </c>
      <c r="C288" s="484" t="s">
        <v>147</v>
      </c>
      <c r="D288" s="486" t="s">
        <v>389</v>
      </c>
      <c r="E288" s="506" t="s">
        <v>607</v>
      </c>
      <c r="F288" s="505" t="s">
        <v>614</v>
      </c>
      <c r="G288" s="473"/>
      <c r="H288" s="473"/>
      <c r="I288" s="473"/>
      <c r="J288" s="473"/>
      <c r="K288" s="473"/>
      <c r="L288" s="473"/>
      <c r="M288" s="473"/>
      <c r="N288" s="473"/>
      <c r="O288" s="473"/>
      <c r="P288" s="473"/>
      <c r="Q288" s="473"/>
      <c r="R288" s="473"/>
      <c r="S288" s="473"/>
      <c r="T288" s="473"/>
      <c r="U288" s="473"/>
      <c r="V288" s="473"/>
      <c r="W288" s="473"/>
      <c r="X288" s="473"/>
      <c r="Y288" s="473"/>
      <c r="Z288" s="473"/>
      <c r="AA288" s="473"/>
      <c r="AB288" s="473"/>
      <c r="AC288" s="473"/>
      <c r="AD288" s="473"/>
      <c r="AE288" s="473"/>
      <c r="AF288" s="473"/>
      <c r="AG288" s="473"/>
    </row>
    <row r="289" spans="2:33" ht="46.5">
      <c r="B289" s="627"/>
      <c r="C289" s="469" t="s">
        <v>148</v>
      </c>
      <c r="D289" s="486" t="s">
        <v>390</v>
      </c>
      <c r="E289" s="506" t="s">
        <v>609</v>
      </c>
      <c r="F289" s="505" t="s">
        <v>614</v>
      </c>
      <c r="G289" s="473"/>
      <c r="H289" s="473"/>
      <c r="I289" s="473"/>
      <c r="J289" s="473"/>
      <c r="K289" s="473"/>
      <c r="L289" s="473"/>
      <c r="M289" s="473"/>
      <c r="N289" s="473"/>
      <c r="O289" s="473"/>
      <c r="P289" s="473"/>
      <c r="Q289" s="473"/>
      <c r="R289" s="473"/>
      <c r="S289" s="473"/>
      <c r="T289" s="473"/>
      <c r="U289" s="473"/>
      <c r="V289" s="473"/>
      <c r="W289" s="473"/>
      <c r="X289" s="473"/>
      <c r="Y289" s="473"/>
      <c r="Z289" s="473"/>
      <c r="AA289" s="473"/>
      <c r="AB289" s="473"/>
      <c r="AC289" s="473"/>
      <c r="AD289" s="473"/>
      <c r="AE289" s="473"/>
      <c r="AF289" s="473"/>
      <c r="AG289" s="473"/>
    </row>
    <row r="290" spans="2:33" ht="46.5">
      <c r="B290" s="627"/>
      <c r="C290" s="469" t="s">
        <v>149</v>
      </c>
      <c r="D290" s="486" t="s">
        <v>391</v>
      </c>
      <c r="E290" s="506" t="s">
        <v>610</v>
      </c>
      <c r="F290" s="505" t="s">
        <v>614</v>
      </c>
      <c r="G290" s="473"/>
      <c r="H290" s="473"/>
      <c r="I290" s="473"/>
      <c r="J290" s="473"/>
      <c r="K290" s="473"/>
      <c r="L290" s="473"/>
      <c r="M290" s="473"/>
      <c r="N290" s="473"/>
      <c r="O290" s="473"/>
      <c r="P290" s="473"/>
      <c r="Q290" s="473"/>
      <c r="R290" s="473"/>
      <c r="S290" s="473"/>
      <c r="T290" s="473"/>
      <c r="U290" s="473"/>
      <c r="V290" s="473"/>
      <c r="W290" s="473"/>
      <c r="X290" s="473"/>
      <c r="Y290" s="473"/>
      <c r="Z290" s="473"/>
      <c r="AA290" s="473"/>
      <c r="AB290" s="473"/>
      <c r="AC290" s="473"/>
      <c r="AD290" s="473"/>
      <c r="AE290" s="473"/>
      <c r="AF290" s="473"/>
      <c r="AG290" s="473"/>
    </row>
    <row r="291" spans="2:33" ht="46.5">
      <c r="B291" s="627"/>
      <c r="C291" s="469" t="s">
        <v>150</v>
      </c>
      <c r="D291" s="486" t="s">
        <v>392</v>
      </c>
      <c r="E291" s="506" t="s">
        <v>611</v>
      </c>
      <c r="F291" s="505" t="s">
        <v>614</v>
      </c>
      <c r="G291" s="473"/>
      <c r="H291" s="473"/>
      <c r="I291" s="473"/>
      <c r="J291" s="473"/>
      <c r="K291" s="473"/>
      <c r="L291" s="473"/>
      <c r="M291" s="473"/>
      <c r="N291" s="473"/>
      <c r="O291" s="473"/>
      <c r="P291" s="473"/>
      <c r="Q291" s="473"/>
      <c r="R291" s="473"/>
      <c r="S291" s="473"/>
      <c r="T291" s="473"/>
      <c r="U291" s="473"/>
      <c r="V291" s="473"/>
      <c r="W291" s="473"/>
      <c r="X291" s="473"/>
      <c r="Y291" s="473"/>
      <c r="Z291" s="473"/>
      <c r="AA291" s="473"/>
      <c r="AB291" s="473"/>
      <c r="AC291" s="473"/>
      <c r="AD291" s="473"/>
      <c r="AE291" s="473"/>
      <c r="AF291" s="473"/>
      <c r="AG291" s="473"/>
    </row>
    <row r="292" spans="2:33" ht="46.5">
      <c r="B292" s="627"/>
      <c r="C292" s="469" t="s">
        <v>151</v>
      </c>
      <c r="D292" s="486" t="s">
        <v>393</v>
      </c>
      <c r="E292" s="506" t="s">
        <v>612</v>
      </c>
      <c r="F292" s="505" t="s">
        <v>614</v>
      </c>
      <c r="G292" s="473"/>
      <c r="H292" s="473"/>
      <c r="I292" s="473"/>
      <c r="J292" s="473"/>
      <c r="K292" s="473"/>
      <c r="L292" s="473"/>
      <c r="M292" s="473"/>
      <c r="N292" s="473"/>
      <c r="O292" s="473"/>
      <c r="P292" s="473"/>
      <c r="Q292" s="473"/>
      <c r="R292" s="473"/>
      <c r="S292" s="473"/>
      <c r="T292" s="473"/>
      <c r="U292" s="473"/>
      <c r="V292" s="473"/>
      <c r="W292" s="473"/>
      <c r="X292" s="473"/>
      <c r="Y292" s="473"/>
      <c r="Z292" s="473"/>
      <c r="AA292" s="473"/>
      <c r="AB292" s="473"/>
      <c r="AC292" s="473"/>
      <c r="AD292" s="473"/>
      <c r="AE292" s="473"/>
      <c r="AF292" s="473"/>
      <c r="AG292" s="473"/>
    </row>
    <row r="293" spans="2:33" ht="47.25" thickBot="1">
      <c r="B293" s="627"/>
      <c r="C293" s="508" t="s">
        <v>152</v>
      </c>
      <c r="D293" s="475" t="s">
        <v>394</v>
      </c>
      <c r="E293" s="506" t="s">
        <v>613</v>
      </c>
      <c r="F293" s="505" t="s">
        <v>614</v>
      </c>
      <c r="G293" s="473"/>
      <c r="H293" s="473"/>
      <c r="I293" s="473"/>
      <c r="J293" s="473"/>
      <c r="K293" s="473"/>
      <c r="L293" s="473"/>
      <c r="M293" s="473"/>
      <c r="N293" s="473"/>
      <c r="O293" s="473"/>
      <c r="P293" s="473"/>
      <c r="Q293" s="473"/>
      <c r="R293" s="473"/>
      <c r="S293" s="473"/>
      <c r="T293" s="473"/>
      <c r="U293" s="473"/>
      <c r="V293" s="473"/>
      <c r="W293" s="473"/>
      <c r="X293" s="473"/>
      <c r="Y293" s="473"/>
      <c r="Z293" s="473"/>
      <c r="AA293" s="473"/>
      <c r="AB293" s="473"/>
      <c r="AC293" s="473"/>
      <c r="AD293" s="473"/>
      <c r="AE293" s="473"/>
      <c r="AF293" s="473"/>
      <c r="AG293" s="473"/>
    </row>
    <row r="294" spans="2:33" ht="27.75" thickBot="1">
      <c r="B294" s="637" t="s">
        <v>234</v>
      </c>
      <c r="C294" s="638"/>
      <c r="D294" s="638"/>
      <c r="E294" s="638"/>
      <c r="F294" s="638"/>
      <c r="G294" s="473"/>
      <c r="H294" s="473"/>
      <c r="I294" s="473"/>
      <c r="J294" s="473"/>
      <c r="K294" s="473"/>
      <c r="L294" s="473"/>
      <c r="M294" s="473"/>
      <c r="N294" s="473"/>
      <c r="O294" s="473"/>
      <c r="P294" s="473"/>
      <c r="Q294" s="473"/>
      <c r="R294" s="473"/>
      <c r="S294" s="473"/>
      <c r="T294" s="473"/>
      <c r="U294" s="473"/>
      <c r="V294" s="473"/>
      <c r="W294" s="473"/>
      <c r="X294" s="473"/>
      <c r="Y294" s="473"/>
      <c r="Z294" s="473"/>
      <c r="AA294" s="473"/>
      <c r="AB294" s="473"/>
      <c r="AC294" s="473"/>
      <c r="AD294" s="473"/>
      <c r="AE294" s="473"/>
      <c r="AF294" s="473"/>
      <c r="AG294" s="473"/>
    </row>
    <row r="295" spans="2:33" ht="27.75" thickBot="1">
      <c r="B295" s="495" t="s">
        <v>144</v>
      </c>
      <c r="C295" s="503" t="s">
        <v>153</v>
      </c>
      <c r="D295" s="519" t="s">
        <v>395</v>
      </c>
      <c r="E295" s="506"/>
      <c r="F295" s="505"/>
      <c r="G295" s="473"/>
      <c r="H295" s="473"/>
      <c r="I295" s="473"/>
      <c r="J295" s="473"/>
      <c r="K295" s="473"/>
      <c r="L295" s="473"/>
      <c r="M295" s="473"/>
      <c r="N295" s="473"/>
      <c r="O295" s="473"/>
      <c r="P295" s="473"/>
      <c r="Q295" s="473"/>
      <c r="R295" s="473"/>
      <c r="S295" s="473"/>
      <c r="T295" s="473"/>
      <c r="U295" s="473"/>
      <c r="V295" s="473"/>
      <c r="W295" s="473"/>
      <c r="X295" s="473"/>
      <c r="Y295" s="473"/>
      <c r="Z295" s="473"/>
      <c r="AA295" s="473"/>
      <c r="AB295" s="473"/>
      <c r="AC295" s="473"/>
      <c r="AD295" s="473"/>
      <c r="AE295" s="473"/>
      <c r="AF295" s="473"/>
      <c r="AG295" s="473"/>
    </row>
    <row r="296" spans="2:33" ht="46.5">
      <c r="B296" s="629" t="s">
        <v>127</v>
      </c>
      <c r="C296" s="484" t="s">
        <v>154</v>
      </c>
      <c r="D296" s="486" t="s">
        <v>396</v>
      </c>
      <c r="E296" s="506" t="s">
        <v>615</v>
      </c>
      <c r="F296" s="505" t="s">
        <v>616</v>
      </c>
      <c r="G296" s="473"/>
      <c r="H296" s="473"/>
      <c r="I296" s="473"/>
      <c r="J296" s="473"/>
      <c r="K296" s="473"/>
      <c r="L296" s="473"/>
      <c r="M296" s="473"/>
      <c r="N296" s="473"/>
      <c r="O296" s="473"/>
      <c r="P296" s="473"/>
      <c r="Q296" s="473"/>
      <c r="R296" s="473"/>
      <c r="S296" s="473"/>
      <c r="T296" s="473"/>
      <c r="U296" s="473"/>
      <c r="V296" s="473"/>
      <c r="W296" s="473"/>
      <c r="X296" s="473"/>
      <c r="Y296" s="473"/>
      <c r="Z296" s="473"/>
      <c r="AA296" s="473"/>
      <c r="AB296" s="473"/>
      <c r="AC296" s="473"/>
      <c r="AD296" s="473"/>
      <c r="AE296" s="473"/>
      <c r="AF296" s="473"/>
      <c r="AG296" s="473"/>
    </row>
    <row r="297" spans="2:33" ht="46.5">
      <c r="B297" s="627"/>
      <c r="C297" s="469" t="s">
        <v>155</v>
      </c>
      <c r="D297" s="486" t="s">
        <v>397</v>
      </c>
      <c r="E297" s="506" t="s">
        <v>617</v>
      </c>
      <c r="F297" s="505" t="s">
        <v>616</v>
      </c>
      <c r="G297" s="473"/>
      <c r="H297" s="473"/>
      <c r="I297" s="473"/>
      <c r="J297" s="473"/>
      <c r="K297" s="473"/>
      <c r="L297" s="473"/>
      <c r="M297" s="473"/>
      <c r="N297" s="473"/>
      <c r="O297" s="473"/>
      <c r="P297" s="473"/>
      <c r="Q297" s="473"/>
      <c r="R297" s="473"/>
      <c r="S297" s="473"/>
      <c r="T297" s="473"/>
      <c r="U297" s="473"/>
      <c r="V297" s="473"/>
      <c r="W297" s="473"/>
      <c r="X297" s="473"/>
      <c r="Y297" s="473"/>
      <c r="Z297" s="473"/>
      <c r="AA297" s="473"/>
      <c r="AB297" s="473"/>
      <c r="AC297" s="473"/>
      <c r="AD297" s="473"/>
      <c r="AE297" s="473"/>
      <c r="AF297" s="473"/>
      <c r="AG297" s="473"/>
    </row>
    <row r="298" spans="2:33" ht="46.5">
      <c r="B298" s="627"/>
      <c r="C298" s="469" t="s">
        <v>156</v>
      </c>
      <c r="D298" s="486" t="s">
        <v>398</v>
      </c>
      <c r="E298" s="506" t="s">
        <v>618</v>
      </c>
      <c r="F298" s="505" t="s">
        <v>616</v>
      </c>
      <c r="G298" s="473"/>
      <c r="H298" s="473"/>
      <c r="I298" s="473"/>
      <c r="J298" s="473"/>
      <c r="K298" s="473"/>
      <c r="L298" s="473"/>
      <c r="M298" s="473"/>
      <c r="N298" s="473"/>
      <c r="O298" s="473"/>
      <c r="P298" s="473"/>
      <c r="Q298" s="473"/>
      <c r="R298" s="473"/>
      <c r="S298" s="473"/>
      <c r="T298" s="473"/>
      <c r="U298" s="473"/>
      <c r="V298" s="473"/>
      <c r="W298" s="473"/>
      <c r="X298" s="473"/>
      <c r="Y298" s="473"/>
      <c r="Z298" s="473"/>
      <c r="AA298" s="473"/>
      <c r="AB298" s="473"/>
      <c r="AC298" s="473"/>
      <c r="AD298" s="473"/>
      <c r="AE298" s="473"/>
      <c r="AF298" s="473"/>
      <c r="AG298" s="473"/>
    </row>
    <row r="299" spans="2:33" ht="46.5">
      <c r="B299" s="627"/>
      <c r="C299" s="469" t="s">
        <v>157</v>
      </c>
      <c r="D299" s="486" t="s">
        <v>399</v>
      </c>
      <c r="E299" s="506" t="s">
        <v>619</v>
      </c>
      <c r="F299" s="505" t="s">
        <v>616</v>
      </c>
      <c r="G299" s="473"/>
      <c r="H299" s="473"/>
      <c r="I299" s="473"/>
      <c r="J299" s="473"/>
      <c r="K299" s="473"/>
      <c r="L299" s="473"/>
      <c r="M299" s="473"/>
      <c r="N299" s="473"/>
      <c r="O299" s="473"/>
      <c r="P299" s="473"/>
      <c r="Q299" s="473"/>
      <c r="R299" s="473"/>
      <c r="S299" s="473"/>
      <c r="T299" s="473"/>
      <c r="U299" s="473"/>
      <c r="V299" s="473"/>
      <c r="W299" s="473"/>
      <c r="X299" s="473"/>
      <c r="Y299" s="473"/>
      <c r="Z299" s="473"/>
      <c r="AA299" s="473"/>
      <c r="AB299" s="473"/>
      <c r="AC299" s="473"/>
      <c r="AD299" s="473"/>
      <c r="AE299" s="473"/>
      <c r="AF299" s="473"/>
      <c r="AG299" s="473"/>
    </row>
    <row r="300" spans="2:33" ht="46.5">
      <c r="B300" s="627"/>
      <c r="C300" s="469" t="s">
        <v>158</v>
      </c>
      <c r="D300" s="486" t="s">
        <v>400</v>
      </c>
      <c r="E300" s="506" t="s">
        <v>620</v>
      </c>
      <c r="F300" s="505" t="s">
        <v>616</v>
      </c>
      <c r="G300" s="473"/>
      <c r="H300" s="473"/>
      <c r="I300" s="473"/>
      <c r="J300" s="473"/>
      <c r="K300" s="473"/>
      <c r="L300" s="473"/>
      <c r="M300" s="473"/>
      <c r="N300" s="473"/>
      <c r="O300" s="473"/>
      <c r="P300" s="473"/>
      <c r="Q300" s="473"/>
      <c r="R300" s="473"/>
      <c r="S300" s="473"/>
      <c r="T300" s="473"/>
      <c r="U300" s="473"/>
      <c r="V300" s="473"/>
      <c r="W300" s="473"/>
      <c r="X300" s="473"/>
      <c r="Y300" s="473"/>
      <c r="Z300" s="473"/>
      <c r="AA300" s="473"/>
      <c r="AB300" s="473"/>
      <c r="AC300" s="473"/>
      <c r="AD300" s="473"/>
      <c r="AE300" s="473"/>
      <c r="AF300" s="473"/>
      <c r="AG300" s="473"/>
    </row>
    <row r="301" spans="2:33" ht="47.25" thickBot="1">
      <c r="B301" s="628"/>
      <c r="C301" s="494" t="s">
        <v>159</v>
      </c>
      <c r="D301" s="486" t="s">
        <v>401</v>
      </c>
      <c r="E301" s="506" t="s">
        <v>621</v>
      </c>
      <c r="F301" s="505" t="s">
        <v>616</v>
      </c>
      <c r="G301" s="473"/>
      <c r="H301" s="473"/>
      <c r="I301" s="473"/>
      <c r="J301" s="473"/>
      <c r="K301" s="473"/>
      <c r="L301" s="473"/>
      <c r="M301" s="473"/>
      <c r="N301" s="473"/>
      <c r="O301" s="473"/>
      <c r="P301" s="473"/>
      <c r="Q301" s="473"/>
      <c r="R301" s="473"/>
      <c r="S301" s="473"/>
      <c r="T301" s="473"/>
      <c r="U301" s="473"/>
      <c r="V301" s="473"/>
      <c r="W301" s="473"/>
      <c r="X301" s="473"/>
      <c r="Y301" s="473"/>
      <c r="Z301" s="473"/>
      <c r="AA301" s="473"/>
      <c r="AB301" s="473"/>
      <c r="AC301" s="473"/>
      <c r="AD301" s="473"/>
      <c r="AE301" s="473"/>
      <c r="AF301" s="473"/>
      <c r="AG301" s="473"/>
    </row>
    <row r="302" spans="2:33" ht="46.5">
      <c r="B302" s="627" t="s">
        <v>128</v>
      </c>
      <c r="C302" s="499" t="s">
        <v>154</v>
      </c>
      <c r="D302" s="470" t="s">
        <v>402</v>
      </c>
      <c r="E302" s="506" t="s">
        <v>615</v>
      </c>
      <c r="F302" s="505" t="s">
        <v>614</v>
      </c>
      <c r="G302" s="473"/>
      <c r="H302" s="473"/>
      <c r="I302" s="473"/>
      <c r="J302" s="473"/>
      <c r="K302" s="473"/>
      <c r="L302" s="473"/>
      <c r="M302" s="473"/>
      <c r="N302" s="473"/>
      <c r="O302" s="473"/>
      <c r="P302" s="473"/>
      <c r="Q302" s="473"/>
      <c r="R302" s="473"/>
      <c r="S302" s="473"/>
      <c r="T302" s="473"/>
      <c r="U302" s="473"/>
      <c r="V302" s="473"/>
      <c r="W302" s="473"/>
      <c r="X302" s="473"/>
      <c r="Y302" s="473"/>
      <c r="Z302" s="473"/>
      <c r="AA302" s="473"/>
      <c r="AB302" s="473"/>
      <c r="AC302" s="473"/>
      <c r="AD302" s="473"/>
      <c r="AE302" s="473"/>
      <c r="AF302" s="473"/>
      <c r="AG302" s="473"/>
    </row>
    <row r="303" spans="2:33" ht="46.5">
      <c r="B303" s="627"/>
      <c r="C303" s="469" t="s">
        <v>155</v>
      </c>
      <c r="D303" s="486" t="s">
        <v>403</v>
      </c>
      <c r="E303" s="506" t="s">
        <v>619</v>
      </c>
      <c r="F303" s="505" t="s">
        <v>614</v>
      </c>
      <c r="G303" s="473"/>
      <c r="H303" s="473"/>
      <c r="I303" s="473"/>
      <c r="J303" s="473"/>
      <c r="K303" s="473"/>
      <c r="L303" s="473"/>
      <c r="M303" s="473"/>
      <c r="N303" s="473"/>
      <c r="O303" s="473"/>
      <c r="P303" s="473"/>
      <c r="Q303" s="473"/>
      <c r="R303" s="473"/>
      <c r="S303" s="473"/>
      <c r="T303" s="473"/>
      <c r="U303" s="473"/>
      <c r="V303" s="473"/>
      <c r="W303" s="473"/>
      <c r="X303" s="473"/>
      <c r="Y303" s="473"/>
      <c r="Z303" s="473"/>
      <c r="AA303" s="473"/>
      <c r="AB303" s="473"/>
      <c r="AC303" s="473"/>
      <c r="AD303" s="473"/>
      <c r="AE303" s="473"/>
      <c r="AF303" s="473"/>
      <c r="AG303" s="473"/>
    </row>
    <row r="304" spans="2:33" ht="46.5">
      <c r="B304" s="627"/>
      <c r="C304" s="469" t="s">
        <v>156</v>
      </c>
      <c r="D304" s="486" t="s">
        <v>404</v>
      </c>
      <c r="E304" s="506" t="s">
        <v>619</v>
      </c>
      <c r="F304" s="505" t="s">
        <v>614</v>
      </c>
      <c r="G304" s="473"/>
      <c r="H304" s="473"/>
      <c r="I304" s="473"/>
      <c r="J304" s="473"/>
      <c r="K304" s="473"/>
      <c r="L304" s="473"/>
      <c r="M304" s="473"/>
      <c r="N304" s="473"/>
      <c r="O304" s="473"/>
      <c r="P304" s="473"/>
      <c r="Q304" s="473"/>
      <c r="R304" s="473"/>
      <c r="S304" s="473"/>
      <c r="T304" s="473"/>
      <c r="U304" s="473"/>
      <c r="V304" s="473"/>
      <c r="W304" s="473"/>
      <c r="X304" s="473"/>
      <c r="Y304" s="473"/>
      <c r="Z304" s="473"/>
      <c r="AA304" s="473"/>
      <c r="AB304" s="473"/>
      <c r="AC304" s="473"/>
      <c r="AD304" s="473"/>
      <c r="AE304" s="473"/>
      <c r="AF304" s="473"/>
      <c r="AG304" s="473"/>
    </row>
    <row r="305" spans="2:33" ht="46.5">
      <c r="B305" s="627"/>
      <c r="C305" s="469" t="s">
        <v>157</v>
      </c>
      <c r="D305" s="486" t="s">
        <v>405</v>
      </c>
      <c r="E305" s="506" t="s">
        <v>619</v>
      </c>
      <c r="F305" s="505" t="s">
        <v>614</v>
      </c>
      <c r="G305" s="473"/>
      <c r="H305" s="473"/>
      <c r="I305" s="473"/>
      <c r="J305" s="473"/>
      <c r="K305" s="473"/>
      <c r="L305" s="473"/>
      <c r="M305" s="473"/>
      <c r="N305" s="473"/>
      <c r="O305" s="473"/>
      <c r="P305" s="473"/>
      <c r="Q305" s="473"/>
      <c r="R305" s="473"/>
      <c r="S305" s="473"/>
      <c r="T305" s="473"/>
      <c r="U305" s="473"/>
      <c r="V305" s="473"/>
      <c r="W305" s="473"/>
      <c r="X305" s="473"/>
      <c r="Y305" s="473"/>
      <c r="Z305" s="473"/>
      <c r="AA305" s="473"/>
      <c r="AB305" s="473"/>
      <c r="AC305" s="473"/>
      <c r="AD305" s="473"/>
      <c r="AE305" s="473"/>
      <c r="AF305" s="473"/>
      <c r="AG305" s="473"/>
    </row>
    <row r="306" spans="2:33" ht="46.5">
      <c r="B306" s="627"/>
      <c r="C306" s="469" t="s">
        <v>158</v>
      </c>
      <c r="D306" s="486" t="s">
        <v>406</v>
      </c>
      <c r="E306" s="506" t="s">
        <v>619</v>
      </c>
      <c r="F306" s="505" t="s">
        <v>614</v>
      </c>
      <c r="G306" s="473"/>
      <c r="H306" s="473"/>
      <c r="I306" s="473"/>
      <c r="J306" s="473"/>
      <c r="K306" s="473"/>
      <c r="L306" s="473"/>
      <c r="M306" s="473"/>
      <c r="N306" s="473"/>
      <c r="O306" s="473"/>
      <c r="P306" s="473"/>
      <c r="Q306" s="473"/>
      <c r="R306" s="473"/>
      <c r="S306" s="473"/>
      <c r="T306" s="473"/>
      <c r="U306" s="473"/>
      <c r="V306" s="473"/>
      <c r="W306" s="473"/>
      <c r="X306" s="473"/>
      <c r="Y306" s="473"/>
      <c r="Z306" s="473"/>
      <c r="AA306" s="473"/>
      <c r="AB306" s="473"/>
      <c r="AC306" s="473"/>
      <c r="AD306" s="473"/>
      <c r="AE306" s="473"/>
      <c r="AF306" s="473"/>
      <c r="AG306" s="473"/>
    </row>
    <row r="307" spans="2:33" ht="47.25" thickBot="1">
      <c r="B307" s="627"/>
      <c r="C307" s="508" t="s">
        <v>159</v>
      </c>
      <c r="D307" s="475" t="s">
        <v>407</v>
      </c>
      <c r="E307" s="506" t="s">
        <v>619</v>
      </c>
      <c r="F307" s="505" t="s">
        <v>614</v>
      </c>
      <c r="G307" s="473"/>
      <c r="H307" s="473"/>
      <c r="I307" s="473"/>
      <c r="J307" s="473"/>
      <c r="K307" s="473"/>
      <c r="L307" s="473"/>
      <c r="M307" s="473"/>
      <c r="N307" s="473"/>
      <c r="O307" s="473"/>
      <c r="P307" s="473"/>
      <c r="Q307" s="473"/>
      <c r="R307" s="473"/>
      <c r="S307" s="473"/>
      <c r="T307" s="473"/>
      <c r="U307" s="473"/>
      <c r="V307" s="473"/>
      <c r="W307" s="473"/>
      <c r="X307" s="473"/>
      <c r="Y307" s="473"/>
      <c r="Z307" s="473"/>
      <c r="AA307" s="473"/>
      <c r="AB307" s="473"/>
      <c r="AC307" s="473"/>
      <c r="AD307" s="473"/>
      <c r="AE307" s="473"/>
      <c r="AF307" s="473"/>
      <c r="AG307" s="473"/>
    </row>
    <row r="308" spans="2:33" ht="27.75" thickBot="1">
      <c r="B308" s="637" t="s">
        <v>235</v>
      </c>
      <c r="C308" s="638"/>
      <c r="D308" s="638"/>
      <c r="E308" s="638"/>
      <c r="F308" s="638"/>
      <c r="G308" s="473"/>
      <c r="H308" s="473"/>
      <c r="I308" s="473"/>
      <c r="J308" s="473"/>
      <c r="K308" s="473"/>
      <c r="L308" s="473"/>
      <c r="M308" s="473"/>
      <c r="N308" s="473"/>
      <c r="O308" s="473"/>
      <c r="P308" s="473"/>
      <c r="Q308" s="473"/>
      <c r="R308" s="473"/>
      <c r="S308" s="473"/>
      <c r="T308" s="473"/>
      <c r="U308" s="473"/>
      <c r="V308" s="473"/>
      <c r="W308" s="473"/>
      <c r="X308" s="473"/>
      <c r="Y308" s="473"/>
      <c r="Z308" s="473"/>
      <c r="AA308" s="473"/>
      <c r="AB308" s="473"/>
      <c r="AC308" s="473"/>
      <c r="AD308" s="473"/>
      <c r="AE308" s="473"/>
      <c r="AF308" s="473"/>
      <c r="AG308" s="473"/>
    </row>
    <row r="309" spans="2:33" ht="70.5" thickBot="1">
      <c r="B309" s="495" t="s">
        <v>145</v>
      </c>
      <c r="C309" s="496" t="s">
        <v>145</v>
      </c>
      <c r="D309" s="475" t="s">
        <v>408</v>
      </c>
      <c r="E309" s="506" t="s">
        <v>622</v>
      </c>
      <c r="F309" s="505" t="s">
        <v>623</v>
      </c>
      <c r="G309" s="473"/>
      <c r="H309" s="473"/>
      <c r="I309" s="473"/>
      <c r="J309" s="473"/>
      <c r="K309" s="473"/>
      <c r="L309" s="473"/>
      <c r="M309" s="473"/>
      <c r="N309" s="473"/>
      <c r="O309" s="473"/>
      <c r="P309" s="473"/>
      <c r="Q309" s="473"/>
      <c r="R309" s="473"/>
      <c r="S309" s="473"/>
      <c r="T309" s="473"/>
      <c r="U309" s="473"/>
      <c r="V309" s="473"/>
      <c r="W309" s="473"/>
      <c r="X309" s="473"/>
      <c r="Y309" s="473"/>
      <c r="Z309" s="473"/>
      <c r="AA309" s="473"/>
      <c r="AB309" s="473"/>
      <c r="AC309" s="473"/>
      <c r="AD309" s="473"/>
      <c r="AE309" s="473"/>
      <c r="AF309" s="473"/>
      <c r="AG309" s="473"/>
    </row>
    <row r="310" spans="2:33" ht="69.75">
      <c r="B310" s="498" t="s">
        <v>78</v>
      </c>
      <c r="C310" s="499" t="s">
        <v>160</v>
      </c>
      <c r="D310" s="470" t="s">
        <v>409</v>
      </c>
      <c r="E310" s="506" t="s">
        <v>624</v>
      </c>
      <c r="F310" s="505" t="s">
        <v>623</v>
      </c>
      <c r="G310" s="473"/>
      <c r="H310" s="473"/>
      <c r="I310" s="473"/>
      <c r="J310" s="473"/>
      <c r="K310" s="473"/>
      <c r="L310" s="473"/>
      <c r="M310" s="473"/>
      <c r="N310" s="473"/>
      <c r="O310" s="473"/>
      <c r="P310" s="473"/>
      <c r="Q310" s="473"/>
      <c r="R310" s="473"/>
      <c r="S310" s="473"/>
      <c r="T310" s="473"/>
      <c r="U310" s="473"/>
      <c r="V310" s="473"/>
      <c r="W310" s="473"/>
      <c r="X310" s="473"/>
      <c r="Y310" s="473"/>
      <c r="Z310" s="473"/>
      <c r="AA310" s="473"/>
      <c r="AB310" s="473"/>
      <c r="AC310" s="473"/>
      <c r="AD310" s="473"/>
      <c r="AE310" s="473"/>
      <c r="AF310" s="473"/>
      <c r="AG310" s="473"/>
    </row>
    <row r="311" spans="2:33" ht="69.75">
      <c r="B311" s="492" t="s">
        <v>76</v>
      </c>
      <c r="C311" s="469" t="s">
        <v>161</v>
      </c>
      <c r="D311" s="486" t="s">
        <v>410</v>
      </c>
      <c r="E311" s="506" t="s">
        <v>625</v>
      </c>
      <c r="F311" s="505" t="s">
        <v>623</v>
      </c>
      <c r="G311" s="473"/>
      <c r="H311" s="473"/>
      <c r="I311" s="473"/>
      <c r="J311" s="473"/>
      <c r="K311" s="473"/>
      <c r="L311" s="473"/>
      <c r="M311" s="473"/>
      <c r="N311" s="473"/>
      <c r="O311" s="473"/>
      <c r="P311" s="473"/>
      <c r="Q311" s="473"/>
      <c r="R311" s="473"/>
      <c r="S311" s="473"/>
      <c r="T311" s="473"/>
      <c r="U311" s="473"/>
      <c r="V311" s="473"/>
      <c r="W311" s="473"/>
      <c r="X311" s="473"/>
      <c r="Y311" s="473"/>
      <c r="Z311" s="473"/>
      <c r="AA311" s="473"/>
      <c r="AB311" s="473"/>
      <c r="AC311" s="473"/>
      <c r="AD311" s="473"/>
      <c r="AE311" s="473"/>
      <c r="AF311" s="473"/>
      <c r="AG311" s="473"/>
    </row>
    <row r="312" spans="2:33" ht="69.75">
      <c r="B312" s="492" t="s">
        <v>122</v>
      </c>
      <c r="C312" s="469" t="s">
        <v>162</v>
      </c>
      <c r="D312" s="486" t="s">
        <v>411</v>
      </c>
      <c r="E312" s="506" t="s">
        <v>626</v>
      </c>
      <c r="F312" s="505" t="s">
        <v>623</v>
      </c>
      <c r="G312" s="473"/>
      <c r="H312" s="473"/>
      <c r="I312" s="473"/>
      <c r="J312" s="473"/>
      <c r="K312" s="473"/>
      <c r="L312" s="473"/>
      <c r="M312" s="473"/>
      <c r="N312" s="473"/>
      <c r="O312" s="473"/>
      <c r="P312" s="473"/>
      <c r="Q312" s="473"/>
      <c r="R312" s="473"/>
      <c r="S312" s="473"/>
      <c r="T312" s="473"/>
      <c r="U312" s="473"/>
      <c r="V312" s="473"/>
      <c r="W312" s="473"/>
      <c r="X312" s="473"/>
      <c r="Y312" s="473"/>
      <c r="Z312" s="473"/>
      <c r="AA312" s="473"/>
      <c r="AB312" s="473"/>
      <c r="AC312" s="473"/>
      <c r="AD312" s="473"/>
      <c r="AE312" s="473"/>
      <c r="AF312" s="473"/>
      <c r="AG312" s="473"/>
    </row>
    <row r="313" spans="2:33" ht="69.75">
      <c r="B313" s="492" t="s">
        <v>166</v>
      </c>
      <c r="C313" s="469" t="s">
        <v>163</v>
      </c>
      <c r="D313" s="486" t="s">
        <v>412</v>
      </c>
      <c r="E313" s="506" t="s">
        <v>627</v>
      </c>
      <c r="F313" s="505" t="s">
        <v>623</v>
      </c>
      <c r="G313" s="473"/>
      <c r="H313" s="473"/>
      <c r="I313" s="473"/>
      <c r="J313" s="473"/>
      <c r="K313" s="473"/>
      <c r="L313" s="473"/>
      <c r="M313" s="473"/>
      <c r="N313" s="473"/>
      <c r="O313" s="473"/>
      <c r="P313" s="473"/>
      <c r="Q313" s="473"/>
      <c r="R313" s="473"/>
      <c r="S313" s="473"/>
      <c r="T313" s="473"/>
      <c r="U313" s="473"/>
      <c r="V313" s="473"/>
      <c r="W313" s="473"/>
      <c r="X313" s="473"/>
      <c r="Y313" s="473"/>
      <c r="Z313" s="473"/>
      <c r="AA313" s="473"/>
      <c r="AB313" s="473"/>
      <c r="AC313" s="473"/>
      <c r="AD313" s="473"/>
      <c r="AE313" s="473"/>
      <c r="AF313" s="473"/>
      <c r="AG313" s="473"/>
    </row>
    <row r="314" spans="2:33" ht="69.75">
      <c r="B314" s="492" t="s">
        <v>75</v>
      </c>
      <c r="C314" s="469" t="s">
        <v>164</v>
      </c>
      <c r="D314" s="486" t="s">
        <v>413</v>
      </c>
      <c r="E314" s="506" t="s">
        <v>628</v>
      </c>
      <c r="F314" s="505" t="s">
        <v>623</v>
      </c>
      <c r="G314" s="473"/>
      <c r="H314" s="473"/>
      <c r="I314" s="473"/>
      <c r="J314" s="473"/>
      <c r="K314" s="473"/>
      <c r="L314" s="473"/>
      <c r="M314" s="473"/>
      <c r="N314" s="473"/>
      <c r="O314" s="473"/>
      <c r="P314" s="473"/>
      <c r="Q314" s="473"/>
      <c r="R314" s="473"/>
      <c r="S314" s="473"/>
      <c r="T314" s="473"/>
      <c r="U314" s="473"/>
      <c r="V314" s="473"/>
      <c r="W314" s="473"/>
      <c r="X314" s="473"/>
      <c r="Y314" s="473"/>
      <c r="Z314" s="473"/>
      <c r="AA314" s="473"/>
      <c r="AB314" s="473"/>
      <c r="AC314" s="473"/>
      <c r="AD314" s="473"/>
      <c r="AE314" s="473"/>
      <c r="AF314" s="473"/>
      <c r="AG314" s="473"/>
    </row>
    <row r="315" spans="2:33" ht="70.5" thickBot="1">
      <c r="B315" s="500" t="s">
        <v>421</v>
      </c>
      <c r="C315" s="494" t="s">
        <v>165</v>
      </c>
      <c r="D315" s="475" t="s">
        <v>414</v>
      </c>
      <c r="E315" s="527" t="s">
        <v>629</v>
      </c>
      <c r="F315" s="528" t="s">
        <v>630</v>
      </c>
      <c r="G315" s="473"/>
      <c r="H315" s="473"/>
      <c r="I315" s="473"/>
      <c r="J315" s="473"/>
      <c r="K315" s="473"/>
      <c r="L315" s="473"/>
      <c r="M315" s="473"/>
      <c r="N315" s="473"/>
      <c r="O315" s="473"/>
      <c r="P315" s="473"/>
      <c r="Q315" s="473"/>
      <c r="R315" s="473"/>
      <c r="S315" s="473"/>
      <c r="T315" s="473"/>
      <c r="U315" s="473"/>
      <c r="V315" s="473"/>
      <c r="W315" s="473"/>
      <c r="X315" s="473"/>
      <c r="Y315" s="473"/>
      <c r="Z315" s="473"/>
      <c r="AA315" s="473"/>
      <c r="AB315" s="473"/>
      <c r="AC315" s="473"/>
      <c r="AD315" s="473"/>
      <c r="AE315" s="473"/>
      <c r="AF315" s="473"/>
      <c r="AG315" s="473"/>
    </row>
    <row r="316" spans="2:33" ht="27.75" thickBot="1">
      <c r="B316" s="529" t="s">
        <v>837</v>
      </c>
      <c r="C316" s="530" t="s">
        <v>837</v>
      </c>
      <c r="D316" s="531" t="s">
        <v>408</v>
      </c>
      <c r="E316" s="532"/>
      <c r="F316" s="533"/>
      <c r="G316" s="473"/>
      <c r="H316" s="473"/>
      <c r="I316" s="473"/>
      <c r="J316" s="473"/>
      <c r="K316" s="473"/>
      <c r="L316" s="473"/>
      <c r="M316" s="473"/>
      <c r="N316" s="473"/>
      <c r="O316" s="473"/>
      <c r="P316" s="473"/>
      <c r="Q316" s="473"/>
      <c r="R316" s="473"/>
      <c r="S316" s="473"/>
      <c r="T316" s="473"/>
      <c r="U316" s="473"/>
      <c r="V316" s="473"/>
      <c r="W316" s="473"/>
      <c r="X316" s="473"/>
      <c r="Y316" s="473"/>
      <c r="Z316" s="473"/>
      <c r="AA316" s="473"/>
      <c r="AB316" s="473"/>
      <c r="AC316" s="473"/>
      <c r="AD316" s="473"/>
      <c r="AE316" s="473"/>
      <c r="AF316" s="473"/>
      <c r="AG316" s="473"/>
    </row>
    <row r="317" spans="2:33">
      <c r="B317" s="665" t="s">
        <v>839</v>
      </c>
      <c r="C317" s="534" t="s">
        <v>840</v>
      </c>
      <c r="D317" s="535" t="s">
        <v>409</v>
      </c>
      <c r="E317" s="532" t="s">
        <v>882</v>
      </c>
      <c r="F317" s="533"/>
      <c r="G317" s="473"/>
      <c r="H317" s="473"/>
      <c r="I317" s="473"/>
      <c r="J317" s="473"/>
      <c r="K317" s="473"/>
      <c r="L317" s="473"/>
      <c r="M317" s="473"/>
      <c r="N317" s="473"/>
      <c r="O317" s="473"/>
      <c r="P317" s="473"/>
      <c r="Q317" s="473"/>
      <c r="R317" s="473"/>
      <c r="S317" s="473"/>
      <c r="T317" s="473"/>
      <c r="U317" s="473"/>
      <c r="V317" s="473"/>
      <c r="W317" s="473"/>
      <c r="X317" s="473"/>
      <c r="Y317" s="473"/>
      <c r="Z317" s="473"/>
      <c r="AA317" s="473"/>
      <c r="AB317" s="473"/>
      <c r="AC317" s="473"/>
      <c r="AD317" s="473"/>
      <c r="AE317" s="473"/>
      <c r="AF317" s="473"/>
      <c r="AG317" s="473"/>
    </row>
    <row r="318" spans="2:33">
      <c r="B318" s="666"/>
      <c r="C318" s="516" t="s">
        <v>841</v>
      </c>
      <c r="D318" s="531" t="s">
        <v>410</v>
      </c>
      <c r="E318" s="532" t="s">
        <v>883</v>
      </c>
      <c r="F318" s="533"/>
      <c r="G318" s="473"/>
      <c r="H318" s="473"/>
      <c r="I318" s="473"/>
      <c r="J318" s="473"/>
      <c r="K318" s="473"/>
      <c r="L318" s="473"/>
      <c r="M318" s="473"/>
      <c r="N318" s="473"/>
      <c r="O318" s="473"/>
      <c r="P318" s="473"/>
      <c r="Q318" s="473"/>
      <c r="R318" s="473"/>
      <c r="S318" s="473"/>
      <c r="T318" s="473"/>
      <c r="U318" s="473"/>
      <c r="V318" s="473"/>
      <c r="W318" s="473"/>
      <c r="X318" s="473"/>
      <c r="Y318" s="473"/>
      <c r="Z318" s="473"/>
      <c r="AA318" s="473"/>
      <c r="AB318" s="473"/>
      <c r="AC318" s="473"/>
      <c r="AD318" s="473"/>
      <c r="AE318" s="473"/>
      <c r="AF318" s="473"/>
      <c r="AG318" s="473"/>
    </row>
    <row r="319" spans="2:33">
      <c r="B319" s="666"/>
      <c r="C319" s="516" t="s">
        <v>842</v>
      </c>
      <c r="D319" s="531" t="s">
        <v>411</v>
      </c>
      <c r="E319" s="532" t="s">
        <v>884</v>
      </c>
      <c r="F319" s="533"/>
      <c r="G319" s="473"/>
      <c r="H319" s="473"/>
      <c r="I319" s="473"/>
      <c r="J319" s="473"/>
      <c r="K319" s="473"/>
      <c r="L319" s="473"/>
      <c r="M319" s="473"/>
      <c r="N319" s="473"/>
      <c r="O319" s="473"/>
      <c r="P319" s="473"/>
      <c r="Q319" s="473"/>
      <c r="R319" s="473"/>
      <c r="S319" s="473"/>
      <c r="T319" s="473"/>
      <c r="U319" s="473"/>
      <c r="V319" s="473"/>
      <c r="W319" s="473"/>
      <c r="X319" s="473"/>
      <c r="Y319" s="473"/>
      <c r="Z319" s="473"/>
      <c r="AA319" s="473"/>
      <c r="AB319" s="473"/>
      <c r="AC319" s="473"/>
      <c r="AD319" s="473"/>
      <c r="AE319" s="473"/>
      <c r="AF319" s="473"/>
      <c r="AG319" s="473"/>
    </row>
    <row r="320" spans="2:33">
      <c r="B320" s="666"/>
      <c r="C320" s="536" t="s">
        <v>843</v>
      </c>
      <c r="D320" s="531" t="s">
        <v>412</v>
      </c>
      <c r="E320" s="532" t="s">
        <v>884</v>
      </c>
      <c r="F320" s="533"/>
      <c r="G320" s="473"/>
      <c r="H320" s="473"/>
      <c r="I320" s="473"/>
      <c r="J320" s="473"/>
      <c r="K320" s="473"/>
      <c r="L320" s="473"/>
      <c r="M320" s="473"/>
      <c r="N320" s="473"/>
      <c r="O320" s="473"/>
      <c r="P320" s="473"/>
      <c r="Q320" s="473"/>
      <c r="R320" s="473"/>
      <c r="S320" s="473"/>
      <c r="T320" s="473"/>
      <c r="U320" s="473"/>
      <c r="V320" s="473"/>
      <c r="W320" s="473"/>
      <c r="X320" s="473"/>
      <c r="Y320" s="473"/>
      <c r="Z320" s="473"/>
      <c r="AA320" s="473"/>
      <c r="AB320" s="473"/>
      <c r="AC320" s="473"/>
      <c r="AD320" s="473"/>
      <c r="AE320" s="473"/>
      <c r="AF320" s="473"/>
      <c r="AG320" s="473"/>
    </row>
    <row r="321" spans="1:33">
      <c r="B321" s="666"/>
      <c r="C321" s="516" t="s">
        <v>844</v>
      </c>
      <c r="D321" s="531" t="s">
        <v>413</v>
      </c>
      <c r="E321" s="532" t="s">
        <v>885</v>
      </c>
      <c r="F321" s="533"/>
      <c r="G321" s="473"/>
      <c r="H321" s="473"/>
      <c r="I321" s="473"/>
      <c r="J321" s="473"/>
      <c r="K321" s="473"/>
      <c r="L321" s="473"/>
      <c r="M321" s="473"/>
      <c r="N321" s="473"/>
      <c r="O321" s="473"/>
      <c r="P321" s="473"/>
      <c r="Q321" s="473"/>
      <c r="R321" s="473"/>
      <c r="S321" s="473"/>
      <c r="T321" s="473"/>
      <c r="U321" s="473"/>
      <c r="V321" s="473"/>
      <c r="W321" s="473"/>
      <c r="X321" s="473"/>
      <c r="Y321" s="473"/>
      <c r="Z321" s="473"/>
      <c r="AA321" s="473"/>
      <c r="AB321" s="473"/>
      <c r="AC321" s="473"/>
      <c r="AD321" s="473"/>
      <c r="AE321" s="473"/>
      <c r="AF321" s="473"/>
      <c r="AG321" s="473"/>
    </row>
    <row r="322" spans="1:33" ht="27.75" thickBot="1">
      <c r="B322" s="667"/>
      <c r="C322" s="517" t="s">
        <v>845</v>
      </c>
      <c r="D322" s="537" t="s">
        <v>414</v>
      </c>
      <c r="E322" s="532" t="s">
        <v>883</v>
      </c>
      <c r="F322" s="533"/>
      <c r="G322" s="473"/>
      <c r="H322" s="473"/>
      <c r="I322" s="473"/>
      <c r="J322" s="473"/>
      <c r="K322" s="473"/>
      <c r="L322" s="473"/>
      <c r="M322" s="473"/>
      <c r="N322" s="473"/>
      <c r="O322" s="473"/>
      <c r="P322" s="473"/>
      <c r="Q322" s="473"/>
      <c r="R322" s="473"/>
      <c r="S322" s="473"/>
      <c r="T322" s="473"/>
      <c r="U322" s="473"/>
      <c r="V322" s="473"/>
      <c r="W322" s="473"/>
      <c r="X322" s="473"/>
      <c r="Y322" s="473"/>
      <c r="Z322" s="473"/>
      <c r="AA322" s="473"/>
      <c r="AB322" s="473"/>
      <c r="AC322" s="473"/>
      <c r="AD322" s="473"/>
      <c r="AE322" s="473"/>
      <c r="AF322" s="473"/>
      <c r="AG322" s="473"/>
    </row>
    <row r="323" spans="1:33">
      <c r="B323" s="617" t="s">
        <v>838</v>
      </c>
      <c r="C323" s="514" t="s">
        <v>840</v>
      </c>
      <c r="D323" s="535" t="s">
        <v>409</v>
      </c>
      <c r="E323" s="532" t="s">
        <v>885</v>
      </c>
      <c r="F323" s="533"/>
      <c r="G323" s="473"/>
      <c r="H323" s="473"/>
      <c r="I323" s="473"/>
      <c r="J323" s="473"/>
      <c r="K323" s="473"/>
      <c r="L323" s="473"/>
      <c r="M323" s="473"/>
      <c r="N323" s="473"/>
      <c r="O323" s="473"/>
      <c r="P323" s="473"/>
      <c r="Q323" s="473"/>
      <c r="R323" s="473"/>
      <c r="S323" s="473"/>
      <c r="T323" s="473"/>
      <c r="U323" s="473"/>
      <c r="V323" s="473"/>
      <c r="W323" s="473"/>
      <c r="X323" s="473"/>
      <c r="Y323" s="473"/>
      <c r="Z323" s="473"/>
      <c r="AA323" s="473"/>
      <c r="AB323" s="473"/>
      <c r="AC323" s="473"/>
      <c r="AD323" s="473"/>
      <c r="AE323" s="473"/>
      <c r="AF323" s="473"/>
      <c r="AG323" s="473"/>
    </row>
    <row r="324" spans="1:33">
      <c r="B324" s="618"/>
      <c r="C324" s="516" t="s">
        <v>841</v>
      </c>
      <c r="D324" s="531" t="s">
        <v>410</v>
      </c>
      <c r="E324" s="532" t="s">
        <v>885</v>
      </c>
      <c r="F324" s="533"/>
      <c r="G324" s="473"/>
      <c r="H324" s="473"/>
      <c r="I324" s="473"/>
      <c r="J324" s="473"/>
      <c r="K324" s="473"/>
      <c r="L324" s="473"/>
      <c r="M324" s="473"/>
      <c r="N324" s="473"/>
      <c r="O324" s="473"/>
      <c r="P324" s="473"/>
      <c r="Q324" s="473"/>
      <c r="R324" s="473"/>
      <c r="S324" s="473"/>
      <c r="T324" s="473"/>
      <c r="U324" s="473"/>
      <c r="V324" s="473"/>
      <c r="W324" s="473"/>
      <c r="X324" s="473"/>
      <c r="Y324" s="473"/>
      <c r="Z324" s="473"/>
      <c r="AA324" s="473"/>
      <c r="AB324" s="473"/>
      <c r="AC324" s="473"/>
      <c r="AD324" s="473"/>
      <c r="AE324" s="473"/>
      <c r="AF324" s="473"/>
      <c r="AG324" s="473"/>
    </row>
    <row r="325" spans="1:33">
      <c r="B325" s="618"/>
      <c r="C325" s="516" t="s">
        <v>842</v>
      </c>
      <c r="D325" s="531" t="s">
        <v>411</v>
      </c>
      <c r="E325" s="532" t="s">
        <v>885</v>
      </c>
      <c r="F325" s="533"/>
      <c r="G325" s="473"/>
      <c r="H325" s="473"/>
      <c r="I325" s="473"/>
      <c r="J325" s="473"/>
      <c r="K325" s="473"/>
      <c r="L325" s="473"/>
      <c r="M325" s="473"/>
      <c r="N325" s="473"/>
      <c r="O325" s="473"/>
      <c r="P325" s="473"/>
      <c r="Q325" s="473"/>
      <c r="R325" s="473"/>
      <c r="S325" s="473"/>
      <c r="T325" s="473"/>
      <c r="U325" s="473"/>
      <c r="V325" s="473"/>
      <c r="W325" s="473"/>
      <c r="X325" s="473"/>
      <c r="Y325" s="473"/>
      <c r="Z325" s="473"/>
      <c r="AA325" s="473"/>
      <c r="AB325" s="473"/>
      <c r="AC325" s="473"/>
      <c r="AD325" s="473"/>
      <c r="AE325" s="473"/>
      <c r="AF325" s="473"/>
      <c r="AG325" s="473"/>
    </row>
    <row r="326" spans="1:33">
      <c r="B326" s="618"/>
      <c r="C326" s="536" t="s">
        <v>843</v>
      </c>
      <c r="D326" s="531" t="s">
        <v>412</v>
      </c>
      <c r="E326" s="532" t="s">
        <v>885</v>
      </c>
      <c r="F326" s="533"/>
      <c r="G326" s="473"/>
      <c r="H326" s="473"/>
      <c r="I326" s="473"/>
      <c r="J326" s="473"/>
      <c r="K326" s="473"/>
      <c r="L326" s="473"/>
      <c r="M326" s="473"/>
      <c r="N326" s="473"/>
      <c r="O326" s="473"/>
      <c r="P326" s="473"/>
      <c r="Q326" s="473"/>
      <c r="R326" s="473"/>
      <c r="S326" s="473"/>
      <c r="T326" s="473"/>
      <c r="U326" s="473"/>
      <c r="V326" s="473"/>
      <c r="W326" s="473"/>
      <c r="X326" s="473"/>
      <c r="Y326" s="473"/>
      <c r="Z326" s="473"/>
      <c r="AA326" s="473"/>
      <c r="AB326" s="473"/>
      <c r="AC326" s="473"/>
      <c r="AD326" s="473"/>
      <c r="AE326" s="473"/>
      <c r="AF326" s="473"/>
      <c r="AG326" s="473"/>
    </row>
    <row r="327" spans="1:33">
      <c r="B327" s="618"/>
      <c r="C327" s="516" t="s">
        <v>844</v>
      </c>
      <c r="D327" s="531" t="s">
        <v>413</v>
      </c>
      <c r="E327" s="532" t="s">
        <v>885</v>
      </c>
      <c r="F327" s="533"/>
      <c r="G327" s="473"/>
      <c r="H327" s="473"/>
      <c r="I327" s="473"/>
      <c r="J327" s="473"/>
      <c r="K327" s="473"/>
      <c r="L327" s="473"/>
      <c r="M327" s="473"/>
      <c r="N327" s="473"/>
      <c r="O327" s="473"/>
      <c r="P327" s="473"/>
      <c r="Q327" s="473"/>
      <c r="R327" s="473"/>
      <c r="S327" s="473"/>
      <c r="T327" s="473"/>
      <c r="U327" s="473"/>
      <c r="V327" s="473"/>
      <c r="W327" s="473"/>
      <c r="X327" s="473"/>
      <c r="Y327" s="473"/>
      <c r="Z327" s="473"/>
      <c r="AA327" s="473"/>
      <c r="AB327" s="473"/>
      <c r="AC327" s="473"/>
      <c r="AD327" s="473"/>
      <c r="AE327" s="473"/>
      <c r="AF327" s="473"/>
      <c r="AG327" s="473"/>
    </row>
    <row r="328" spans="1:33" ht="27.75" thickBot="1">
      <c r="B328" s="619"/>
      <c r="C328" s="517" t="s">
        <v>845</v>
      </c>
      <c r="D328" s="537" t="s">
        <v>414</v>
      </c>
      <c r="E328" s="532" t="s">
        <v>885</v>
      </c>
      <c r="F328" s="533"/>
      <c r="G328" s="473"/>
      <c r="H328" s="473"/>
      <c r="I328" s="473"/>
      <c r="J328" s="473"/>
      <c r="K328" s="473"/>
      <c r="L328" s="473"/>
      <c r="M328" s="473"/>
      <c r="N328" s="473"/>
      <c r="O328" s="473"/>
      <c r="P328" s="473"/>
      <c r="Q328" s="473"/>
      <c r="R328" s="473"/>
      <c r="S328" s="473"/>
      <c r="T328" s="473"/>
      <c r="U328" s="473"/>
      <c r="V328" s="473"/>
      <c r="W328" s="473"/>
      <c r="X328" s="473"/>
      <c r="Y328" s="473"/>
      <c r="Z328" s="473"/>
      <c r="AA328" s="473"/>
      <c r="AB328" s="473"/>
      <c r="AC328" s="473"/>
      <c r="AD328" s="473"/>
      <c r="AE328" s="473"/>
      <c r="AF328" s="473"/>
      <c r="AG328" s="473"/>
    </row>
    <row r="330" spans="1:33" ht="27.75" thickBot="1"/>
    <row r="331" spans="1:33">
      <c r="A331" s="655" t="s">
        <v>769</v>
      </c>
      <c r="B331" s="656"/>
      <c r="C331" s="656"/>
      <c r="D331" s="656"/>
      <c r="E331" s="657"/>
    </row>
    <row r="332" spans="1:33" ht="27.75" thickBot="1">
      <c r="A332" s="658"/>
      <c r="B332" s="659"/>
      <c r="C332" s="659"/>
      <c r="D332" s="659"/>
      <c r="E332" s="660"/>
    </row>
    <row r="333" spans="1:33" ht="36" thickBot="1">
      <c r="A333" s="643" t="s">
        <v>752</v>
      </c>
      <c r="B333" s="643"/>
      <c r="C333" s="643"/>
      <c r="D333" s="643"/>
      <c r="E333" s="24"/>
    </row>
    <row r="334" spans="1:33" ht="71.25" thickBot="1">
      <c r="A334" s="69" t="s">
        <v>770</v>
      </c>
      <c r="B334" s="70" t="s">
        <v>638</v>
      </c>
      <c r="C334" s="436" t="s">
        <v>663</v>
      </c>
      <c r="D334" s="71"/>
      <c r="E334" s="24"/>
    </row>
    <row r="335" spans="1:33" ht="103.5">
      <c r="A335" s="27">
        <v>1</v>
      </c>
      <c r="B335" s="51" t="s">
        <v>637</v>
      </c>
      <c r="C335" s="437" t="s">
        <v>640</v>
      </c>
      <c r="D335" s="29"/>
      <c r="E335" s="29"/>
    </row>
    <row r="336" spans="1:33" ht="103.5">
      <c r="A336" s="30">
        <v>2</v>
      </c>
      <c r="B336" s="51" t="s">
        <v>641</v>
      </c>
      <c r="C336" s="437" t="s">
        <v>639</v>
      </c>
      <c r="D336" s="29"/>
      <c r="E336" s="29"/>
    </row>
    <row r="337" spans="1:5" ht="172.5">
      <c r="A337" s="30">
        <v>3</v>
      </c>
      <c r="B337" s="51" t="s">
        <v>642</v>
      </c>
      <c r="C337" s="437" t="s">
        <v>645</v>
      </c>
      <c r="D337" s="29"/>
      <c r="E337" s="29"/>
    </row>
    <row r="338" spans="1:5" ht="103.5">
      <c r="A338" s="30">
        <v>4</v>
      </c>
      <c r="B338" s="51" t="s">
        <v>643</v>
      </c>
      <c r="C338" s="437" t="s">
        <v>646</v>
      </c>
      <c r="D338" s="29"/>
      <c r="E338" s="29"/>
    </row>
    <row r="339" spans="1:5" ht="103.5">
      <c r="A339" s="30">
        <v>5</v>
      </c>
      <c r="B339" s="51" t="s">
        <v>644</v>
      </c>
      <c r="C339" s="437" t="s">
        <v>647</v>
      </c>
      <c r="D339" s="29"/>
      <c r="E339" s="29"/>
    </row>
    <row r="340" spans="1:5" ht="103.5">
      <c r="A340" s="30">
        <v>6</v>
      </c>
      <c r="B340" s="51" t="s">
        <v>648</v>
      </c>
      <c r="C340" s="437" t="s">
        <v>653</v>
      </c>
      <c r="D340" s="29"/>
      <c r="E340" s="463"/>
    </row>
    <row r="341" spans="1:5" ht="103.5">
      <c r="A341" s="30">
        <v>7</v>
      </c>
      <c r="B341" s="51" t="s">
        <v>649</v>
      </c>
      <c r="C341" s="437" t="s">
        <v>654</v>
      </c>
      <c r="D341" s="29"/>
      <c r="E341" s="463"/>
    </row>
    <row r="342" spans="1:5" ht="172.5">
      <c r="A342" s="30">
        <v>8</v>
      </c>
      <c r="B342" s="51" t="s">
        <v>650</v>
      </c>
      <c r="C342" s="437" t="s">
        <v>655</v>
      </c>
      <c r="D342" s="29"/>
      <c r="E342" s="463"/>
    </row>
    <row r="343" spans="1:5" ht="103.5">
      <c r="A343" s="30">
        <v>9</v>
      </c>
      <c r="B343" s="51" t="s">
        <v>651</v>
      </c>
      <c r="C343" s="437" t="s">
        <v>656</v>
      </c>
      <c r="D343" s="29"/>
      <c r="E343" s="463"/>
    </row>
    <row r="344" spans="1:5" ht="138">
      <c r="A344" s="30">
        <v>10</v>
      </c>
      <c r="B344" s="51" t="s">
        <v>652</v>
      </c>
      <c r="C344" s="437" t="s">
        <v>657</v>
      </c>
      <c r="D344" s="29"/>
      <c r="E344" s="463"/>
    </row>
    <row r="345" spans="1:5" ht="207">
      <c r="A345" s="30">
        <v>11</v>
      </c>
      <c r="B345" s="31" t="s">
        <v>658</v>
      </c>
      <c r="C345" s="438" t="s">
        <v>659</v>
      </c>
      <c r="D345" s="29"/>
      <c r="E345" s="463"/>
    </row>
    <row r="346" spans="1:5" ht="69.75" thickBot="1">
      <c r="A346" s="30">
        <v>12</v>
      </c>
      <c r="B346" s="32" t="s">
        <v>660</v>
      </c>
      <c r="C346" s="439" t="s">
        <v>662</v>
      </c>
      <c r="D346" s="33"/>
      <c r="E346" s="463"/>
    </row>
    <row r="347" spans="1:5" ht="138">
      <c r="A347" s="30">
        <v>13</v>
      </c>
      <c r="B347" s="34" t="s">
        <v>664</v>
      </c>
      <c r="C347" s="440" t="s">
        <v>665</v>
      </c>
      <c r="D347" s="35"/>
      <c r="E347" s="463"/>
    </row>
    <row r="348" spans="1:5" ht="138">
      <c r="A348" s="30">
        <v>14</v>
      </c>
      <c r="B348" s="36" t="s">
        <v>664</v>
      </c>
      <c r="C348" s="441" t="s">
        <v>666</v>
      </c>
      <c r="D348" s="37"/>
      <c r="E348" s="463"/>
    </row>
    <row r="349" spans="1:5" ht="138">
      <c r="A349" s="30">
        <v>15</v>
      </c>
      <c r="B349" s="36" t="s">
        <v>664</v>
      </c>
      <c r="C349" s="441" t="s">
        <v>667</v>
      </c>
      <c r="D349" s="37"/>
      <c r="E349" s="463"/>
    </row>
    <row r="350" spans="1:5" ht="138">
      <c r="A350" s="30">
        <v>16</v>
      </c>
      <c r="B350" s="36" t="s">
        <v>664</v>
      </c>
      <c r="C350" s="441" t="s">
        <v>668</v>
      </c>
      <c r="D350" s="37"/>
      <c r="E350" s="463"/>
    </row>
    <row r="351" spans="1:5" ht="138.75" thickBot="1">
      <c r="A351" s="30">
        <v>17</v>
      </c>
      <c r="B351" s="38" t="s">
        <v>664</v>
      </c>
      <c r="C351" s="442" t="s">
        <v>669</v>
      </c>
      <c r="D351" s="39"/>
      <c r="E351" s="463"/>
    </row>
    <row r="352" spans="1:5" ht="103.5">
      <c r="A352" s="30">
        <v>18</v>
      </c>
      <c r="B352" s="40" t="s">
        <v>670</v>
      </c>
      <c r="C352" s="443" t="s">
        <v>671</v>
      </c>
      <c r="D352" s="35"/>
      <c r="E352" s="463"/>
    </row>
    <row r="353" spans="1:5" ht="103.5">
      <c r="A353" s="30">
        <v>19</v>
      </c>
      <c r="B353" s="36" t="s">
        <v>670</v>
      </c>
      <c r="C353" s="441" t="s">
        <v>672</v>
      </c>
      <c r="D353" s="37"/>
      <c r="E353" s="463"/>
    </row>
    <row r="354" spans="1:5" ht="103.5">
      <c r="A354" s="30">
        <v>20</v>
      </c>
      <c r="B354" s="36" t="s">
        <v>670</v>
      </c>
      <c r="C354" s="441" t="s">
        <v>673</v>
      </c>
      <c r="D354" s="37"/>
      <c r="E354" s="463"/>
    </row>
    <row r="355" spans="1:5" ht="103.5">
      <c r="A355" s="30">
        <v>21</v>
      </c>
      <c r="B355" s="36" t="s">
        <v>670</v>
      </c>
      <c r="C355" s="441" t="s">
        <v>674</v>
      </c>
      <c r="D355" s="37"/>
      <c r="E355" s="463"/>
    </row>
    <row r="356" spans="1:5" ht="104.25" thickBot="1">
      <c r="A356" s="30">
        <v>22</v>
      </c>
      <c r="B356" s="38" t="s">
        <v>670</v>
      </c>
      <c r="C356" s="444" t="s">
        <v>675</v>
      </c>
      <c r="D356" s="39"/>
      <c r="E356" s="463"/>
    </row>
    <row r="357" spans="1:5" ht="138">
      <c r="A357" s="30">
        <v>23</v>
      </c>
      <c r="B357" s="41" t="s">
        <v>676</v>
      </c>
      <c r="C357" s="445" t="s">
        <v>677</v>
      </c>
      <c r="D357" s="42"/>
      <c r="E357" s="463"/>
    </row>
    <row r="358" spans="1:5" ht="138">
      <c r="A358" s="30">
        <v>24</v>
      </c>
      <c r="B358" s="43" t="s">
        <v>676</v>
      </c>
      <c r="C358" s="446" t="s">
        <v>678</v>
      </c>
      <c r="D358" s="44"/>
      <c r="E358" s="463"/>
    </row>
    <row r="359" spans="1:5" ht="138">
      <c r="A359" s="30">
        <v>25</v>
      </c>
      <c r="B359" s="43" t="s">
        <v>676</v>
      </c>
      <c r="C359" s="446" t="s">
        <v>679</v>
      </c>
      <c r="D359" s="44"/>
      <c r="E359" s="463"/>
    </row>
    <row r="360" spans="1:5" ht="138">
      <c r="A360" s="30">
        <v>26</v>
      </c>
      <c r="B360" s="43" t="s">
        <v>676</v>
      </c>
      <c r="C360" s="446" t="s">
        <v>680</v>
      </c>
      <c r="D360" s="44"/>
      <c r="E360" s="463"/>
    </row>
    <row r="361" spans="1:5" ht="138.75" thickBot="1">
      <c r="A361" s="30">
        <v>27</v>
      </c>
      <c r="B361" s="45" t="s">
        <v>676</v>
      </c>
      <c r="C361" s="447" t="s">
        <v>681</v>
      </c>
      <c r="D361" s="46"/>
      <c r="E361" s="463"/>
    </row>
    <row r="362" spans="1:5" ht="104.25" thickBot="1">
      <c r="A362" s="30">
        <v>28</v>
      </c>
      <c r="B362" s="34" t="s">
        <v>670</v>
      </c>
      <c r="C362" s="448" t="s">
        <v>682</v>
      </c>
      <c r="D362" s="35"/>
      <c r="E362" s="463"/>
    </row>
    <row r="363" spans="1:5" ht="104.25" thickBot="1">
      <c r="A363" s="30">
        <v>29</v>
      </c>
      <c r="B363" s="40" t="s">
        <v>670</v>
      </c>
      <c r="C363" s="448" t="s">
        <v>683</v>
      </c>
      <c r="D363" s="37"/>
      <c r="E363" s="463"/>
    </row>
    <row r="364" spans="1:5" ht="104.25" thickBot="1">
      <c r="A364" s="30">
        <v>30</v>
      </c>
      <c r="B364" s="47" t="s">
        <v>670</v>
      </c>
      <c r="C364" s="449" t="s">
        <v>684</v>
      </c>
      <c r="D364" s="48"/>
      <c r="E364" s="463"/>
    </row>
    <row r="365" spans="1:5" ht="103.5">
      <c r="A365" s="30">
        <v>31</v>
      </c>
      <c r="B365" s="49" t="s">
        <v>670</v>
      </c>
      <c r="C365" s="448" t="s">
        <v>685</v>
      </c>
      <c r="D365" s="35"/>
      <c r="E365" s="463"/>
    </row>
    <row r="366" spans="1:5" ht="103.5">
      <c r="A366" s="30">
        <v>32</v>
      </c>
      <c r="B366" s="50" t="s">
        <v>670</v>
      </c>
      <c r="C366" s="28" t="s">
        <v>686</v>
      </c>
      <c r="D366" s="37"/>
      <c r="E366" s="463"/>
    </row>
    <row r="367" spans="1:5" ht="103.5">
      <c r="A367" s="30">
        <v>33</v>
      </c>
      <c r="B367" s="52" t="s">
        <v>670</v>
      </c>
      <c r="C367" s="450" t="s">
        <v>687</v>
      </c>
      <c r="D367" s="48"/>
      <c r="E367" s="463"/>
    </row>
    <row r="368" spans="1:5" ht="138">
      <c r="A368" s="30">
        <v>34</v>
      </c>
      <c r="B368" s="31" t="s">
        <v>688</v>
      </c>
      <c r="C368" s="28" t="s">
        <v>696</v>
      </c>
      <c r="D368" s="29"/>
      <c r="E368" s="463"/>
    </row>
    <row r="369" spans="1:5" ht="172.5">
      <c r="A369" s="30">
        <v>35</v>
      </c>
      <c r="B369" s="31" t="s">
        <v>689</v>
      </c>
      <c r="C369" s="28" t="s">
        <v>697</v>
      </c>
      <c r="D369" s="29"/>
      <c r="E369" s="463"/>
    </row>
    <row r="370" spans="1:5" ht="138">
      <c r="A370" s="30">
        <v>36</v>
      </c>
      <c r="B370" s="31" t="s">
        <v>690</v>
      </c>
      <c r="C370" s="28" t="s">
        <v>698</v>
      </c>
      <c r="D370" s="29"/>
      <c r="E370" s="463"/>
    </row>
    <row r="371" spans="1:5" ht="172.5">
      <c r="A371" s="30">
        <v>37</v>
      </c>
      <c r="B371" s="31" t="s">
        <v>691</v>
      </c>
      <c r="C371" s="28" t="s">
        <v>699</v>
      </c>
      <c r="D371" s="29"/>
      <c r="E371" s="463"/>
    </row>
    <row r="372" spans="1:5" ht="103.5">
      <c r="A372" s="30">
        <v>38</v>
      </c>
      <c r="B372" s="31" t="s">
        <v>700</v>
      </c>
      <c r="C372" s="28" t="s">
        <v>701</v>
      </c>
      <c r="D372" s="29"/>
      <c r="E372" s="463"/>
    </row>
    <row r="373" spans="1:5" ht="103.5">
      <c r="A373" s="30">
        <v>39</v>
      </c>
      <c r="B373" s="31" t="s">
        <v>702</v>
      </c>
      <c r="C373" s="451" t="s">
        <v>703</v>
      </c>
      <c r="D373" s="29"/>
      <c r="E373" s="463"/>
    </row>
    <row r="374" spans="1:5" ht="172.5">
      <c r="A374" s="30">
        <v>40</v>
      </c>
      <c r="B374" s="31" t="s">
        <v>704</v>
      </c>
      <c r="C374" s="451" t="s">
        <v>705</v>
      </c>
      <c r="D374" s="53"/>
      <c r="E374" s="463"/>
    </row>
    <row r="375" spans="1:5" ht="104.25" thickBot="1">
      <c r="A375" s="30">
        <v>41</v>
      </c>
      <c r="B375" s="32" t="s">
        <v>706</v>
      </c>
      <c r="C375" s="452" t="s">
        <v>707</v>
      </c>
      <c r="D375" s="55"/>
      <c r="E375" s="463"/>
    </row>
    <row r="376" spans="1:5" ht="69">
      <c r="A376" s="30">
        <v>42</v>
      </c>
      <c r="B376" s="56" t="s">
        <v>710</v>
      </c>
      <c r="C376" s="453" t="s">
        <v>711</v>
      </c>
      <c r="D376" s="57"/>
      <c r="E376" s="463"/>
    </row>
    <row r="377" spans="1:5" ht="69">
      <c r="A377" s="30">
        <v>43</v>
      </c>
      <c r="B377" s="58" t="s">
        <v>708</v>
      </c>
      <c r="C377" s="451" t="s">
        <v>712</v>
      </c>
      <c r="D377" s="59"/>
      <c r="E377" s="463"/>
    </row>
    <row r="378" spans="1:5" ht="103.5">
      <c r="A378" s="30">
        <v>44</v>
      </c>
      <c r="B378" s="58" t="s">
        <v>709</v>
      </c>
      <c r="C378" s="451" t="s">
        <v>713</v>
      </c>
      <c r="D378" s="59"/>
      <c r="E378" s="463"/>
    </row>
    <row r="379" spans="1:5" ht="69">
      <c r="A379" s="30">
        <v>45</v>
      </c>
      <c r="B379" s="58" t="s">
        <v>714</v>
      </c>
      <c r="C379" s="451" t="s">
        <v>716</v>
      </c>
      <c r="D379" s="59"/>
      <c r="E379" s="463"/>
    </row>
    <row r="380" spans="1:5" ht="104.25" thickBot="1">
      <c r="A380" s="30">
        <v>46</v>
      </c>
      <c r="B380" s="60" t="s">
        <v>715</v>
      </c>
      <c r="C380" s="452" t="s">
        <v>717</v>
      </c>
      <c r="D380" s="61"/>
      <c r="E380" s="463"/>
    </row>
    <row r="381" spans="1:5" ht="103.5">
      <c r="A381" s="30">
        <v>47</v>
      </c>
      <c r="B381" s="56" t="s">
        <v>718</v>
      </c>
      <c r="C381" s="453" t="s">
        <v>728</v>
      </c>
      <c r="D381" s="57"/>
      <c r="E381" s="463"/>
    </row>
    <row r="382" spans="1:5" ht="103.5">
      <c r="A382" s="30">
        <v>48</v>
      </c>
      <c r="B382" s="58" t="s">
        <v>719</v>
      </c>
      <c r="C382" s="28" t="s">
        <v>729</v>
      </c>
      <c r="D382" s="59"/>
      <c r="E382" s="463"/>
    </row>
    <row r="383" spans="1:5" ht="138">
      <c r="A383" s="30">
        <v>49</v>
      </c>
      <c r="B383" s="58" t="s">
        <v>720</v>
      </c>
      <c r="C383" s="28" t="s">
        <v>730</v>
      </c>
      <c r="D383" s="59"/>
      <c r="E383" s="463"/>
    </row>
    <row r="384" spans="1:5" ht="103.5">
      <c r="A384" s="30">
        <v>50</v>
      </c>
      <c r="B384" s="58" t="s">
        <v>721</v>
      </c>
      <c r="C384" s="28" t="s">
        <v>731</v>
      </c>
      <c r="D384" s="59"/>
      <c r="E384" s="463"/>
    </row>
    <row r="385" spans="1:5" ht="104.25" thickBot="1">
      <c r="A385" s="30">
        <v>51</v>
      </c>
      <c r="B385" s="62" t="s">
        <v>722</v>
      </c>
      <c r="C385" s="454" t="s">
        <v>732</v>
      </c>
      <c r="D385" s="54"/>
      <c r="E385" s="463"/>
    </row>
    <row r="386" spans="1:5" ht="103.5">
      <c r="A386" s="30">
        <v>52</v>
      </c>
      <c r="B386" s="63" t="s">
        <v>723</v>
      </c>
      <c r="C386" s="455" t="s">
        <v>733</v>
      </c>
      <c r="D386" s="57"/>
      <c r="E386" s="463"/>
    </row>
    <row r="387" spans="1:5" ht="103.5">
      <c r="A387" s="30">
        <v>53</v>
      </c>
      <c r="B387" s="64" t="s">
        <v>724</v>
      </c>
      <c r="C387" s="456" t="s">
        <v>734</v>
      </c>
      <c r="D387" s="59"/>
      <c r="E387" s="463"/>
    </row>
    <row r="388" spans="1:5" ht="138">
      <c r="A388" s="30">
        <v>54</v>
      </c>
      <c r="B388" s="64" t="s">
        <v>725</v>
      </c>
      <c r="C388" s="456" t="s">
        <v>735</v>
      </c>
      <c r="D388" s="59"/>
      <c r="E388" s="463"/>
    </row>
    <row r="389" spans="1:5" ht="103.5">
      <c r="A389" s="30">
        <v>55</v>
      </c>
      <c r="B389" s="64" t="s">
        <v>726</v>
      </c>
      <c r="C389" s="456" t="s">
        <v>736</v>
      </c>
      <c r="D389" s="59"/>
      <c r="E389" s="463"/>
    </row>
    <row r="390" spans="1:5" ht="104.25" thickBot="1">
      <c r="A390" s="30">
        <v>56</v>
      </c>
      <c r="B390" s="65" t="s">
        <v>727</v>
      </c>
      <c r="C390" s="457" t="s">
        <v>737</v>
      </c>
      <c r="D390" s="61"/>
      <c r="E390" s="463"/>
    </row>
    <row r="391" spans="1:5" ht="172.5">
      <c r="A391" s="30">
        <v>57</v>
      </c>
      <c r="B391" s="66" t="s">
        <v>738</v>
      </c>
      <c r="C391" s="28" t="s">
        <v>739</v>
      </c>
      <c r="D391" s="29"/>
      <c r="E391" s="463"/>
    </row>
    <row r="392" spans="1:5" ht="276">
      <c r="A392" s="30">
        <v>58</v>
      </c>
      <c r="B392" s="32" t="s">
        <v>740</v>
      </c>
      <c r="C392" s="450" t="s">
        <v>741</v>
      </c>
      <c r="D392" s="33"/>
      <c r="E392" s="463"/>
    </row>
    <row r="393" spans="1:5" ht="81">
      <c r="A393" s="30">
        <v>59</v>
      </c>
      <c r="B393" s="72" t="s">
        <v>782</v>
      </c>
      <c r="C393" s="458" t="s">
        <v>777</v>
      </c>
      <c r="D393" s="74"/>
    </row>
    <row r="394" spans="1:5" ht="81">
      <c r="A394" s="30">
        <v>60</v>
      </c>
      <c r="B394" s="72" t="s">
        <v>783</v>
      </c>
      <c r="C394" s="458" t="s">
        <v>778</v>
      </c>
      <c r="D394" s="74"/>
    </row>
    <row r="395" spans="1:5" ht="81">
      <c r="A395" s="30">
        <v>61</v>
      </c>
      <c r="B395" s="72" t="s">
        <v>784</v>
      </c>
      <c r="C395" s="458" t="s">
        <v>779</v>
      </c>
      <c r="D395" s="74"/>
    </row>
    <row r="396" spans="1:5" ht="81">
      <c r="A396" s="30">
        <v>62</v>
      </c>
      <c r="B396" s="72" t="s">
        <v>785</v>
      </c>
      <c r="C396" s="458" t="s">
        <v>780</v>
      </c>
      <c r="D396" s="74"/>
    </row>
    <row r="397" spans="1:5" ht="81.75" thickBot="1">
      <c r="A397" s="30">
        <v>63</v>
      </c>
      <c r="B397" s="72" t="s">
        <v>786</v>
      </c>
      <c r="C397" s="458" t="s">
        <v>781</v>
      </c>
      <c r="D397" s="74"/>
    </row>
    <row r="398" spans="1:5" ht="36" thickBot="1">
      <c r="A398" s="30"/>
      <c r="B398" s="634" t="s">
        <v>751</v>
      </c>
      <c r="C398" s="635"/>
      <c r="D398" s="636"/>
      <c r="E398" s="463"/>
    </row>
    <row r="399" spans="1:5" ht="138">
      <c r="A399" s="30">
        <v>64</v>
      </c>
      <c r="B399" s="31" t="s">
        <v>742</v>
      </c>
      <c r="C399" s="28" t="s">
        <v>86</v>
      </c>
      <c r="D399" s="29"/>
      <c r="E399" s="463"/>
    </row>
    <row r="400" spans="1:5" ht="138">
      <c r="A400" s="30">
        <v>65</v>
      </c>
      <c r="B400" s="31" t="s">
        <v>743</v>
      </c>
      <c r="C400" s="28" t="s">
        <v>89</v>
      </c>
      <c r="D400" s="29"/>
      <c r="E400" s="463"/>
    </row>
    <row r="401" spans="1:6" ht="172.5">
      <c r="A401" s="30">
        <v>66</v>
      </c>
      <c r="B401" s="31" t="s">
        <v>744</v>
      </c>
      <c r="C401" s="28" t="s">
        <v>92</v>
      </c>
      <c r="D401" s="29"/>
      <c r="E401" s="463"/>
    </row>
    <row r="402" spans="1:6" ht="138">
      <c r="A402" s="30">
        <v>67</v>
      </c>
      <c r="B402" s="31" t="s">
        <v>745</v>
      </c>
      <c r="C402" s="28" t="s">
        <v>95</v>
      </c>
      <c r="D402" s="29"/>
      <c r="E402" s="463"/>
    </row>
    <row r="403" spans="1:6" s="26" customFormat="1" ht="207">
      <c r="A403" s="30">
        <v>68</v>
      </c>
      <c r="B403" s="31" t="s">
        <v>746</v>
      </c>
      <c r="C403" s="28" t="s">
        <v>98</v>
      </c>
      <c r="D403" s="29"/>
      <c r="E403" s="463"/>
      <c r="F403" s="22"/>
    </row>
    <row r="404" spans="1:6" ht="172.5">
      <c r="A404" s="30">
        <v>69</v>
      </c>
      <c r="B404" s="31" t="s">
        <v>747</v>
      </c>
      <c r="C404" s="28" t="s">
        <v>749</v>
      </c>
      <c r="D404" s="29"/>
      <c r="E404" s="463"/>
    </row>
    <row r="405" spans="1:6" ht="103.5">
      <c r="A405" s="30">
        <v>70</v>
      </c>
      <c r="B405" s="31" t="s">
        <v>748</v>
      </c>
      <c r="C405" s="28" t="s">
        <v>750</v>
      </c>
      <c r="D405" s="29"/>
      <c r="E405" s="463"/>
    </row>
    <row r="406" spans="1:6" ht="103.5">
      <c r="A406" s="30">
        <v>71</v>
      </c>
      <c r="B406" s="31" t="s">
        <v>754</v>
      </c>
      <c r="C406" s="28" t="s">
        <v>753</v>
      </c>
      <c r="D406" s="29"/>
      <c r="E406" s="463"/>
    </row>
    <row r="407" spans="1:6" ht="103.5">
      <c r="A407" s="30">
        <v>72</v>
      </c>
      <c r="B407" s="31" t="s">
        <v>756</v>
      </c>
      <c r="C407" s="28" t="s">
        <v>755</v>
      </c>
      <c r="D407" s="29"/>
      <c r="E407" s="463"/>
    </row>
    <row r="408" spans="1:6" ht="103.5">
      <c r="A408" s="30">
        <v>73</v>
      </c>
      <c r="B408" s="32" t="s">
        <v>758</v>
      </c>
      <c r="C408" s="450" t="s">
        <v>757</v>
      </c>
      <c r="D408" s="29"/>
      <c r="E408" s="463"/>
    </row>
    <row r="409" spans="1:6" ht="103.5">
      <c r="A409" s="30">
        <v>74</v>
      </c>
      <c r="B409" s="31" t="s">
        <v>759</v>
      </c>
      <c r="C409" s="28" t="s">
        <v>764</v>
      </c>
      <c r="D409" s="67"/>
      <c r="E409" s="463"/>
    </row>
    <row r="410" spans="1:6" ht="103.5">
      <c r="A410" s="30">
        <v>75</v>
      </c>
      <c r="B410" s="31" t="s">
        <v>760</v>
      </c>
      <c r="C410" s="28" t="s">
        <v>765</v>
      </c>
      <c r="D410" s="68"/>
      <c r="E410" s="463"/>
    </row>
    <row r="411" spans="1:6" ht="172.5">
      <c r="A411" s="30">
        <v>76</v>
      </c>
      <c r="B411" s="31" t="s">
        <v>761</v>
      </c>
      <c r="C411" s="28" t="s">
        <v>766</v>
      </c>
      <c r="D411" s="68"/>
      <c r="E411" s="463"/>
    </row>
    <row r="412" spans="1:6" ht="103.5">
      <c r="A412" s="30">
        <v>77</v>
      </c>
      <c r="B412" s="31" t="s">
        <v>762</v>
      </c>
      <c r="C412" s="28" t="s">
        <v>767</v>
      </c>
      <c r="D412" s="68"/>
      <c r="E412" s="463"/>
    </row>
    <row r="413" spans="1:6" ht="138">
      <c r="A413" s="30">
        <v>78</v>
      </c>
      <c r="B413" s="31" t="s">
        <v>763</v>
      </c>
      <c r="C413" s="28" t="s">
        <v>768</v>
      </c>
      <c r="D413" s="73"/>
      <c r="E413" s="463"/>
    </row>
    <row r="415" spans="1:6">
      <c r="B415" s="75"/>
      <c r="C415" s="459"/>
      <c r="D415" s="76"/>
    </row>
    <row r="416" spans="1:6">
      <c r="B416" s="75"/>
      <c r="C416" s="460"/>
      <c r="D416" s="76"/>
    </row>
    <row r="417" spans="2:4">
      <c r="B417" s="75"/>
      <c r="C417" s="460"/>
      <c r="D417" s="76"/>
    </row>
    <row r="418" spans="2:4">
      <c r="B418" s="75"/>
      <c r="C418" s="460"/>
      <c r="D418" s="76"/>
    </row>
    <row r="419" spans="2:4">
      <c r="B419" s="75"/>
      <c r="C419" s="460"/>
      <c r="D419" s="76"/>
    </row>
    <row r="420" spans="2:4">
      <c r="B420" s="75"/>
      <c r="C420" s="459"/>
      <c r="D420" s="76"/>
    </row>
  </sheetData>
  <autoFilter ref="B2:F4"/>
  <mergeCells count="73">
    <mergeCell ref="B88:B90"/>
    <mergeCell ref="B93:B96"/>
    <mergeCell ref="B317:B322"/>
    <mergeCell ref="B323:B328"/>
    <mergeCell ref="B129:B132"/>
    <mergeCell ref="B109:B112"/>
    <mergeCell ref="B113:B116"/>
    <mergeCell ref="B117:B120"/>
    <mergeCell ref="B121:B124"/>
    <mergeCell ref="B138:B143"/>
    <mergeCell ref="A333:D333"/>
    <mergeCell ref="B3:F3"/>
    <mergeCell ref="B1:E1"/>
    <mergeCell ref="B5:B9"/>
    <mergeCell ref="B10:B12"/>
    <mergeCell ref="B63:F63"/>
    <mergeCell ref="B19:B21"/>
    <mergeCell ref="B22:B24"/>
    <mergeCell ref="B13:B15"/>
    <mergeCell ref="B16:B18"/>
    <mergeCell ref="A331:E332"/>
    <mergeCell ref="B4:F4"/>
    <mergeCell ref="B87:F87"/>
    <mergeCell ref="B145:B146"/>
    <mergeCell ref="B157:B159"/>
    <mergeCell ref="B105:B108"/>
    <mergeCell ref="B75:B77"/>
    <mergeCell ref="B78:B80"/>
    <mergeCell ref="B81:B83"/>
    <mergeCell ref="B84:B86"/>
    <mergeCell ref="B398:D398"/>
    <mergeCell ref="B308:F308"/>
    <mergeCell ref="B160:F160"/>
    <mergeCell ref="B167:F167"/>
    <mergeCell ref="B174:F174"/>
    <mergeCell ref="B296:B301"/>
    <mergeCell ref="B302:B307"/>
    <mergeCell ref="B181:F181"/>
    <mergeCell ref="B249:F249"/>
    <mergeCell ref="B266:F266"/>
    <mergeCell ref="B280:F280"/>
    <mergeCell ref="B294:F294"/>
    <mergeCell ref="B282:B287"/>
    <mergeCell ref="B288:B293"/>
    <mergeCell ref="B251:B253"/>
    <mergeCell ref="B254:B259"/>
    <mergeCell ref="B125:B128"/>
    <mergeCell ref="B133:B136"/>
    <mergeCell ref="B240:B248"/>
    <mergeCell ref="B260:B265"/>
    <mergeCell ref="B268:B273"/>
    <mergeCell ref="B274:B279"/>
    <mergeCell ref="B230:B238"/>
    <mergeCell ref="B239:AG239"/>
    <mergeCell ref="B210:B218"/>
    <mergeCell ref="B209:AG209"/>
    <mergeCell ref="B219:AG219"/>
    <mergeCell ref="B91:AG91"/>
    <mergeCell ref="B25:AG25"/>
    <mergeCell ref="B229:AG229"/>
    <mergeCell ref="B70:F70"/>
    <mergeCell ref="B26:B34"/>
    <mergeCell ref="B45:AG45"/>
    <mergeCell ref="B35:AG35"/>
    <mergeCell ref="B54:B62"/>
    <mergeCell ref="B53:AG53"/>
    <mergeCell ref="B36:B44"/>
    <mergeCell ref="B101:B104"/>
    <mergeCell ref="B97:B100"/>
    <mergeCell ref="B220:B228"/>
    <mergeCell ref="B144:AG144"/>
    <mergeCell ref="B137:AG137"/>
    <mergeCell ref="B72:B74"/>
  </mergeCells>
  <phoneticPr fontId="2" type="noConversion"/>
  <conditionalFormatting sqref="E71:F71">
    <cfRule type="cellIs" dxfId="755" priority="14" operator="equal">
      <formula>0</formula>
    </cfRule>
  </conditionalFormatting>
  <conditionalFormatting sqref="D54:D62">
    <cfRule type="duplicateValues" dxfId="754" priority="11"/>
  </conditionalFormatting>
  <conditionalFormatting sqref="D210:D218">
    <cfRule type="duplicateValues" dxfId="753" priority="9"/>
  </conditionalFormatting>
  <conditionalFormatting sqref="D219">
    <cfRule type="duplicateValues" dxfId="752" priority="7"/>
  </conditionalFormatting>
  <conditionalFormatting sqref="D220:D228">
    <cfRule type="duplicateValues" dxfId="751" priority="6"/>
  </conditionalFormatting>
  <conditionalFormatting sqref="D230:D238">
    <cfRule type="duplicateValues" dxfId="750" priority="3"/>
  </conditionalFormatting>
  <conditionalFormatting sqref="D240:D248">
    <cfRule type="duplicateValues" dxfId="749" priority="1"/>
  </conditionalFormatting>
  <dataValidations count="3">
    <dataValidation type="whole" allowBlank="1" showInputMessage="1" showErrorMessage="1" errorTitle="Non-Numeric or abnormal value" error="Enter Numbers only between 0 and 99999" sqref="E71:F71">
      <formula1>0</formula1>
      <formula2>99999</formula2>
    </dataValidation>
    <dataValidation allowBlank="1" showInputMessage="1" showErrorMessage="1" errorTitle="Non-Numeric or abnormal value" error="Enter Numbers only between 0 and 99999" sqref="E129:F132"/>
    <dataValidation showInputMessage="1" showErrorMessage="1" errorTitle="Non-Numeric or abnormal value" error="Enter Numbers only between 0 and 99999" sqref="E72:F86"/>
  </dataValidations>
  <pageMargins left="0.7" right="0.7" top="0.75" bottom="0.75" header="0.3" footer="0.3"/>
  <pageSetup scale="22"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413"/>
  <sheetViews>
    <sheetView showGridLines="0" tabSelected="1" showRuler="0" zoomScale="40" zoomScaleNormal="40" zoomScaleSheetLayoutView="68" zoomScalePageLayoutView="21" workbookViewId="0">
      <pane xSplit="3" ySplit="20" topLeftCell="L21" activePane="bottomRight" state="frozen"/>
      <selection pane="topRight" activeCell="D1" sqref="D1"/>
      <selection pane="bottomLeft" activeCell="A22" sqref="A22"/>
      <selection pane="bottomRight" activeCell="L29" sqref="L29"/>
    </sheetView>
  </sheetViews>
  <sheetFormatPr defaultColWidth="9.140625" defaultRowHeight="30.75"/>
  <cols>
    <col min="1" max="1" width="80.5703125" style="387" customWidth="1" collapsed="1"/>
    <col min="2" max="2" width="143.42578125" style="15" bestFit="1" customWidth="1" collapsed="1"/>
    <col min="3" max="3" width="17" style="20" bestFit="1" customWidth="1" collapsed="1"/>
    <col min="4" max="11" width="7.5703125" style="1" customWidth="1" collapsed="1"/>
    <col min="12" max="27" width="9" style="1" customWidth="1" collapsed="1"/>
    <col min="28" max="28" width="22.7109375" style="1" bestFit="1" customWidth="1" collapsed="1"/>
    <col min="29" max="29" width="14.42578125" style="5" bestFit="1" customWidth="1" collapsed="1"/>
    <col min="30" max="30" width="35.140625" style="7" bestFit="1" customWidth="1" collapsed="1"/>
    <col min="31" max="31" width="31.5703125" style="1" hidden="1" customWidth="1" collapsed="1"/>
    <col min="32" max="32" width="36.7109375" style="1" customWidth="1" collapsed="1"/>
    <col min="33" max="33" width="9.140625" style="11" collapsed="1"/>
    <col min="34" max="34" width="9.140625" style="1"/>
    <col min="35" max="35" width="9.140625" style="1" collapsed="1"/>
    <col min="36" max="37" width="9.140625" style="1"/>
    <col min="38" max="16384" width="9.140625" style="1" collapsed="1"/>
  </cols>
  <sheetData>
    <row r="1" spans="1:33" s="18" customFormat="1" ht="39" customHeight="1" thickBot="1">
      <c r="A1" s="371" t="s">
        <v>73</v>
      </c>
      <c r="B1" s="798" t="s">
        <v>35</v>
      </c>
      <c r="C1" s="799"/>
      <c r="D1" s="786" t="s">
        <v>119</v>
      </c>
      <c r="E1" s="787"/>
      <c r="F1" s="783" t="s">
        <v>36</v>
      </c>
      <c r="G1" s="785"/>
      <c r="H1" s="786" t="s">
        <v>27</v>
      </c>
      <c r="I1" s="820"/>
      <c r="J1" s="787"/>
      <c r="K1" s="783" t="s">
        <v>37</v>
      </c>
      <c r="L1" s="784"/>
      <c r="M1" s="784"/>
      <c r="N1" s="784"/>
      <c r="O1" s="784"/>
      <c r="P1" s="784"/>
      <c r="Q1" s="785"/>
      <c r="R1" s="786" t="s">
        <v>33</v>
      </c>
      <c r="S1" s="787"/>
      <c r="T1" s="783" t="s">
        <v>38</v>
      </c>
      <c r="U1" s="784"/>
      <c r="V1" s="785"/>
      <c r="W1" s="786" t="s">
        <v>28</v>
      </c>
      <c r="X1" s="787"/>
      <c r="Y1" s="77" t="s">
        <v>39</v>
      </c>
      <c r="Z1" s="78" t="s">
        <v>29</v>
      </c>
      <c r="AA1" s="783">
        <v>2020</v>
      </c>
      <c r="AB1" s="785"/>
      <c r="AC1" s="807" t="s">
        <v>30</v>
      </c>
      <c r="AD1" s="808"/>
      <c r="AE1" s="808"/>
      <c r="AF1" s="809"/>
      <c r="AG1" s="79">
        <v>0</v>
      </c>
    </row>
    <row r="2" spans="1:33" s="2" customFormat="1" ht="27" hidden="1">
      <c r="A2" s="810" t="s">
        <v>19</v>
      </c>
      <c r="B2" s="810"/>
      <c r="C2" s="810"/>
      <c r="D2" s="810"/>
      <c r="E2" s="810"/>
      <c r="F2" s="810"/>
      <c r="G2" s="810"/>
      <c r="H2" s="810"/>
      <c r="I2" s="810"/>
      <c r="J2" s="810"/>
      <c r="K2" s="810"/>
      <c r="L2" s="810"/>
      <c r="M2" s="810"/>
      <c r="N2" s="810"/>
      <c r="O2" s="810"/>
      <c r="P2" s="810"/>
      <c r="Q2" s="810"/>
      <c r="R2" s="810"/>
      <c r="S2" s="810"/>
      <c r="T2" s="810"/>
      <c r="U2" s="810"/>
      <c r="V2" s="810"/>
      <c r="W2" s="810"/>
      <c r="X2" s="810"/>
      <c r="Y2" s="810"/>
      <c r="Z2" s="810"/>
      <c r="AA2" s="810"/>
      <c r="AB2" s="810"/>
      <c r="AC2" s="810"/>
      <c r="AD2" s="80"/>
      <c r="AE2" s="81"/>
      <c r="AF2" s="81"/>
      <c r="AG2" s="82">
        <v>1</v>
      </c>
    </row>
    <row r="3" spans="1:33" s="2" customFormat="1" ht="32.25" hidden="1" thickBot="1">
      <c r="A3" s="372" t="s">
        <v>45</v>
      </c>
      <c r="B3" s="83"/>
      <c r="C3" s="84"/>
      <c r="D3" s="85" t="s">
        <v>46</v>
      </c>
      <c r="E3" s="86">
        <v>1</v>
      </c>
      <c r="F3" s="87" t="s">
        <v>47</v>
      </c>
      <c r="G3" s="88">
        <v>1</v>
      </c>
      <c r="H3" s="87" t="s">
        <v>48</v>
      </c>
      <c r="I3" s="88">
        <v>1</v>
      </c>
      <c r="J3" s="81"/>
      <c r="K3" s="81"/>
      <c r="L3" s="81"/>
      <c r="M3" s="81"/>
      <c r="N3" s="81"/>
      <c r="O3" s="81"/>
      <c r="P3" s="81"/>
      <c r="Q3" s="81"/>
      <c r="R3" s="81"/>
      <c r="S3" s="81"/>
      <c r="T3" s="81"/>
      <c r="U3" s="81"/>
      <c r="V3" s="81"/>
      <c r="W3" s="81"/>
      <c r="X3" s="81"/>
      <c r="Y3" s="81"/>
      <c r="Z3" s="81"/>
      <c r="AA3" s="81"/>
      <c r="AB3" s="81"/>
      <c r="AC3" s="89"/>
      <c r="AD3" s="90"/>
      <c r="AE3" s="81"/>
      <c r="AF3" s="81"/>
      <c r="AG3" s="82">
        <v>2</v>
      </c>
    </row>
    <row r="4" spans="1:33" s="19" customFormat="1" ht="81.75" customHeight="1" thickBot="1">
      <c r="A4" s="790" t="s">
        <v>1054</v>
      </c>
      <c r="B4" s="791"/>
      <c r="C4" s="791"/>
      <c r="D4" s="782" t="s">
        <v>167</v>
      </c>
      <c r="E4" s="782"/>
      <c r="F4" s="782"/>
      <c r="G4" s="782"/>
      <c r="H4" s="782"/>
      <c r="I4" s="782"/>
      <c r="J4" s="782"/>
      <c r="K4" s="782"/>
      <c r="L4" s="782"/>
      <c r="M4" s="782"/>
      <c r="N4" s="782"/>
      <c r="O4" s="782"/>
      <c r="P4" s="782"/>
      <c r="Q4" s="782"/>
      <c r="R4" s="782"/>
      <c r="S4" s="782"/>
      <c r="T4" s="782"/>
      <c r="U4" s="782"/>
      <c r="V4" s="782"/>
      <c r="W4" s="788" t="s">
        <v>797</v>
      </c>
      <c r="X4" s="788"/>
      <c r="Y4" s="788"/>
      <c r="Z4" s="788"/>
      <c r="AA4" s="788"/>
      <c r="AB4" s="788"/>
      <c r="AC4" s="788"/>
      <c r="AD4" s="788"/>
      <c r="AE4" s="788"/>
      <c r="AF4" s="789"/>
      <c r="AG4" s="91">
        <v>3</v>
      </c>
    </row>
    <row r="5" spans="1:33" s="3" customFormat="1" ht="33" hidden="1" customHeight="1">
      <c r="A5" s="822" t="s">
        <v>17</v>
      </c>
      <c r="B5" s="778" t="s">
        <v>25</v>
      </c>
      <c r="C5" s="780" t="s">
        <v>24</v>
      </c>
      <c r="D5" s="687" t="s">
        <v>0</v>
      </c>
      <c r="E5" s="687"/>
      <c r="F5" s="687" t="s">
        <v>1</v>
      </c>
      <c r="G5" s="687"/>
      <c r="H5" s="687" t="s">
        <v>2</v>
      </c>
      <c r="I5" s="687"/>
      <c r="J5" s="687" t="s">
        <v>3</v>
      </c>
      <c r="K5" s="687"/>
      <c r="L5" s="687" t="s">
        <v>4</v>
      </c>
      <c r="M5" s="687"/>
      <c r="N5" s="687" t="s">
        <v>5</v>
      </c>
      <c r="O5" s="687"/>
      <c r="P5" s="687" t="s">
        <v>6</v>
      </c>
      <c r="Q5" s="687"/>
      <c r="R5" s="687" t="s">
        <v>7</v>
      </c>
      <c r="S5" s="687"/>
      <c r="T5" s="687" t="s">
        <v>8</v>
      </c>
      <c r="U5" s="687"/>
      <c r="V5" s="687" t="s">
        <v>14</v>
      </c>
      <c r="W5" s="687"/>
      <c r="X5" s="687" t="s">
        <v>15</v>
      </c>
      <c r="Y5" s="687"/>
      <c r="Z5" s="687" t="s">
        <v>9</v>
      </c>
      <c r="AA5" s="687"/>
      <c r="AB5" s="792" t="s">
        <v>12</v>
      </c>
      <c r="AC5" s="794" t="s">
        <v>26</v>
      </c>
      <c r="AD5" s="92" t="s">
        <v>26</v>
      </c>
      <c r="AE5" s="796" t="s">
        <v>32</v>
      </c>
      <c r="AF5" s="93" t="s">
        <v>65</v>
      </c>
      <c r="AG5" s="94">
        <v>4</v>
      </c>
    </row>
    <row r="6" spans="1:33" s="3" customFormat="1" ht="33" hidden="1" customHeight="1" thickBot="1">
      <c r="A6" s="823"/>
      <c r="B6" s="779"/>
      <c r="C6" s="781"/>
      <c r="D6" s="95" t="s">
        <v>10</v>
      </c>
      <c r="E6" s="95" t="s">
        <v>11</v>
      </c>
      <c r="F6" s="95" t="s">
        <v>10</v>
      </c>
      <c r="G6" s="95" t="s">
        <v>11</v>
      </c>
      <c r="H6" s="95" t="s">
        <v>10</v>
      </c>
      <c r="I6" s="95" t="s">
        <v>11</v>
      </c>
      <c r="J6" s="95" t="s">
        <v>10</v>
      </c>
      <c r="K6" s="95" t="s">
        <v>11</v>
      </c>
      <c r="L6" s="95" t="s">
        <v>10</v>
      </c>
      <c r="M6" s="95" t="s">
        <v>11</v>
      </c>
      <c r="N6" s="95" t="s">
        <v>10</v>
      </c>
      <c r="O6" s="95" t="s">
        <v>11</v>
      </c>
      <c r="P6" s="95" t="s">
        <v>10</v>
      </c>
      <c r="Q6" s="95" t="s">
        <v>11</v>
      </c>
      <c r="R6" s="95" t="s">
        <v>10</v>
      </c>
      <c r="S6" s="95" t="s">
        <v>11</v>
      </c>
      <c r="T6" s="95" t="s">
        <v>10</v>
      </c>
      <c r="U6" s="95" t="s">
        <v>11</v>
      </c>
      <c r="V6" s="95" t="s">
        <v>10</v>
      </c>
      <c r="W6" s="95" t="s">
        <v>11</v>
      </c>
      <c r="X6" s="95" t="s">
        <v>10</v>
      </c>
      <c r="Y6" s="95" t="s">
        <v>11</v>
      </c>
      <c r="Z6" s="95" t="s">
        <v>10</v>
      </c>
      <c r="AA6" s="95" t="s">
        <v>11</v>
      </c>
      <c r="AB6" s="793"/>
      <c r="AC6" s="795"/>
      <c r="AD6" s="96" t="str">
        <f>IF(LEN(A362)-LEN(SUBSTITUTE(A362,"*",""))&gt;0," Total Errors are "&amp;(LEN(A362)-LEN(SUBSTITUTE(A362,"*",""))),"")</f>
        <v/>
      </c>
      <c r="AE6" s="797"/>
      <c r="AF6" s="97" t="str">
        <f>IF(LEN(A384)-LEN(SUBSTITUTE(A384,"*",""))&gt;0," Total Warnings are "&amp;(LEN(A384)-LEN(SUBSTITUTE(A384,"*",""))),"")</f>
        <v/>
      </c>
      <c r="AG6" s="94">
        <v>5</v>
      </c>
    </row>
    <row r="7" spans="1:33" ht="32.25" hidden="1" thickBot="1">
      <c r="A7" s="821" t="s">
        <v>41</v>
      </c>
      <c r="B7" s="723"/>
      <c r="C7" s="723"/>
      <c r="D7" s="723"/>
      <c r="E7" s="723"/>
      <c r="F7" s="723"/>
      <c r="G7" s="723"/>
      <c r="H7" s="723"/>
      <c r="I7" s="723"/>
      <c r="J7" s="723"/>
      <c r="K7" s="723"/>
      <c r="L7" s="723"/>
      <c r="M7" s="723"/>
      <c r="N7" s="723"/>
      <c r="O7" s="723"/>
      <c r="P7" s="723"/>
      <c r="Q7" s="723"/>
      <c r="R7" s="723"/>
      <c r="S7" s="723"/>
      <c r="T7" s="723"/>
      <c r="U7" s="723"/>
      <c r="V7" s="723"/>
      <c r="W7" s="723"/>
      <c r="X7" s="723"/>
      <c r="Y7" s="723"/>
      <c r="Z7" s="723"/>
      <c r="AA7" s="723"/>
      <c r="AB7" s="723"/>
      <c r="AC7" s="723"/>
      <c r="AD7" s="723"/>
      <c r="AE7" s="723"/>
      <c r="AF7" s="724"/>
      <c r="AG7" s="94">
        <v>6</v>
      </c>
    </row>
    <row r="8" spans="1:33" ht="31.5" hidden="1" customHeight="1" thickBot="1">
      <c r="A8" s="706" t="s">
        <v>49</v>
      </c>
      <c r="B8" s="98" t="s">
        <v>43</v>
      </c>
      <c r="C8" s="99" t="s">
        <v>67</v>
      </c>
      <c r="D8" s="100"/>
      <c r="E8" s="100"/>
      <c r="F8" s="100"/>
      <c r="G8" s="101"/>
      <c r="H8" s="102"/>
      <c r="I8" s="103"/>
      <c r="J8" s="103"/>
      <c r="K8" s="103"/>
      <c r="L8" s="103"/>
      <c r="M8" s="103"/>
      <c r="N8" s="103"/>
      <c r="O8" s="103"/>
      <c r="P8" s="103"/>
      <c r="Q8" s="103"/>
      <c r="R8" s="103"/>
      <c r="S8" s="104"/>
      <c r="T8" s="105"/>
      <c r="U8" s="106"/>
      <c r="V8" s="106"/>
      <c r="W8" s="106"/>
      <c r="X8" s="106"/>
      <c r="Y8" s="107"/>
      <c r="Z8" s="108"/>
      <c r="AA8" s="109"/>
      <c r="AB8" s="110">
        <f>SUM(D8:AA8)</f>
        <v>0</v>
      </c>
      <c r="AC8" s="111" t="str">
        <f>CONCATENATE(IF(AB9&gt;AB8," * No Screened in OPD "&amp;$AB$19&amp;" is more than Number Seen at OPD "&amp;CHAR(10),""))</f>
        <v/>
      </c>
      <c r="AD8" s="839" t="str">
        <f>CONCATENATE(AC8,AC9,AC10,AC11,AC12,AC13,AC15,AC16,AC17,AC18,AC14)</f>
        <v/>
      </c>
      <c r="AE8" s="112"/>
      <c r="AF8" s="826" t="str">
        <f>CONCATENATE(AE8,AE9,AE10,AE11,AE12,AE13,AE14,AE15,AE16,AE17,AE18)</f>
        <v/>
      </c>
      <c r="AG8" s="94">
        <v>7</v>
      </c>
    </row>
    <row r="9" spans="1:33" ht="32.25" hidden="1" thickBot="1">
      <c r="A9" s="707"/>
      <c r="B9" s="113" t="s">
        <v>44</v>
      </c>
      <c r="C9" s="99" t="s">
        <v>68</v>
      </c>
      <c r="D9" s="100"/>
      <c r="E9" s="100"/>
      <c r="F9" s="100"/>
      <c r="G9" s="101"/>
      <c r="H9" s="114"/>
      <c r="I9" s="109"/>
      <c r="J9" s="109"/>
      <c r="K9" s="109"/>
      <c r="L9" s="109"/>
      <c r="M9" s="109"/>
      <c r="N9" s="109"/>
      <c r="O9" s="109"/>
      <c r="P9" s="109"/>
      <c r="Q9" s="109"/>
      <c r="R9" s="109"/>
      <c r="S9" s="115"/>
      <c r="T9" s="116"/>
      <c r="U9" s="100"/>
      <c r="V9" s="100"/>
      <c r="W9" s="100"/>
      <c r="X9" s="100"/>
      <c r="Y9" s="117"/>
      <c r="Z9" s="108"/>
      <c r="AA9" s="109"/>
      <c r="AB9" s="110">
        <f>SUM(D9:AA9)</f>
        <v>0</v>
      </c>
      <c r="AC9" s="111" t="str">
        <f>CONCATENATE(IF(AB10&gt;AB9," * No Eligible for HTS Testing "&amp;$AB$19&amp;" is more than No Screened for HTS Eligibility "&amp;CHAR(10),""))</f>
        <v/>
      </c>
      <c r="AD9" s="840"/>
      <c r="AE9" s="112"/>
      <c r="AF9" s="827"/>
      <c r="AG9" s="94">
        <v>8</v>
      </c>
    </row>
    <row r="10" spans="1:33" ht="32.25" hidden="1" thickBot="1">
      <c r="A10" s="708"/>
      <c r="B10" s="118" t="s">
        <v>42</v>
      </c>
      <c r="C10" s="99" t="s">
        <v>69</v>
      </c>
      <c r="D10" s="100"/>
      <c r="E10" s="100"/>
      <c r="F10" s="100"/>
      <c r="G10" s="101"/>
      <c r="H10" s="119"/>
      <c r="I10" s="120"/>
      <c r="J10" s="120"/>
      <c r="K10" s="120"/>
      <c r="L10" s="120"/>
      <c r="M10" s="120"/>
      <c r="N10" s="120"/>
      <c r="O10" s="120"/>
      <c r="P10" s="120"/>
      <c r="Q10" s="120"/>
      <c r="R10" s="120"/>
      <c r="S10" s="121"/>
      <c r="T10" s="122"/>
      <c r="U10" s="123"/>
      <c r="V10" s="123"/>
      <c r="W10" s="123"/>
      <c r="X10" s="123"/>
      <c r="Y10" s="124"/>
      <c r="Z10" s="125"/>
      <c r="AA10" s="126"/>
      <c r="AB10" s="110">
        <f>SUM(D10:AA10)</f>
        <v>0</v>
      </c>
      <c r="AC10" s="127"/>
      <c r="AD10" s="840"/>
      <c r="AE10" s="112"/>
      <c r="AF10" s="827"/>
      <c r="AG10" s="94">
        <v>9</v>
      </c>
    </row>
    <row r="11" spans="1:33" ht="32.25" hidden="1" thickBot="1">
      <c r="A11" s="706" t="s">
        <v>50</v>
      </c>
      <c r="B11" s="98" t="s">
        <v>58</v>
      </c>
      <c r="C11" s="99" t="s">
        <v>70</v>
      </c>
      <c r="D11" s="128"/>
      <c r="E11" s="100"/>
      <c r="F11" s="100"/>
      <c r="G11" s="100"/>
      <c r="H11" s="100"/>
      <c r="I11" s="100"/>
      <c r="J11" s="100"/>
      <c r="K11" s="100"/>
      <c r="L11" s="100"/>
      <c r="M11" s="100"/>
      <c r="N11" s="100"/>
      <c r="O11" s="100"/>
      <c r="P11" s="100"/>
      <c r="Q11" s="100"/>
      <c r="R11" s="100"/>
      <c r="S11" s="100"/>
      <c r="T11" s="100"/>
      <c r="U11" s="100"/>
      <c r="V11" s="100"/>
      <c r="W11" s="100"/>
      <c r="X11" s="100"/>
      <c r="Y11" s="100"/>
      <c r="Z11" s="100"/>
      <c r="AA11" s="129"/>
      <c r="AB11" s="130"/>
      <c r="AC11" s="111" t="str">
        <f>CONCATENATE(IF(D12&gt;D11," * F00-05 "&amp;$D$19&amp;" "&amp;$D$20&amp;" is more than F00-04"&amp;CHAR(10),""),IF(E12&gt;E11," * F00-05 "&amp;$D$19&amp;" "&amp;$E$20&amp;" is more than F00-04"&amp;CHAR(10),""),IF(F12&gt;F11," * F00-05 "&amp;$F$19&amp;" "&amp;$F$20&amp;" is more than F00-04"&amp;CHAR(10),""),IF(G12&gt;G11," * F00-05 "&amp;$F$19&amp;" "&amp;$G$20&amp;" is more than F00-04"&amp;CHAR(10),""),IF(H12&gt;H11," * F00-05 "&amp;$H$19&amp;" "&amp;$H$20&amp;" is more than F00-04"&amp;CHAR(10),""),IF(I12&gt;I11," * F00-05 "&amp;$H$19&amp;" "&amp;$I$20&amp;" is more than F00-04"&amp;CHAR(10),""),IF(J12&gt;J11," * F00-05 "&amp;$J$19&amp;" "&amp;$J$20&amp;" is more than F00-04"&amp;CHAR(10),""),IF(K12&gt;K11," * F00-05 "&amp;$J$19&amp;" "&amp;$K$20&amp;" is more than F00-04"&amp;CHAR(10),""),IF(L12&gt;L11," * F00-05 "&amp;$L$19&amp;" "&amp;$L$20&amp;" is more than F00-04"&amp;CHAR(10),""),IF(M12&gt;M11," * F00-05 "&amp;$L$19&amp;" "&amp;$M$20&amp;" is more than F00-04"&amp;CHAR(10),""),IF(N12&gt;N11," * F00-05 "&amp;$N$19&amp;" "&amp;$N$20&amp;" is more than F00-04"&amp;CHAR(10),""),IF(O12&gt;O11," * F00-05 "&amp;$N$19&amp;" "&amp;$O$20&amp;" is more than F00-04"&amp;CHAR(10),""),IF(P12&gt;P11," * F00-05 "&amp;$P$19&amp;" "&amp;$P$20&amp;" is more than F00-04"&amp;CHAR(10),""),IF(Q12&gt;Q11," * F00-05 "&amp;$P$19&amp;" "&amp;$Q$20&amp;" is more than F00-04"&amp;CHAR(10),""),IF(R12&gt;R11," * F00-05 "&amp;$R$19&amp;" "&amp;$R$20&amp;" is more than F00-04"&amp;CHAR(10),""),IF(S12&gt;S11," * F00-05 "&amp;$R$19&amp;" "&amp;$S$20&amp;" is more than F00-04"&amp;CHAR(10),""),IF(T12&gt;T11," * F00-05 "&amp;$T$19&amp;" "&amp;$T$20&amp;" is more than F00-04"&amp;CHAR(10),""),IF(U12&gt;U11," * F00-05 "&amp;$T$19&amp;" "&amp;$U$20&amp;" is more than F00-04"&amp;CHAR(10),""),IF(V12&gt;V11," * F00-05 "&amp;$V$19&amp;" "&amp;$V$20&amp;" is more than F00-04"&amp;CHAR(10),""),IF(W12&gt;W11," * F00-05 "&amp;$V$19&amp;" "&amp;$W$20&amp;" is more than F00-04"&amp;CHAR(10),""),IF(X12&gt;X11," * F00-05 "&amp;$X$19&amp;" "&amp;$X$20&amp;" is more than F00-04"&amp;CHAR(10),""),IF(Y12&gt;Y11," * F00-05 "&amp;$X$19&amp;" "&amp;$Y$20&amp;" is more than F00-04"&amp;CHAR(10),""),IF(Z12&gt;Z11," * F00-05 "&amp;$Z$19&amp;" "&amp;$Z$20&amp;" is more than F00-04"&amp;CHAR(10),""),IF(AA12&gt;AA11," * F00-05 "&amp;$Z$19&amp;" "&amp;$AA$20&amp;" is more than F00-04"&amp;CHAR(10),""))</f>
        <v/>
      </c>
      <c r="AD11" s="840"/>
      <c r="AE11" s="112"/>
      <c r="AF11" s="827"/>
      <c r="AG11" s="94">
        <v>10</v>
      </c>
    </row>
    <row r="12" spans="1:33" ht="31.5" hidden="1">
      <c r="A12" s="707"/>
      <c r="B12" s="113" t="s">
        <v>44</v>
      </c>
      <c r="C12" s="131" t="s">
        <v>52</v>
      </c>
      <c r="D12" s="132"/>
      <c r="E12" s="133"/>
      <c r="F12" s="133"/>
      <c r="G12" s="133"/>
      <c r="H12" s="133"/>
      <c r="I12" s="133"/>
      <c r="J12" s="133"/>
      <c r="K12" s="133"/>
      <c r="L12" s="133"/>
      <c r="M12" s="133"/>
      <c r="N12" s="133"/>
      <c r="O12" s="133"/>
      <c r="P12" s="133"/>
      <c r="Q12" s="133"/>
      <c r="R12" s="133"/>
      <c r="S12" s="133"/>
      <c r="T12" s="133"/>
      <c r="U12" s="133"/>
      <c r="V12" s="133"/>
      <c r="W12" s="133"/>
      <c r="X12" s="133"/>
      <c r="Y12" s="133"/>
      <c r="Z12" s="133"/>
      <c r="AA12" s="134"/>
      <c r="AB12" s="135">
        <f t="shared" ref="AB12:AB17" si="0">SUM(D12:AA12)</f>
        <v>0</v>
      </c>
      <c r="AC12" s="111" t="str">
        <f>CONCATENATE(IF(D13&gt;D12," * F00-06 "&amp;$D$19&amp;" "&amp;$D$20&amp;" is more than F00-05"&amp;CHAR(10),""),IF(E13&gt;E12," * F00-06 "&amp;$D$19&amp;" "&amp;$E$20&amp;" is more than F00-05"&amp;CHAR(10),""),IF(F13&gt;F12," * F00-06 "&amp;$F$19&amp;" "&amp;$F$20&amp;" is more than F00-05"&amp;CHAR(10),""),IF(G13&gt;G12," * F00-06 "&amp;$F$19&amp;" "&amp;$G$20&amp;" is more than F00-05"&amp;CHAR(10),""),IF(H13&gt;H12," * F00-06 "&amp;$H$19&amp;" "&amp;$H$20&amp;" is more than F00-05"&amp;CHAR(10),""),IF(I13&gt;I12," * F00-06 "&amp;$H$19&amp;" "&amp;$I$20&amp;" is more than F00-05"&amp;CHAR(10),""),IF(J13&gt;J12," * F00-06 "&amp;$J$19&amp;" "&amp;$J$20&amp;" is more than F00-05"&amp;CHAR(10),""),IF(K13&gt;K12," * F00-06 "&amp;$J$19&amp;" "&amp;$K$20&amp;" is more than F00-05"&amp;CHAR(10),""),IF(L13&gt;L12," * F00-06 "&amp;$L$19&amp;" "&amp;$L$20&amp;" is more than F00-05"&amp;CHAR(10),""),IF(M13&gt;M12," * F00-06 "&amp;$L$19&amp;" "&amp;$M$20&amp;" is more than F00-05"&amp;CHAR(10),""),IF(N13&gt;N12," * F00-06 "&amp;$N$19&amp;" "&amp;$N$20&amp;" is more than F00-05"&amp;CHAR(10),""),IF(O13&gt;O12," * F00-06 "&amp;$N$19&amp;" "&amp;$O$20&amp;" is more than F00-05"&amp;CHAR(10),""),IF(P13&gt;P12," * F00-06 "&amp;$P$19&amp;" "&amp;$P$20&amp;" is more than F00-05"&amp;CHAR(10),""),IF(Q13&gt;Q12," * F00-06 "&amp;$P$19&amp;" "&amp;$Q$20&amp;" is more than F00-05"&amp;CHAR(10),""),IF(R13&gt;R12," * F00-06 "&amp;$R$19&amp;" "&amp;$R$20&amp;" is more than F00-05"&amp;CHAR(10),""),IF(S13&gt;S12," * F00-06 "&amp;$R$19&amp;" "&amp;$S$20&amp;" is more than F00-05"&amp;CHAR(10),""),IF(T13&gt;T12," * F00-06 "&amp;$T$19&amp;" "&amp;$T$20&amp;" is more than F00-05"&amp;CHAR(10),""),IF(U13&gt;U12," * F00-06 "&amp;$T$19&amp;" "&amp;$U$20&amp;" is more than F00-05"&amp;CHAR(10),""),IF(V13&gt;V12," * F00-06 "&amp;$V$19&amp;" "&amp;$V$20&amp;" is more than F00-05"&amp;CHAR(10),""),IF(W13&gt;W12," * F00-06 "&amp;$V$19&amp;" "&amp;$W$20&amp;" is more than F00-05"&amp;CHAR(10),""),IF(X13&gt;X12," * F00-06 "&amp;$X$19&amp;" "&amp;$X$20&amp;" is more than F00-05"&amp;CHAR(10),""),IF(Y13&gt;Y12," * F00-06 "&amp;$X$19&amp;" "&amp;$Y$20&amp;" is more than F00-05"&amp;CHAR(10),""),IF(Z13&gt;Z12," * F00-06 "&amp;$Z$19&amp;" "&amp;$Z$20&amp;" is more than F00-05"&amp;CHAR(10),""),IF(AA13&gt;AA12," * F00-06 "&amp;$Z$19&amp;" "&amp;$AA$20&amp;" is more than F00-05"&amp;CHAR(10),""))</f>
        <v/>
      </c>
      <c r="AD12" s="840"/>
      <c r="AE12" s="112"/>
      <c r="AF12" s="827"/>
      <c r="AG12" s="94">
        <v>11</v>
      </c>
    </row>
    <row r="13" spans="1:33" ht="32.25" hidden="1" thickBot="1">
      <c r="A13" s="708"/>
      <c r="B13" s="118" t="s">
        <v>42</v>
      </c>
      <c r="C13" s="136" t="s">
        <v>53</v>
      </c>
      <c r="D13" s="137"/>
      <c r="E13" s="138"/>
      <c r="F13" s="138"/>
      <c r="G13" s="138"/>
      <c r="H13" s="138"/>
      <c r="I13" s="138"/>
      <c r="J13" s="138"/>
      <c r="K13" s="138"/>
      <c r="L13" s="138"/>
      <c r="M13" s="138"/>
      <c r="N13" s="138"/>
      <c r="O13" s="138"/>
      <c r="P13" s="138"/>
      <c r="Q13" s="138"/>
      <c r="R13" s="138"/>
      <c r="S13" s="138"/>
      <c r="T13" s="138"/>
      <c r="U13" s="138"/>
      <c r="V13" s="138"/>
      <c r="W13" s="138"/>
      <c r="X13" s="138"/>
      <c r="Y13" s="138"/>
      <c r="Z13" s="138"/>
      <c r="AA13" s="139"/>
      <c r="AB13" s="140">
        <f t="shared" si="0"/>
        <v>0</v>
      </c>
      <c r="AC13" s="127"/>
      <c r="AD13" s="840"/>
      <c r="AE13" s="112"/>
      <c r="AF13" s="827"/>
      <c r="AG13" s="94">
        <v>12</v>
      </c>
    </row>
    <row r="14" spans="1:33" s="8" customFormat="1" ht="32.25" hidden="1" thickBot="1">
      <c r="A14" s="373" t="s">
        <v>61</v>
      </c>
      <c r="B14" s="141" t="s">
        <v>60</v>
      </c>
      <c r="C14" s="142" t="s">
        <v>54</v>
      </c>
      <c r="D14" s="143">
        <f>D13+D10</f>
        <v>0</v>
      </c>
      <c r="E14" s="143">
        <f>E13+E10</f>
        <v>0</v>
      </c>
      <c r="F14" s="143">
        <f>F13+F10</f>
        <v>0</v>
      </c>
      <c r="G14" s="143">
        <f t="shared" ref="G14:AA14" si="1">G13+G10</f>
        <v>0</v>
      </c>
      <c r="H14" s="143">
        <f t="shared" si="1"/>
        <v>0</v>
      </c>
      <c r="I14" s="143">
        <f t="shared" si="1"/>
        <v>0</v>
      </c>
      <c r="J14" s="143">
        <f t="shared" si="1"/>
        <v>0</v>
      </c>
      <c r="K14" s="143">
        <f t="shared" si="1"/>
        <v>0</v>
      </c>
      <c r="L14" s="143">
        <f t="shared" si="1"/>
        <v>0</v>
      </c>
      <c r="M14" s="143">
        <f t="shared" si="1"/>
        <v>0</v>
      </c>
      <c r="N14" s="143">
        <f t="shared" si="1"/>
        <v>0</v>
      </c>
      <c r="O14" s="143">
        <f t="shared" si="1"/>
        <v>0</v>
      </c>
      <c r="P14" s="143">
        <f t="shared" si="1"/>
        <v>0</v>
      </c>
      <c r="Q14" s="143">
        <f t="shared" si="1"/>
        <v>0</v>
      </c>
      <c r="R14" s="143">
        <f t="shared" si="1"/>
        <v>0</v>
      </c>
      <c r="S14" s="143">
        <f t="shared" si="1"/>
        <v>0</v>
      </c>
      <c r="T14" s="143">
        <f t="shared" si="1"/>
        <v>0</v>
      </c>
      <c r="U14" s="143">
        <f t="shared" si="1"/>
        <v>0</v>
      </c>
      <c r="V14" s="143">
        <f t="shared" si="1"/>
        <v>0</v>
      </c>
      <c r="W14" s="143">
        <f t="shared" si="1"/>
        <v>0</v>
      </c>
      <c r="X14" s="143">
        <f t="shared" si="1"/>
        <v>0</v>
      </c>
      <c r="Y14" s="143">
        <f t="shared" si="1"/>
        <v>0</v>
      </c>
      <c r="Z14" s="143">
        <f t="shared" si="1"/>
        <v>0</v>
      </c>
      <c r="AA14" s="143">
        <f t="shared" si="1"/>
        <v>0</v>
      </c>
      <c r="AB14" s="144">
        <f t="shared" si="0"/>
        <v>0</v>
      </c>
      <c r="AC14" s="111"/>
      <c r="AD14" s="840"/>
      <c r="AE14" s="145"/>
      <c r="AF14" s="827"/>
      <c r="AG14" s="94">
        <v>13</v>
      </c>
    </row>
    <row r="15" spans="1:33" ht="31.5" hidden="1">
      <c r="A15" s="706" t="s">
        <v>51</v>
      </c>
      <c r="B15" s="98" t="s">
        <v>59</v>
      </c>
      <c r="C15" s="142" t="s">
        <v>55</v>
      </c>
      <c r="D15" s="146"/>
      <c r="E15" s="147"/>
      <c r="F15" s="147"/>
      <c r="G15" s="147"/>
      <c r="H15" s="147"/>
      <c r="I15" s="147"/>
      <c r="J15" s="147"/>
      <c r="K15" s="147"/>
      <c r="L15" s="147"/>
      <c r="M15" s="147"/>
      <c r="N15" s="147"/>
      <c r="O15" s="147"/>
      <c r="P15" s="147"/>
      <c r="Q15" s="147"/>
      <c r="R15" s="147"/>
      <c r="S15" s="147"/>
      <c r="T15" s="147"/>
      <c r="U15" s="147"/>
      <c r="V15" s="147"/>
      <c r="W15" s="147"/>
      <c r="X15" s="147"/>
      <c r="Y15" s="147"/>
      <c r="Z15" s="147"/>
      <c r="AA15" s="148"/>
      <c r="AB15" s="149">
        <f t="shared" si="0"/>
        <v>0</v>
      </c>
      <c r="AC15" s="111" t="str">
        <f>CONCATENATE(IF(D16&gt;D15," * F00-08 "&amp;$D$19&amp;" "&amp;$D$20&amp;" is more than F00-07"&amp;CHAR(10),""),IF(E16&gt;E15," * F00-08 "&amp;$D$19&amp;" "&amp;$E$20&amp;" is more than F00-07"&amp;CHAR(10),""),IF(F16&gt;F15," * F00-08 "&amp;$F$19&amp;" "&amp;$F$20&amp;" is more than F00-07"&amp;CHAR(10),""),IF(G16&gt;G15," * F00-08 "&amp;$F$19&amp;" "&amp;$G$20&amp;" is more than F00-07"&amp;CHAR(10),""),IF(H16&gt;H15," * F00-08 "&amp;$H$19&amp;" "&amp;$H$20&amp;" is more than F00-07"&amp;CHAR(10),""),IF(I16&gt;I15," * F00-08 "&amp;$H$19&amp;" "&amp;$I$20&amp;" is more than F00-07"&amp;CHAR(10),""),IF(J16&gt;J15," * F00-08 "&amp;$J$19&amp;" "&amp;$J$20&amp;" is more than F00-07"&amp;CHAR(10),""),IF(K16&gt;K15," * F00-08 "&amp;$J$19&amp;" "&amp;$K$20&amp;" is more than F00-07"&amp;CHAR(10),""),IF(L16&gt;L15," * F00-08 "&amp;$L$19&amp;" "&amp;$L$20&amp;" is more than F00-07"&amp;CHAR(10),""),IF(M16&gt;M15," * F00-08 "&amp;$L$19&amp;" "&amp;$M$20&amp;" is more than F00-07"&amp;CHAR(10),""),IF(N16&gt;N15," * F00-08 "&amp;$N$19&amp;" "&amp;$N$20&amp;" is more than F00-07"&amp;CHAR(10),""),IF(O16&gt;O15," * F00-08 "&amp;$N$19&amp;" "&amp;$O$20&amp;" is more than F00-07"&amp;CHAR(10),""),IF(P16&gt;P15," * F00-08 "&amp;$P$19&amp;" "&amp;$P$20&amp;" is more than F00-07"&amp;CHAR(10),""),IF(Q16&gt;Q15," * F00-08 "&amp;$P$19&amp;" "&amp;$Q$20&amp;" is more than F00-07"&amp;CHAR(10),""),IF(R16&gt;R15," * F00-08 "&amp;$R$19&amp;" "&amp;$R$20&amp;" is more than F00-07"&amp;CHAR(10),""),IF(S16&gt;S15," * F00-08 "&amp;$R$19&amp;" "&amp;$S$20&amp;" is more than F00-07"&amp;CHAR(10),""),IF(T16&gt;T15," * F00-08 "&amp;$T$19&amp;" "&amp;$T$20&amp;" is more than F00-07"&amp;CHAR(10),""),IF(U16&gt;U15," * F00-08 "&amp;$T$19&amp;" "&amp;$U$20&amp;" is more than F00-07"&amp;CHAR(10),""),IF(V16&gt;V15," * F00-08 "&amp;$V$19&amp;" "&amp;$V$20&amp;" is more than F00-07"&amp;CHAR(10),""),IF(W16&gt;W15," * F00-08 "&amp;$V$19&amp;" "&amp;$W$20&amp;" is more than F00-07"&amp;CHAR(10),""),IF(X16&gt;X15," * F00-08 "&amp;$X$19&amp;" "&amp;$X$20&amp;" is more than F00-07"&amp;CHAR(10),""),IF(Y16&gt;Y15," * F00-08 "&amp;$X$19&amp;" "&amp;$Y$20&amp;" is more than F00-07"&amp;CHAR(10),""),IF(Z16&gt;Z15," * F00-08 "&amp;$Z$19&amp;" "&amp;$Z$20&amp;" is more than F00-07"&amp;CHAR(10),""),IF(AA16&gt;AA15," * F00-08 "&amp;$Z$19&amp;" "&amp;$AA$20&amp;" is more than F00-07"&amp;CHAR(10),""))</f>
        <v/>
      </c>
      <c r="AD15" s="840"/>
      <c r="AE15" s="112"/>
      <c r="AF15" s="827"/>
      <c r="AG15" s="94">
        <v>14</v>
      </c>
    </row>
    <row r="16" spans="1:33" ht="31.5" hidden="1">
      <c r="A16" s="707"/>
      <c r="B16" s="150" t="s">
        <v>44</v>
      </c>
      <c r="C16" s="131" t="s">
        <v>56</v>
      </c>
      <c r="D16" s="132"/>
      <c r="E16" s="133"/>
      <c r="F16" s="133"/>
      <c r="G16" s="133"/>
      <c r="H16" s="133"/>
      <c r="I16" s="133"/>
      <c r="J16" s="133"/>
      <c r="K16" s="133"/>
      <c r="L16" s="133"/>
      <c r="M16" s="133"/>
      <c r="N16" s="133"/>
      <c r="O16" s="133"/>
      <c r="P16" s="133"/>
      <c r="Q16" s="133"/>
      <c r="R16" s="133"/>
      <c r="S16" s="133"/>
      <c r="T16" s="133"/>
      <c r="U16" s="133"/>
      <c r="V16" s="133"/>
      <c r="W16" s="133"/>
      <c r="X16" s="133"/>
      <c r="Y16" s="133"/>
      <c r="Z16" s="133"/>
      <c r="AA16" s="134"/>
      <c r="AB16" s="151">
        <f t="shared" si="0"/>
        <v>0</v>
      </c>
      <c r="AC16" s="111" t="str">
        <f>CONCATENATE(IF(D17&gt;D16," * F00-09 "&amp;$D$19&amp;" "&amp;$D$20&amp;" is more than F00-08"&amp;CHAR(10),""),IF(E17&gt;E16," * F00-09 "&amp;$D$19&amp;" "&amp;$E$20&amp;" is more than F00-08"&amp;CHAR(10),""),IF(F17&gt;F16," * F00-09 "&amp;$F$19&amp;" "&amp;$F$20&amp;" is more than F00-08"&amp;CHAR(10),""),IF(G17&gt;G16," * F00-09 "&amp;$F$19&amp;" "&amp;$G$20&amp;" is more than F00-08"&amp;CHAR(10),""),IF(H17&gt;H16," * F00-09 "&amp;$H$19&amp;" "&amp;$H$20&amp;" is more than F00-08"&amp;CHAR(10),""),IF(I17&gt;I16," * F00-09 "&amp;$H$19&amp;" "&amp;$I$20&amp;" is more than F00-08"&amp;CHAR(10),""),IF(J17&gt;J16," * F00-09 "&amp;$J$19&amp;" "&amp;$J$20&amp;" is more than F00-08"&amp;CHAR(10),""),IF(K17&gt;K16," * F00-09 "&amp;$J$19&amp;" "&amp;$K$20&amp;" is more than F00-08"&amp;CHAR(10),""),IF(L17&gt;L16," * F00-09 "&amp;$L$19&amp;" "&amp;$L$20&amp;" is more than F00-08"&amp;CHAR(10),""),IF(M17&gt;M16," * F00-09 "&amp;$L$19&amp;" "&amp;$M$20&amp;" is more than F00-08"&amp;CHAR(10),""),IF(N17&gt;N16," * F00-09 "&amp;$N$19&amp;" "&amp;$N$20&amp;" is more than F00-08"&amp;CHAR(10),""),IF(O17&gt;O16," * F00-09 "&amp;$N$19&amp;" "&amp;$O$20&amp;" is more than F00-08"&amp;CHAR(10),""),IF(P17&gt;P16," * F00-09 "&amp;$P$19&amp;" "&amp;$P$20&amp;" is more than F00-08"&amp;CHAR(10),""),IF(Q17&gt;Q16," * F00-09 "&amp;$P$19&amp;" "&amp;$Q$20&amp;" is more than F00-08"&amp;CHAR(10),""),IF(R17&gt;R16," * F00-09 "&amp;$R$19&amp;" "&amp;$R$20&amp;" is more than F00-08"&amp;CHAR(10),""),IF(S17&gt;S16," * F00-09 "&amp;$R$19&amp;" "&amp;$S$20&amp;" is more than F00-08"&amp;CHAR(10),""),IF(T17&gt;T16," * F00-09 "&amp;$T$19&amp;" "&amp;$T$20&amp;" is more than F00-08"&amp;CHAR(10),""),IF(U17&gt;U16," * F00-09 "&amp;$T$19&amp;" "&amp;$U$20&amp;" is more than F00-08"&amp;CHAR(10),""),IF(V17&gt;V16," * F00-09 "&amp;$V$19&amp;" "&amp;$V$20&amp;" is more than F00-08"&amp;CHAR(10),""),IF(W17&gt;W16," * F00-09 "&amp;$V$19&amp;" "&amp;$W$20&amp;" is more than F00-08"&amp;CHAR(10),""),IF(X17&gt;X16," * F00-09 "&amp;$X$19&amp;" "&amp;$X$20&amp;" is more than F00-08"&amp;CHAR(10),""),IF(Y17&gt;Y16," * F00-09 "&amp;$X$19&amp;" "&amp;$Y$20&amp;" is more than F00-08"&amp;CHAR(10),""),IF(Z17&gt;Z16," * F00-09 "&amp;$Z$19&amp;" "&amp;$Z$20&amp;" is more than F00-08"&amp;CHAR(10),""),IF(AA17&gt;AA16," * F00-09 "&amp;$Z$19&amp;" "&amp;$AA$20&amp;" is more than F00-08"&amp;CHAR(10),""))</f>
        <v/>
      </c>
      <c r="AD16" s="840"/>
      <c r="AE16" s="112"/>
      <c r="AF16" s="827"/>
      <c r="AG16" s="94">
        <v>15</v>
      </c>
    </row>
    <row r="17" spans="1:33" ht="32.25" hidden="1" thickBot="1">
      <c r="A17" s="708"/>
      <c r="B17" s="118" t="s">
        <v>42</v>
      </c>
      <c r="C17" s="136" t="s">
        <v>57</v>
      </c>
      <c r="D17" s="137"/>
      <c r="E17" s="138"/>
      <c r="F17" s="138"/>
      <c r="G17" s="138"/>
      <c r="H17" s="138"/>
      <c r="I17" s="138"/>
      <c r="J17" s="138"/>
      <c r="K17" s="138"/>
      <c r="L17" s="138"/>
      <c r="M17" s="138"/>
      <c r="N17" s="138"/>
      <c r="O17" s="138"/>
      <c r="P17" s="138"/>
      <c r="Q17" s="138"/>
      <c r="R17" s="138"/>
      <c r="S17" s="138"/>
      <c r="T17" s="138"/>
      <c r="U17" s="138"/>
      <c r="V17" s="138"/>
      <c r="W17" s="138"/>
      <c r="X17" s="138"/>
      <c r="Y17" s="138"/>
      <c r="Z17" s="138"/>
      <c r="AA17" s="139"/>
      <c r="AB17" s="152">
        <f t="shared" si="0"/>
        <v>0</v>
      </c>
      <c r="AC17" s="127"/>
      <c r="AD17" s="840"/>
      <c r="AE17" s="112"/>
      <c r="AF17" s="827"/>
      <c r="AG17" s="94">
        <v>16</v>
      </c>
    </row>
    <row r="18" spans="1:33" ht="32.25" hidden="1" thickBot="1">
      <c r="A18" s="374"/>
      <c r="B18" s="141" t="s">
        <v>787</v>
      </c>
      <c r="C18" s="153" t="s">
        <v>71</v>
      </c>
      <c r="D18" s="154">
        <f>D17+D13+D10</f>
        <v>0</v>
      </c>
      <c r="E18" s="154">
        <f>E17+E13+E10</f>
        <v>0</v>
      </c>
      <c r="F18" s="154">
        <f>F17+F13+F10</f>
        <v>0</v>
      </c>
      <c r="G18" s="154">
        <f t="shared" ref="G18:AB18" si="2">G17+G13+G10</f>
        <v>0</v>
      </c>
      <c r="H18" s="154">
        <f t="shared" si="2"/>
        <v>0</v>
      </c>
      <c r="I18" s="154">
        <f t="shared" si="2"/>
        <v>0</v>
      </c>
      <c r="J18" s="154">
        <f t="shared" si="2"/>
        <v>0</v>
      </c>
      <c r="K18" s="154">
        <f t="shared" si="2"/>
        <v>0</v>
      </c>
      <c r="L18" s="154">
        <f t="shared" si="2"/>
        <v>0</v>
      </c>
      <c r="M18" s="154">
        <f t="shared" si="2"/>
        <v>0</v>
      </c>
      <c r="N18" s="154">
        <f t="shared" si="2"/>
        <v>0</v>
      </c>
      <c r="O18" s="154">
        <f t="shared" si="2"/>
        <v>0</v>
      </c>
      <c r="P18" s="154">
        <f t="shared" si="2"/>
        <v>0</v>
      </c>
      <c r="Q18" s="154">
        <f t="shared" si="2"/>
        <v>0</v>
      </c>
      <c r="R18" s="154">
        <f t="shared" si="2"/>
        <v>0</v>
      </c>
      <c r="S18" s="154">
        <f t="shared" si="2"/>
        <v>0</v>
      </c>
      <c r="T18" s="154">
        <f t="shared" si="2"/>
        <v>0</v>
      </c>
      <c r="U18" s="154">
        <f t="shared" si="2"/>
        <v>0</v>
      </c>
      <c r="V18" s="154">
        <f t="shared" si="2"/>
        <v>0</v>
      </c>
      <c r="W18" s="154">
        <f t="shared" si="2"/>
        <v>0</v>
      </c>
      <c r="X18" s="154">
        <f t="shared" si="2"/>
        <v>0</v>
      </c>
      <c r="Y18" s="154">
        <f t="shared" si="2"/>
        <v>0</v>
      </c>
      <c r="Z18" s="154">
        <f t="shared" si="2"/>
        <v>0</v>
      </c>
      <c r="AA18" s="154">
        <f t="shared" si="2"/>
        <v>0</v>
      </c>
      <c r="AB18" s="154">
        <f t="shared" si="2"/>
        <v>0</v>
      </c>
      <c r="AC18" s="127"/>
      <c r="AD18" s="841"/>
      <c r="AE18" s="112"/>
      <c r="AF18" s="828"/>
      <c r="AG18" s="94">
        <v>17</v>
      </c>
    </row>
    <row r="19" spans="1:33" s="17" customFormat="1" ht="39.75" customHeight="1">
      <c r="A19" s="818" t="s">
        <v>17</v>
      </c>
      <c r="B19" s="816" t="s">
        <v>25</v>
      </c>
      <c r="C19" s="685" t="s">
        <v>24</v>
      </c>
      <c r="D19" s="720" t="s">
        <v>0</v>
      </c>
      <c r="E19" s="719"/>
      <c r="F19" s="718" t="s">
        <v>1</v>
      </c>
      <c r="G19" s="719"/>
      <c r="H19" s="718" t="s">
        <v>2</v>
      </c>
      <c r="I19" s="719"/>
      <c r="J19" s="718" t="s">
        <v>3</v>
      </c>
      <c r="K19" s="719"/>
      <c r="L19" s="718" t="s">
        <v>4</v>
      </c>
      <c r="M19" s="719"/>
      <c r="N19" s="718" t="s">
        <v>5</v>
      </c>
      <c r="O19" s="719"/>
      <c r="P19" s="718" t="s">
        <v>6</v>
      </c>
      <c r="Q19" s="719"/>
      <c r="R19" s="718" t="s">
        <v>7</v>
      </c>
      <c r="S19" s="719"/>
      <c r="T19" s="718" t="s">
        <v>8</v>
      </c>
      <c r="U19" s="719"/>
      <c r="V19" s="718" t="s">
        <v>14</v>
      </c>
      <c r="W19" s="719"/>
      <c r="X19" s="718" t="s">
        <v>15</v>
      </c>
      <c r="Y19" s="719"/>
      <c r="Z19" s="718" t="s">
        <v>9</v>
      </c>
      <c r="AA19" s="719"/>
      <c r="AB19" s="813" t="s">
        <v>12</v>
      </c>
      <c r="AC19" s="811" t="s">
        <v>26</v>
      </c>
      <c r="AD19" s="829" t="s">
        <v>31</v>
      </c>
      <c r="AE19" s="824" t="s">
        <v>32</v>
      </c>
      <c r="AF19" s="800" t="s">
        <v>32</v>
      </c>
      <c r="AG19" s="155">
        <v>19</v>
      </c>
    </row>
    <row r="20" spans="1:33" s="17" customFormat="1" ht="33" customHeight="1" thickBot="1">
      <c r="A20" s="819"/>
      <c r="B20" s="817"/>
      <c r="C20" s="815"/>
      <c r="D20" s="156" t="s">
        <v>10</v>
      </c>
      <c r="E20" s="156" t="s">
        <v>11</v>
      </c>
      <c r="F20" s="156" t="s">
        <v>10</v>
      </c>
      <c r="G20" s="156" t="s">
        <v>11</v>
      </c>
      <c r="H20" s="156" t="s">
        <v>10</v>
      </c>
      <c r="I20" s="156" t="s">
        <v>11</v>
      </c>
      <c r="J20" s="156" t="s">
        <v>10</v>
      </c>
      <c r="K20" s="156" t="s">
        <v>11</v>
      </c>
      <c r="L20" s="156" t="s">
        <v>10</v>
      </c>
      <c r="M20" s="156" t="s">
        <v>11</v>
      </c>
      <c r="N20" s="156" t="s">
        <v>10</v>
      </c>
      <c r="O20" s="156" t="s">
        <v>11</v>
      </c>
      <c r="P20" s="156" t="s">
        <v>10</v>
      </c>
      <c r="Q20" s="156" t="s">
        <v>11</v>
      </c>
      <c r="R20" s="156" t="s">
        <v>10</v>
      </c>
      <c r="S20" s="156" t="s">
        <v>11</v>
      </c>
      <c r="T20" s="156" t="s">
        <v>10</v>
      </c>
      <c r="U20" s="156" t="s">
        <v>11</v>
      </c>
      <c r="V20" s="156" t="s">
        <v>10</v>
      </c>
      <c r="W20" s="156" t="s">
        <v>11</v>
      </c>
      <c r="X20" s="156" t="s">
        <v>10</v>
      </c>
      <c r="Y20" s="156" t="s">
        <v>11</v>
      </c>
      <c r="Z20" s="156" t="s">
        <v>10</v>
      </c>
      <c r="AA20" s="156" t="s">
        <v>11</v>
      </c>
      <c r="AB20" s="814"/>
      <c r="AC20" s="812"/>
      <c r="AD20" s="830"/>
      <c r="AE20" s="825"/>
      <c r="AF20" s="801"/>
      <c r="AG20" s="155">
        <v>20</v>
      </c>
    </row>
    <row r="21" spans="1:33" s="4" customFormat="1" ht="38.25" customHeight="1" thickBot="1">
      <c r="A21" s="842" t="s">
        <v>415</v>
      </c>
      <c r="B21" s="843"/>
      <c r="C21" s="843"/>
      <c r="D21" s="843"/>
      <c r="E21" s="843"/>
      <c r="F21" s="843"/>
      <c r="G21" s="843"/>
      <c r="H21" s="843"/>
      <c r="I21" s="843"/>
      <c r="J21" s="843"/>
      <c r="K21" s="843"/>
      <c r="L21" s="843"/>
      <c r="M21" s="843"/>
      <c r="N21" s="843"/>
      <c r="O21" s="843"/>
      <c r="P21" s="843"/>
      <c r="Q21" s="843"/>
      <c r="R21" s="843"/>
      <c r="S21" s="843"/>
      <c r="T21" s="843"/>
      <c r="U21" s="843"/>
      <c r="V21" s="843"/>
      <c r="W21" s="843"/>
      <c r="X21" s="843"/>
      <c r="Y21" s="843"/>
      <c r="Z21" s="843"/>
      <c r="AA21" s="843"/>
      <c r="AB21" s="843"/>
      <c r="AC21" s="843"/>
      <c r="AD21" s="843"/>
      <c r="AE21" s="843"/>
      <c r="AF21" s="844"/>
      <c r="AG21" s="157">
        <v>93</v>
      </c>
    </row>
    <row r="22" spans="1:33" s="4" customFormat="1" ht="53.25" customHeight="1" thickBot="1">
      <c r="A22" s="802" t="s">
        <v>788</v>
      </c>
      <c r="B22" s="803"/>
      <c r="C22" s="804"/>
      <c r="D22" s="803"/>
      <c r="E22" s="803"/>
      <c r="F22" s="803"/>
      <c r="G22" s="803"/>
      <c r="H22" s="803"/>
      <c r="I22" s="803"/>
      <c r="J22" s="803"/>
      <c r="K22" s="803"/>
      <c r="L22" s="803"/>
      <c r="M22" s="803"/>
      <c r="N22" s="803"/>
      <c r="O22" s="803"/>
      <c r="P22" s="803"/>
      <c r="Q22" s="803"/>
      <c r="R22" s="803"/>
      <c r="S22" s="803"/>
      <c r="T22" s="803"/>
      <c r="U22" s="803"/>
      <c r="V22" s="803"/>
      <c r="W22" s="803"/>
      <c r="X22" s="803"/>
      <c r="Y22" s="803"/>
      <c r="Z22" s="803"/>
      <c r="AA22" s="803"/>
      <c r="AB22" s="803"/>
      <c r="AC22" s="803"/>
      <c r="AD22" s="805"/>
      <c r="AE22" s="803"/>
      <c r="AF22" s="806"/>
      <c r="AG22" s="158">
        <v>18</v>
      </c>
    </row>
    <row r="23" spans="1:33" s="4" customFormat="1" ht="53.25" customHeight="1" thickBot="1">
      <c r="A23" s="375" t="s">
        <v>776</v>
      </c>
      <c r="B23" s="159" t="s">
        <v>74</v>
      </c>
      <c r="C23" s="160" t="s">
        <v>661</v>
      </c>
      <c r="D23" s="554">
        <f>SUM(D24:D28)</f>
        <v>0</v>
      </c>
      <c r="E23" s="552">
        <f t="shared" ref="E23:L23" si="3">SUM(E24:E28)</f>
        <v>0</v>
      </c>
      <c r="F23" s="552">
        <f t="shared" si="3"/>
        <v>0</v>
      </c>
      <c r="G23" s="552">
        <f t="shared" si="3"/>
        <v>0</v>
      </c>
      <c r="H23" s="552">
        <f t="shared" si="3"/>
        <v>0</v>
      </c>
      <c r="I23" s="552">
        <f t="shared" si="3"/>
        <v>0</v>
      </c>
      <c r="J23" s="552">
        <f t="shared" si="3"/>
        <v>0</v>
      </c>
      <c r="K23" s="552">
        <f t="shared" si="3"/>
        <v>0</v>
      </c>
      <c r="L23" s="552">
        <f t="shared" si="3"/>
        <v>0</v>
      </c>
      <c r="M23" s="552">
        <f t="shared" ref="M23:AB23" si="4">SUM(M24:M28)</f>
        <v>0</v>
      </c>
      <c r="N23" s="552">
        <f t="shared" si="4"/>
        <v>0</v>
      </c>
      <c r="O23" s="552">
        <f t="shared" si="4"/>
        <v>0</v>
      </c>
      <c r="P23" s="552">
        <f t="shared" si="4"/>
        <v>0</v>
      </c>
      <c r="Q23" s="552">
        <f t="shared" si="4"/>
        <v>0</v>
      </c>
      <c r="R23" s="552">
        <f t="shared" si="4"/>
        <v>0</v>
      </c>
      <c r="S23" s="552">
        <f t="shared" si="4"/>
        <v>0</v>
      </c>
      <c r="T23" s="552">
        <f t="shared" si="4"/>
        <v>0</v>
      </c>
      <c r="U23" s="552">
        <f t="shared" si="4"/>
        <v>0</v>
      </c>
      <c r="V23" s="552">
        <f t="shared" si="4"/>
        <v>0</v>
      </c>
      <c r="W23" s="552">
        <f t="shared" si="4"/>
        <v>0</v>
      </c>
      <c r="X23" s="552">
        <f t="shared" si="4"/>
        <v>0</v>
      </c>
      <c r="Y23" s="552">
        <f t="shared" si="4"/>
        <v>0</v>
      </c>
      <c r="Z23" s="552">
        <f t="shared" si="4"/>
        <v>0</v>
      </c>
      <c r="AA23" s="552">
        <f t="shared" si="4"/>
        <v>0</v>
      </c>
      <c r="AB23" s="552">
        <f t="shared" si="4"/>
        <v>0</v>
      </c>
      <c r="AC23" s="160"/>
      <c r="AD23" s="543"/>
      <c r="AE23" s="538"/>
      <c r="AF23" s="543"/>
      <c r="AG23" s="158"/>
    </row>
    <row r="24" spans="1:33" s="4" customFormat="1" ht="53.25" customHeight="1">
      <c r="A24" s="831" t="s">
        <v>1055</v>
      </c>
      <c r="B24" s="161" t="s">
        <v>75</v>
      </c>
      <c r="C24" s="545" t="s">
        <v>79</v>
      </c>
      <c r="D24" s="287"/>
      <c r="E24" s="183"/>
      <c r="F24" s="182"/>
      <c r="G24" s="183"/>
      <c r="H24" s="182"/>
      <c r="I24" s="183"/>
      <c r="J24" s="182"/>
      <c r="K24" s="227"/>
      <c r="L24" s="881">
        <f>SUM(L29:L31)</f>
        <v>0</v>
      </c>
      <c r="M24" s="881">
        <f t="shared" ref="M24:AA24" si="5">SUM(M29:M31)</f>
        <v>0</v>
      </c>
      <c r="N24" s="881">
        <f t="shared" si="5"/>
        <v>0</v>
      </c>
      <c r="O24" s="881">
        <f t="shared" si="5"/>
        <v>0</v>
      </c>
      <c r="P24" s="881">
        <f t="shared" si="5"/>
        <v>0</v>
      </c>
      <c r="Q24" s="881">
        <f t="shared" si="5"/>
        <v>0</v>
      </c>
      <c r="R24" s="881">
        <f t="shared" si="5"/>
        <v>0</v>
      </c>
      <c r="S24" s="881">
        <f t="shared" si="5"/>
        <v>0</v>
      </c>
      <c r="T24" s="881">
        <f t="shared" si="5"/>
        <v>0</v>
      </c>
      <c r="U24" s="881">
        <f t="shared" si="5"/>
        <v>0</v>
      </c>
      <c r="V24" s="881">
        <f t="shared" si="5"/>
        <v>0</v>
      </c>
      <c r="W24" s="881">
        <f t="shared" si="5"/>
        <v>0</v>
      </c>
      <c r="X24" s="881">
        <f t="shared" si="5"/>
        <v>0</v>
      </c>
      <c r="Y24" s="881">
        <f t="shared" si="5"/>
        <v>0</v>
      </c>
      <c r="Z24" s="881">
        <f t="shared" si="5"/>
        <v>0</v>
      </c>
      <c r="AA24" s="881">
        <f t="shared" si="5"/>
        <v>0</v>
      </c>
      <c r="AB24" s="555">
        <f>SUM(D24:AA24)</f>
        <v>0</v>
      </c>
      <c r="AC24" s="167" t="str">
        <f>CONCATENATE(IF(D24&lt;(D29+D30+D31)," * KP_Prev By status PWID"&amp;$D$19&amp;" "&amp;$D$20&amp;" Is more than KP_Prev by KP Type"&amp;CHAR(10),""),IF(E24&lt;(E29+E30+E31)," * KP_Prev By status PWID"&amp;$D$19&amp;" "&amp;$E$20&amp;" Is more than KP_Prev by KP Type"&amp;CHAR(10),""),IF(F24&lt;(F29+F30+F31)," * KP_Prev By status PWID"&amp;$F$19&amp;" "&amp;$F$20&amp;" Is more than KP_Prev by KP Type"&amp;CHAR(10),""),IF(G24&lt;(G29+G30+G31)," * KP_Prev By status PWID"&amp;$F$19&amp;" "&amp;$G$20&amp;" Is more than KP_Prev by KP Type"&amp;CHAR(10),""),IF(H24&lt;(H29+H30+H31)," * KP_Prev By status PWID"&amp;$H$19&amp;" "&amp;$H$20&amp;" Is more than KP_Prev by KP Type"&amp;CHAR(10),""),IF(I24&lt;(I29+I30+I31)," * KP_Prev By status PWID"&amp;$H$19&amp;" "&amp;$I$20&amp;" Is more than KP_Prev by KP Type"&amp;CHAR(10),""),IF(J24&lt;(J29+J30+J31)," * KP_Prev By status PWID"&amp;$J$19&amp;" "&amp;$J$20&amp;" Is more than KP_Prev by KP Type"&amp;CHAR(10),""),IF(K24&lt;(K29+K30+K31)," * KP_Prev By status PWID"&amp;$J$19&amp;" "&amp;$K$20&amp;" Is more than KP_Prev by KP Type"&amp;CHAR(10),""),IF(L24&lt;(L29+L30+L31)," * KP_Prev By status PWID"&amp;$L$19&amp;" "&amp;$L$20&amp;" Is more than KP_Prev by KP Type"&amp;CHAR(10),""),IF(M24&lt;(M29+M30+M31)," * KP_Prev By status PWID"&amp;$L$19&amp;" "&amp;$M$20&amp;" Is more than KP_Prev by KP Type"&amp;CHAR(10),""),IF(N24&lt;(N29+N30+N31)," * KP_Prev By status PWID"&amp;$N$19&amp;" "&amp;$N$20&amp;" Is more than KP_Prev by KP Type"&amp;CHAR(10),""),IF(O24&lt;(O29+O30+O31)," * KP_Prev By status PWID"&amp;$N$19&amp;" "&amp;$O$20&amp;" Is more than KP_Prev by KP Type"&amp;CHAR(10),""),IF(P24&lt;(P29+P30+P31)," * KP_Prev By status PWID"&amp;$P$19&amp;" "&amp;$P$20&amp;" Is more than KP_Prev by KP Type"&amp;CHAR(10),""),IF(Q24&lt;(Q29+Q30+Q31)," * KP_Prev By status PWID"&amp;$P$19&amp;" "&amp;$Q$20&amp;" Is more than KP_Prev by KP Type"&amp;CHAR(10),""),IF(R24&lt;(R29+R30+R31)," * KP_Prev By status PWID"&amp;$R$19&amp;" "&amp;$R$20&amp;" Is more than KP_Prev by KP Type"&amp;CHAR(10),""),IF(S24&lt;(S29+S30+S31)," * KP_Prev By status PWID"&amp;$R$19&amp;" "&amp;$S$20&amp;" Is more than KP_Prev by KP Type"&amp;CHAR(10),""),IF(T24&lt;(T29+T30+T31)," * KP_Prev By status PWID"&amp;$T$19&amp;" "&amp;$T$20&amp;" Is more than KP_Prev by KP Type"&amp;CHAR(10),""),IF(U24&lt;(U29+U30+U31)," * KP_Prev By status PWID"&amp;$T$19&amp;" "&amp;$U$20&amp;" Is more than KP_Prev by KP Type"&amp;CHAR(10),""),IF(V24&lt;(V29+V30+V31)," * KP_Prev By status PWID"&amp;$V$19&amp;" "&amp;$V$20&amp;" Is more than KP_Prev by KP Type"&amp;CHAR(10),""),IF(W24&lt;(W29+W30+W31)," * KP_Prev By status PWID"&amp;$V$19&amp;" "&amp;$W$20&amp;" Is more than KP_Prev by KP Type"&amp;CHAR(10),""),IF(X24&lt;(X29+X30+X31)," * KP_Prev By status PWID"&amp;$X$19&amp;" "&amp;$X$20&amp;" Is more than KP_Prev by KP Type"&amp;CHAR(10),""),IF(Y24&lt;(Y29+Y30+Y31)," * KP_Prev By status PWID"&amp;$X$19&amp;" "&amp;$Y$20&amp;" Is more than KP_Prev by KP Type"&amp;CHAR(10),""),IF(Z24&lt;(Z29+Z30+Z31)," * KP_Prev By status PWID"&amp;$Z$19&amp;" "&amp;$Z$20&amp;" Is more than KP_Prev by KP Type"&amp;CHAR(10),""),IF(AA24&lt;(AA29+AA30+AA31)," * KP_Prev By status PWID"&amp;$Z$19&amp;" "&amp;$AA$20&amp;" Is more than KP_Prev by KP Type"&amp;CHAR(10),""))</f>
        <v/>
      </c>
      <c r="AD24" s="674" t="str">
        <f>CONCATENATE(AC24,AC25,AC26,AC27,AC28,AC29,AC30,AC31,AC32,AC33,AC35,AC37,AC40,AC42,AC43,AC41,AC39)</f>
        <v/>
      </c>
      <c r="AE24" s="168"/>
      <c r="AF24" s="671" t="str">
        <f>CONCATENATE(AE24,AE25,AE26,AE27,AE28,AE29,AE30,AE31,AE32,AE33,AE34,AE35,AE36,AE37,AE38,AE39,AE40,AE41,AE42,AE43)</f>
        <v/>
      </c>
      <c r="AG24" s="158">
        <v>21</v>
      </c>
    </row>
    <row r="25" spans="1:33" s="4" customFormat="1" ht="53.25" customHeight="1">
      <c r="A25" s="832"/>
      <c r="B25" s="169" t="s">
        <v>76</v>
      </c>
      <c r="C25" s="547" t="s">
        <v>80</v>
      </c>
      <c r="D25" s="289"/>
      <c r="E25" s="163"/>
      <c r="F25" s="162"/>
      <c r="G25" s="163"/>
      <c r="H25" s="162"/>
      <c r="I25" s="163"/>
      <c r="J25" s="162"/>
      <c r="K25" s="192"/>
      <c r="L25" s="882">
        <f>SUM(L32:L34)</f>
        <v>0</v>
      </c>
      <c r="M25" s="344"/>
      <c r="N25" s="882">
        <f>SUM(N32:N34)</f>
        <v>0</v>
      </c>
      <c r="O25" s="344"/>
      <c r="P25" s="882">
        <f>SUM(P32:P34)</f>
        <v>0</v>
      </c>
      <c r="Q25" s="344"/>
      <c r="R25" s="882">
        <f>SUM(R32:R34)</f>
        <v>0</v>
      </c>
      <c r="S25" s="344"/>
      <c r="T25" s="882">
        <f>SUM(T32:T34)</f>
        <v>0</v>
      </c>
      <c r="U25" s="344"/>
      <c r="V25" s="882">
        <f>SUM(V32:V34)</f>
        <v>0</v>
      </c>
      <c r="W25" s="344"/>
      <c r="X25" s="882">
        <f>SUM(X32:X34)</f>
        <v>0</v>
      </c>
      <c r="Y25" s="344"/>
      <c r="Z25" s="882">
        <f>SUM(Z32:Z34)</f>
        <v>0</v>
      </c>
      <c r="AA25" s="352"/>
      <c r="AB25" s="556">
        <f>SUM(D25:AA25)</f>
        <v>0</v>
      </c>
      <c r="AC25" s="167" t="str">
        <f>CONCATENATE(IF(D25&lt;(D32+D33+D34)," * KP_Prev By status MSM"&amp;$D$19&amp;" "&amp;$D$20&amp;" Is more than KP_Prev by KP Type"&amp;CHAR(10),""),IF(E25&lt;(E32+E33+E34)," * KP_Prev By status MSM"&amp;$D$19&amp;" "&amp;$E$20&amp;" Is more than KP_Prev by KP Type"&amp;CHAR(10),""),IF(F25&lt;(F32+F33+F34)," * KP_Prev By status MSM"&amp;$F$19&amp;" "&amp;$F$20&amp;" Is more than KP_Prev by KP Type"&amp;CHAR(10),""),IF(G25&lt;(G32+G33+G34)," * KP_Prev By status MSM"&amp;$F$19&amp;" "&amp;$G$20&amp;" Is more than KP_Prev by KP Type"&amp;CHAR(10),""),IF(H25&lt;(H32+H33+H34)," * KP_Prev By status MSM"&amp;$H$19&amp;" "&amp;$H$20&amp;" Is more than KP_Prev by KP Type"&amp;CHAR(10),""),IF(I25&lt;(I32+I33+I34)," * KP_Prev By status MSM"&amp;$H$19&amp;" "&amp;$I$20&amp;" Is more than KP_Prev by KP Type"&amp;CHAR(10),""),IF(J25&lt;(J32+J33+J34)," * KP_Prev By status MSM"&amp;$J$19&amp;" "&amp;$J$20&amp;" Is more than KP_Prev by KP Type"&amp;CHAR(10),""),IF(K25&lt;(K32+K33+K34)," * KP_Prev By status MSM"&amp;$J$19&amp;" "&amp;$K$20&amp;" Is more than KP_Prev by KP Type"&amp;CHAR(10),""),IF(L25&lt;(L32+L33+L34)," * KP_Prev By status MSM"&amp;$L$19&amp;" "&amp;$L$20&amp;" Is more than KP_Prev by KP Type"&amp;CHAR(10),""),IF(M25&lt;(M32+M33+M34)," * KP_Prev By status MSM"&amp;$L$19&amp;" "&amp;$M$20&amp;" Is more than KP_Prev by KP Type"&amp;CHAR(10),""),IF(N25&lt;(N32+N33+N34)," * KP_Prev By status MSM"&amp;$N$19&amp;" "&amp;$N$20&amp;" Is more than KP_Prev by KP Type"&amp;CHAR(10),""),IF(O25&lt;(O32+O33+O34)," * KP_Prev By status MSM"&amp;$N$19&amp;" "&amp;$O$20&amp;" Is more than KP_Prev by KP Type"&amp;CHAR(10),""),IF(P25&lt;(P32+P33+P34)," * KP_Prev By status MSM"&amp;$P$19&amp;" "&amp;$P$20&amp;" Is more than KP_Prev by KP Type"&amp;CHAR(10),""),IF(Q25&lt;(Q32+Q33+Q34)," * KP_Prev By status MSM"&amp;$P$19&amp;" "&amp;$Q$20&amp;" Is more than KP_Prev by KP Type"&amp;CHAR(10),""),IF(R25&lt;(R32+R33+R34)," * KP_Prev By status MSM"&amp;$R$19&amp;" "&amp;$R$20&amp;" Is more than KP_Prev by KP Type"&amp;CHAR(10),""),IF(S25&lt;(S32+S33+S34)," * KP_Prev By status MSM"&amp;$R$19&amp;" "&amp;$S$20&amp;" Is more than KP_Prev by KP Type"&amp;CHAR(10),""),IF(T25&lt;(T32+T33+T34)," * KP_Prev By status MSM"&amp;$T$19&amp;" "&amp;$T$20&amp;" Is more than KP_Prev by KP Type"&amp;CHAR(10),""),IF(U25&lt;(U32+U33+U34)," * KP_Prev By status MSM"&amp;$T$19&amp;" "&amp;$U$20&amp;" Is more than KP_Prev by KP Type"&amp;CHAR(10),""),IF(V25&lt;(V32+V33+V34)," * KP_Prev By status MSM"&amp;$V$19&amp;" "&amp;$V$20&amp;" Is more than KP_Prev by KP Type"&amp;CHAR(10),""),IF(W25&lt;(W32+W33+W34)," * KP_Prev By status MSM"&amp;$V$19&amp;" "&amp;$W$20&amp;" Is more than KP_Prev by KP Type"&amp;CHAR(10),""),IF(X25&lt;(X32+X33+X34)," * KP_Prev By status MSM"&amp;$X$19&amp;" "&amp;$X$20&amp;" Is more than KP_Prev by KP Type"&amp;CHAR(10),""),IF(Y25&lt;(Y32+Y33+Y34)," * KP_Prev By status MSM"&amp;$X$19&amp;" "&amp;$Y$20&amp;" Is more than KP_Prev by KP Type"&amp;CHAR(10),""),IF(Z25&lt;(Z32+Z33+Z34)," * KP_Prev By status MSM"&amp;$Z$19&amp;" "&amp;$Z$20&amp;" Is more than KP_Prev by KP Type"&amp;CHAR(10),""),IF(AA25&lt;(AA32+AA33+AA34)," * KP_Prev By status MSM"&amp;$Z$19&amp;" "&amp;$AA$20&amp;" Is more than KP_Prev by KP Type"&amp;CHAR(10),""))</f>
        <v/>
      </c>
      <c r="AD25" s="675"/>
      <c r="AE25" s="171"/>
      <c r="AF25" s="672"/>
      <c r="AG25" s="158">
        <v>22</v>
      </c>
    </row>
    <row r="26" spans="1:33" s="4" customFormat="1" ht="53.25" customHeight="1">
      <c r="A26" s="832"/>
      <c r="B26" s="169" t="s">
        <v>421</v>
      </c>
      <c r="C26" s="547" t="s">
        <v>81</v>
      </c>
      <c r="D26" s="289"/>
      <c r="E26" s="163"/>
      <c r="F26" s="162"/>
      <c r="G26" s="163"/>
      <c r="H26" s="162"/>
      <c r="I26" s="163"/>
      <c r="J26" s="162"/>
      <c r="K26" s="192"/>
      <c r="L26" s="344"/>
      <c r="M26" s="344"/>
      <c r="N26" s="344"/>
      <c r="O26" s="344"/>
      <c r="P26" s="344"/>
      <c r="Q26" s="344"/>
      <c r="R26" s="344"/>
      <c r="S26" s="344"/>
      <c r="T26" s="344"/>
      <c r="U26" s="344"/>
      <c r="V26" s="344"/>
      <c r="W26" s="344"/>
      <c r="X26" s="344"/>
      <c r="Y26" s="344"/>
      <c r="Z26" s="344"/>
      <c r="AA26" s="352"/>
      <c r="AB26" s="884">
        <f>SUM(AB35:AB37)</f>
        <v>0</v>
      </c>
      <c r="AC26" s="172" t="str">
        <f>CONCATENATE(IF(D26&lt;(D35+D36+D37)," * KP_Prev By status Transgender People"&amp;$D$19&amp;" "&amp;$D$20&amp;" Is more than KP_Prev by KP Type"&amp;CHAR(10),""),IF(E26&lt;(E35+E36+E37)," * KP_Prev By status Transgender People"&amp;$D$19&amp;" "&amp;$E$20&amp;" Is more than KP_Prev by KP Type"&amp;CHAR(10),""),IF(F26&lt;(F35+F36+F37)," * KP_Prev By status Transgender People"&amp;$F$19&amp;" "&amp;$F$20&amp;" Is more than KP_Prev by KP Type"&amp;CHAR(10),""),IF(G26&lt;(G35+G36+G37)," * KP_Prev By status Transgender People"&amp;$F$19&amp;" "&amp;$G$20&amp;" Is more than KP_Prev by KP Type"&amp;CHAR(10),""),IF(H26&lt;(H35+H36+H37)," * KP_Prev By status Transgender People"&amp;$H$19&amp;" "&amp;$H$20&amp;" Is more than KP_Prev by KP Type"&amp;CHAR(10),""),IF(I26&lt;(I35+I36+I37)," * KP_Prev By status Transgender People"&amp;$H$19&amp;" "&amp;$I$20&amp;" Is more than KP_Prev by KP Type"&amp;CHAR(10),""),IF(J26&lt;(J35+J36+J37)," * KP_Prev By status Transgender People"&amp;$J$19&amp;" "&amp;$J$20&amp;" Is more than KP_Prev by KP Type"&amp;CHAR(10),""),IF(K26&lt;(K35+K36+K37)," * KP_Prev By status Transgender People"&amp;$J$19&amp;" "&amp;$K$20&amp;" Is more than KP_Prev by KP Type"&amp;CHAR(10),""),IF(L26&lt;(L35+L36+L37)," * KP_Prev By status Transgender People"&amp;$L$19&amp;" "&amp;$L$20&amp;" Is more than KP_Prev by KP Type"&amp;CHAR(10),""),IF(M26&lt;(M35+M36+M37)," * KP_Prev By status Transgender People"&amp;$L$19&amp;" "&amp;$M$20&amp;" Is more than KP_Prev by KP Type"&amp;CHAR(10),""),IF(N26&lt;(N35+N36+N37)," * KP_Prev By status Transgender People"&amp;$N$19&amp;" "&amp;$N$20&amp;" Is more than KP_Prev by KP Type"&amp;CHAR(10),""),IF(O26&lt;(O35+O36+O37)," * KP_Prev By status Transgender People"&amp;$N$19&amp;" "&amp;$O$20&amp;" Is more than KP_Prev by KP Type"&amp;CHAR(10),""),IF(P26&lt;(P35+P36+P37)," * KP_Prev By status Transgender People"&amp;$P$19&amp;" "&amp;$P$20&amp;" Is more than KP_Prev by KP Type"&amp;CHAR(10),""),IF(Q26&lt;(Q35+Q36+Q37)," * KP_Prev By status Transgender People"&amp;$P$19&amp;" "&amp;$Q$20&amp;" Is more than KP_Prev by KP Type"&amp;CHAR(10),""),IF(R26&lt;(R35+R36+R37)," * KP_Prev By status Transgender People"&amp;$R$19&amp;" "&amp;$R$20&amp;" Is more than KP_Prev by KP Type"&amp;CHAR(10),""),IF(S26&lt;(S35+S36+S37)," * KP_Prev By status Transgender People"&amp;$R$19&amp;" "&amp;$S$20&amp;" Is more than KP_Prev by KP Type"&amp;CHAR(10),""),IF(T26&lt;(T35+T36+T37)," * KP_Prev By status Transgender People"&amp;$T$19&amp;" "&amp;$T$20&amp;" Is more than KP_Prev by KP Type"&amp;CHAR(10),""),IF(U26&lt;(U35+U36+U37)," * KP_Prev By status Transgender People"&amp;$T$19&amp;" "&amp;$U$20&amp;" Is more than KP_Prev by KP Type"&amp;CHAR(10),""),IF(V26&lt;(V35+V36+V37)," * KP_Prev By status Transgender People"&amp;$V$19&amp;" "&amp;$V$20&amp;" Is more than KP_Prev by KP Type"&amp;CHAR(10),""),IF(W26&lt;(W35+W36+W37)," * KP_Prev By status Transgender People"&amp;$V$19&amp;" "&amp;$W$20&amp;" Is more than KP_Prev by KP Type"&amp;CHAR(10),""),IF(X26&lt;(X35+X36+X37)," * KP_Prev By status Transgender People"&amp;$X$19&amp;" "&amp;$X$20&amp;" Is more than KP_Prev by KP Type"&amp;CHAR(10),""),IF(Y26&lt;(Y35+Y36+Y37)," * KP_Prev By status Transgender People"&amp;$X$19&amp;" "&amp;$Y$20&amp;" Is more than KP_Prev by KP Type"&amp;CHAR(10),""),IF(Z26&lt;(Z35+Z36+Z37)," * KP_Prev By status Transgender People"&amp;$Z$19&amp;" "&amp;$Z$20&amp;" Is more than KP_Prev by KP Type"&amp;CHAR(10),""),IF(AA26&lt;(AA35+AA36+AA37)," * KP_Prev By status Transgender People"&amp;$Z$19&amp;" "&amp;$AA$20&amp;" Is more than KP_Prev by KP Type"&amp;CHAR(10),""),IF(AB26&lt;(AB35+AB36+AB37)," * KP_Prev By status Transgender People "&amp;$AB$19&amp;" Is more than KP_Prev by KP Type"&amp;CHAR(10),""))</f>
        <v/>
      </c>
      <c r="AD26" s="675"/>
      <c r="AE26" s="173"/>
      <c r="AF26" s="672"/>
      <c r="AG26" s="158">
        <v>23</v>
      </c>
    </row>
    <row r="27" spans="1:33" s="4" customFormat="1" ht="53.25" customHeight="1">
      <c r="A27" s="832"/>
      <c r="B27" s="169" t="s">
        <v>78</v>
      </c>
      <c r="C27" s="547" t="s">
        <v>82</v>
      </c>
      <c r="D27" s="289"/>
      <c r="E27" s="163"/>
      <c r="F27" s="162"/>
      <c r="G27" s="163"/>
      <c r="H27" s="162"/>
      <c r="I27" s="163"/>
      <c r="J27" s="162"/>
      <c r="K27" s="192"/>
      <c r="L27" s="344"/>
      <c r="M27" s="882">
        <f>SUM(M38:M40)</f>
        <v>0</v>
      </c>
      <c r="N27" s="344"/>
      <c r="O27" s="882">
        <f>SUM(O38:O40)</f>
        <v>0</v>
      </c>
      <c r="P27" s="344"/>
      <c r="Q27" s="882">
        <f>SUM(Q38:Q40)</f>
        <v>0</v>
      </c>
      <c r="R27" s="344"/>
      <c r="S27" s="882">
        <f>SUM(S38:S40)</f>
        <v>0</v>
      </c>
      <c r="T27" s="344"/>
      <c r="U27" s="882">
        <f>SUM(U38:U40)</f>
        <v>0</v>
      </c>
      <c r="V27" s="344"/>
      <c r="W27" s="882">
        <f>SUM(W38:W40)</f>
        <v>0</v>
      </c>
      <c r="X27" s="344"/>
      <c r="Y27" s="882">
        <f>SUM(Y38:Y40)</f>
        <v>0</v>
      </c>
      <c r="Z27" s="344"/>
      <c r="AA27" s="882">
        <f>SUM(AA38:AA40)</f>
        <v>0</v>
      </c>
      <c r="AB27" s="556">
        <f>SUM(D27:AA27)</f>
        <v>0</v>
      </c>
      <c r="AC27" s="550" t="str">
        <f>CONCATENATE(IF(D27&lt;(D38+D39+D40)," * KP_Prev By status FSW"&amp;$D$19&amp;" "&amp;$D$20&amp;" Is more than KP_Prev by KP Type"&amp;CHAR(10),""),IF(E27&lt;(E38+E39+E40)," * KP_Prev By status FSW"&amp;$D$19&amp;" "&amp;$E$20&amp;" Is more than KP_Prev by KP Type"&amp;CHAR(10),""),IF(F27&lt;(F38+F39+F40)," * KP_Prev By status FSW"&amp;$F$19&amp;" "&amp;$F$20&amp;" Is more than KP_Prev by KP Type"&amp;CHAR(10),""),IF(G27&lt;(G38+G39+G40)," * KP_Prev By status FSW"&amp;$F$19&amp;" "&amp;$G$20&amp;" Is more than KP_Prev by KP Type"&amp;CHAR(10),""),IF(H27&lt;(H38+H39+H40)," * KP_Prev By status FSW"&amp;$H$19&amp;" "&amp;$H$20&amp;" Is more than KP_Prev by KP Type"&amp;CHAR(10),""),IF(I27&lt;(I38+I39+I40)," * KP_Prev By status FSW"&amp;$H$19&amp;" "&amp;$I$20&amp;" Is more than KP_Prev by KP Type"&amp;CHAR(10),""),IF(J27&lt;(J38+J39+J40)," * KP_Prev By status FSW"&amp;$J$19&amp;" "&amp;$J$20&amp;" Is more than KP_Prev by KP Type"&amp;CHAR(10),""),IF(K27&lt;(K38+K39+K40)," * KP_Prev By status FSW"&amp;$J$19&amp;" "&amp;$K$20&amp;" Is more than KP_Prev by KP Type"&amp;CHAR(10),""),IF(L27&lt;(L38+L39+L40)," * KP_Prev By status FSW"&amp;$L$19&amp;" "&amp;$L$20&amp;" Is more than KP_Prev by KP Type"&amp;CHAR(10),""),IF(M27&lt;(M38+M39+M40)," * KP_Prev By status FSW"&amp;$L$19&amp;" "&amp;$M$20&amp;" Is more than KP_Prev by KP Type"&amp;CHAR(10),""),IF(N27&lt;(N38+N39+N40)," * KP_Prev By status FSW"&amp;$N$19&amp;" "&amp;$N$20&amp;" Is more than KP_Prev by KP Type"&amp;CHAR(10),""),IF(O27&lt;(O38+O39+O40)," * KP_Prev By status FSW"&amp;$N$19&amp;" "&amp;$O$20&amp;" Is more than KP_Prev by KP Type"&amp;CHAR(10),""),IF(P27&lt;(P38+P39+P40)," * KP_Prev By status FSW"&amp;$P$19&amp;" "&amp;$P$20&amp;" Is more than KP_Prev by KP Type"&amp;CHAR(10),""),IF(Q27&lt;(Q38+Q39+Q40)," * KP_Prev By status FSW"&amp;$P$19&amp;" "&amp;$Q$20&amp;" Is more than KP_Prev by KP Type"&amp;CHAR(10),""),IF(R27&lt;(R38+R39+R40)," * KP_Prev By status FSW"&amp;$R$19&amp;" "&amp;$R$20&amp;" Is more than KP_Prev by KP Type"&amp;CHAR(10),""),IF(S27&lt;(S38+S39+S40)," * KP_Prev By status FSW"&amp;$R$19&amp;" "&amp;$S$20&amp;" Is more than KP_Prev by KP Type"&amp;CHAR(10),""),IF(T27&lt;(T38+T39+T40)," * KP_Prev By status FSW"&amp;$T$19&amp;" "&amp;$T$20&amp;" Is more than KP_Prev by KP Type"&amp;CHAR(10),""),IF(U27&lt;(U38+U39+U40)," * KP_Prev By status FSW"&amp;$T$19&amp;" "&amp;$U$20&amp;" Is more than KP_Prev by KP Type"&amp;CHAR(10),""),IF(V27&lt;(V38+V39+V40)," * KP_Prev By status FSW"&amp;$V$19&amp;" "&amp;$V$20&amp;" Is more than KP_Prev by KP Type"&amp;CHAR(10),""),IF(W27&lt;(W38+W39+W40)," * KP_Prev By status FSW"&amp;$V$19&amp;" "&amp;$W$20&amp;" Is more than KP_Prev by KP Type"&amp;CHAR(10),""),IF(X27&lt;(X38+X39+X40)," * KP_Prev By status FSW"&amp;$X$19&amp;" "&amp;$X$20&amp;" Is more than KP_Prev by KP Type"&amp;CHAR(10),""),IF(Y27&lt;(Y38+Y39+Y40)," * KP_Prev By status FSW"&amp;$X$19&amp;" "&amp;$Y$20&amp;" Is more than KP_Prev by KP Type"&amp;CHAR(10),""),IF(Z27&lt;(Z38+Z39+Z40)," * KP_Prev By status FSW"&amp;$Z$19&amp;" "&amp;$Z$20&amp;" Is more than KP_Prev by KP Type"&amp;CHAR(10),""),IF(AA27&lt;(AA38+AA39+AA40)," * KP_Prev By status FSW"&amp;$Z$19&amp;" "&amp;$AA$20&amp;" Is more than KP_Prev by KP Type"&amp;CHAR(10),""))</f>
        <v/>
      </c>
      <c r="AD27" s="675"/>
      <c r="AE27" s="171"/>
      <c r="AF27" s="672"/>
      <c r="AG27" s="158">
        <v>24</v>
      </c>
    </row>
    <row r="28" spans="1:33" s="4" customFormat="1" ht="53.25" customHeight="1" thickBot="1">
      <c r="A28" s="833"/>
      <c r="B28" s="175" t="s">
        <v>34</v>
      </c>
      <c r="C28" s="546" t="s">
        <v>83</v>
      </c>
      <c r="D28" s="291"/>
      <c r="E28" s="178"/>
      <c r="F28" s="177"/>
      <c r="G28" s="178"/>
      <c r="H28" s="177"/>
      <c r="I28" s="178"/>
      <c r="J28" s="177"/>
      <c r="K28" s="213"/>
      <c r="L28" s="883">
        <f>SUM(L41:L43)</f>
        <v>0</v>
      </c>
      <c r="M28" s="883">
        <f t="shared" ref="M28:AA28" si="6">SUM(M41:M43)</f>
        <v>0</v>
      </c>
      <c r="N28" s="883">
        <f t="shared" si="6"/>
        <v>0</v>
      </c>
      <c r="O28" s="883">
        <f t="shared" si="6"/>
        <v>0</v>
      </c>
      <c r="P28" s="883">
        <f t="shared" si="6"/>
        <v>0</v>
      </c>
      <c r="Q28" s="883">
        <f t="shared" si="6"/>
        <v>0</v>
      </c>
      <c r="R28" s="883">
        <f t="shared" si="6"/>
        <v>0</v>
      </c>
      <c r="S28" s="883">
        <f t="shared" si="6"/>
        <v>0</v>
      </c>
      <c r="T28" s="883">
        <f t="shared" si="6"/>
        <v>0</v>
      </c>
      <c r="U28" s="883">
        <f t="shared" si="6"/>
        <v>0</v>
      </c>
      <c r="V28" s="883">
        <f t="shared" si="6"/>
        <v>0</v>
      </c>
      <c r="W28" s="883">
        <f t="shared" si="6"/>
        <v>0</v>
      </c>
      <c r="X28" s="883">
        <f t="shared" si="6"/>
        <v>0</v>
      </c>
      <c r="Y28" s="883">
        <f t="shared" si="6"/>
        <v>0</v>
      </c>
      <c r="Z28" s="883">
        <f t="shared" si="6"/>
        <v>0</v>
      </c>
      <c r="AA28" s="883">
        <f t="shared" si="6"/>
        <v>0</v>
      </c>
      <c r="AB28" s="557">
        <f>SUM(D28:AA28)</f>
        <v>0</v>
      </c>
      <c r="AC28" s="551" t="str">
        <f>CONCATENATE(IF(D28&lt;(D41+D42+D43)," * KP_Prev By status People in Prison"&amp;$D$19&amp;" "&amp;$D$20&amp;" Is more than KP_Prev by KP Type"&amp;CHAR(10),""),IF(E28&lt;(E41+E42+E43)," * KP_Prev By status People in Prison"&amp;$D$19&amp;" "&amp;$E$20&amp;" Is more than KP_Prev by KP Type"&amp;CHAR(10),""),IF(F28&lt;(F41+F42+F43)," * KP_Prev By status People in Prison"&amp;$F$19&amp;" "&amp;$F$20&amp;" Is more than KP_Prev by KP Type"&amp;CHAR(10),""),IF(G28&lt;(G41+G42+G43)," * KP_Prev By status People in Prison"&amp;$F$19&amp;" "&amp;$G$20&amp;" Is more than KP_Prev by KP Type"&amp;CHAR(10),""),IF(H28&lt;(H41+H42+H43)," * KP_Prev By status People in Prison"&amp;$H$19&amp;" "&amp;$H$20&amp;" Is more than KP_Prev by KP Type"&amp;CHAR(10),""),IF(I28&lt;(I41+I42+I43)," * KP_Prev By status People in Prison"&amp;$H$19&amp;" "&amp;$I$20&amp;" Is more than KP_Prev by KP Type"&amp;CHAR(10),""),IF(J28&lt;(J41+J42+J43)," * KP_Prev By status People in Prison"&amp;$J$19&amp;" "&amp;$J$20&amp;" Is more than KP_Prev by KP Type"&amp;CHAR(10),""),IF(K28&lt;(K41+K42+K43)," * KP_Prev By status People in Prison"&amp;$J$19&amp;" "&amp;$K$20&amp;" Is more than KP_Prev by KP Type"&amp;CHAR(10),""),IF(L28&lt;(L41+L42+L43)," * KP_Prev By status People in Prison"&amp;$L$19&amp;" "&amp;$L$20&amp;" Is more than KP_Prev by KP Type"&amp;CHAR(10),""),IF(M28&lt;(M41+M42+M43)," * KP_Prev By status People in Prison"&amp;$L$19&amp;" "&amp;$M$20&amp;" Is more than KP_Prev by KP Type"&amp;CHAR(10),""),IF(N28&lt;(N41+N42+N43)," * KP_Prev By status People in Prison"&amp;$N$19&amp;" "&amp;$N$20&amp;" Is more than KP_Prev by KP Type"&amp;CHAR(10),""),IF(O28&lt;(O41+O42+O43)," * KP_Prev By status People in Prison"&amp;$N$19&amp;" "&amp;$O$20&amp;" Is more than KP_Prev by KP Type"&amp;CHAR(10),""),IF(P28&lt;(P41+P42+P43)," * KP_Prev By status People in Prison"&amp;$P$19&amp;" "&amp;$P$20&amp;" Is more than KP_Prev by KP Type"&amp;CHAR(10),""),IF(Q28&lt;(Q41+Q42+Q43)," * KP_Prev By status People in Prison"&amp;$P$19&amp;" "&amp;$Q$20&amp;" Is more than KP_Prev by KP Type"&amp;CHAR(10),""),IF(R28&lt;(R41+R42+R43)," * KP_Prev By status People in Prison"&amp;$R$19&amp;" "&amp;$R$20&amp;" Is more than KP_Prev by KP Type"&amp;CHAR(10),""),IF(S28&lt;(S41+S42+S43)," * KP_Prev By status People in Prison"&amp;$R$19&amp;" "&amp;$S$20&amp;" Is more than KP_Prev by KP Type"&amp;CHAR(10),""),IF(T28&lt;(T41+T42+T43)," * KP_Prev By status People in Prison"&amp;$T$19&amp;" "&amp;$T$20&amp;" Is more than KP_Prev by KP Type"&amp;CHAR(10),""),IF(U28&lt;(U41+U42+U43)," * KP_Prev By status People in Prison"&amp;$T$19&amp;" "&amp;$U$20&amp;" Is more than KP_Prev by KP Type"&amp;CHAR(10),""),IF(V28&lt;(V41+V42+V43)," * KP_Prev By status People in Prison"&amp;$V$19&amp;" "&amp;$V$20&amp;" Is more than KP_Prev by KP Type"&amp;CHAR(10),""),IF(W28&lt;(W41+W42+W43)," * KP_Prev By status People in Prison"&amp;$V$19&amp;" "&amp;$W$20&amp;" Is more than KP_Prev by KP Type"&amp;CHAR(10),""),IF(X28&lt;(X41+X42+X43)," * KP_Prev By status People in Prison"&amp;$X$19&amp;" "&amp;$X$20&amp;" Is more than KP_Prev by KP Type"&amp;CHAR(10),""),IF(Y28&lt;(Y41+Y42+Y43)," * KP_Prev By status People in Prison"&amp;$X$19&amp;" "&amp;$Y$20&amp;" Is more than KP_Prev by KP Type"&amp;CHAR(10),""),IF(Z28&lt;(Z41+Z42+Z43)," * KP_Prev By status People in Prison"&amp;$Z$19&amp;" "&amp;$Z$20&amp;" Is more than KP_Prev by KP Type"&amp;CHAR(10),""),IF(AA28&lt;(AA41+AA42+AA43)," * KP_Prev By status People in Prison"&amp;$Z$19&amp;" "&amp;$AA$20&amp;" Is more than KP_Prev by KP Type"&amp;CHAR(10),""))</f>
        <v/>
      </c>
      <c r="AD28" s="675"/>
      <c r="AE28" s="171"/>
      <c r="AF28" s="672"/>
      <c r="AG28" s="158">
        <v>25</v>
      </c>
    </row>
    <row r="29" spans="1:33" s="4" customFormat="1" ht="53.25" customHeight="1">
      <c r="A29" s="834" t="s">
        <v>771</v>
      </c>
      <c r="B29" s="181" t="s">
        <v>21</v>
      </c>
      <c r="C29" s="545" t="s">
        <v>84</v>
      </c>
      <c r="D29" s="162"/>
      <c r="E29" s="163"/>
      <c r="F29" s="162"/>
      <c r="G29" s="163"/>
      <c r="H29" s="162"/>
      <c r="I29" s="163"/>
      <c r="J29" s="162"/>
      <c r="K29" s="164"/>
      <c r="L29" s="215"/>
      <c r="M29" s="215"/>
      <c r="N29" s="215"/>
      <c r="O29" s="215"/>
      <c r="P29" s="215"/>
      <c r="Q29" s="215"/>
      <c r="R29" s="215"/>
      <c r="S29" s="215"/>
      <c r="T29" s="215"/>
      <c r="U29" s="215"/>
      <c r="V29" s="215"/>
      <c r="W29" s="215"/>
      <c r="X29" s="215"/>
      <c r="Y29" s="215"/>
      <c r="Z29" s="215"/>
      <c r="AA29" s="215"/>
      <c r="AB29" s="553">
        <f>SUM(D29:AA29)</f>
        <v>0</v>
      </c>
      <c r="AC29" s="180"/>
      <c r="AD29" s="675"/>
      <c r="AE29" s="171"/>
      <c r="AF29" s="672"/>
      <c r="AG29" s="158">
        <v>26</v>
      </c>
    </row>
    <row r="30" spans="1:33" s="4" customFormat="1" ht="53.25" customHeight="1">
      <c r="A30" s="835"/>
      <c r="B30" s="186" t="s">
        <v>631</v>
      </c>
      <c r="C30" s="547" t="s">
        <v>85</v>
      </c>
      <c r="D30" s="162"/>
      <c r="E30" s="163"/>
      <c r="F30" s="162"/>
      <c r="G30" s="163"/>
      <c r="H30" s="162"/>
      <c r="I30" s="163"/>
      <c r="J30" s="162"/>
      <c r="K30" s="164"/>
      <c r="L30" s="187"/>
      <c r="M30" s="187"/>
      <c r="N30" s="187"/>
      <c r="O30" s="187"/>
      <c r="P30" s="187"/>
      <c r="Q30" s="187"/>
      <c r="R30" s="187"/>
      <c r="S30" s="187"/>
      <c r="T30" s="187"/>
      <c r="U30" s="187"/>
      <c r="V30" s="187"/>
      <c r="W30" s="187"/>
      <c r="X30" s="187"/>
      <c r="Y30" s="187"/>
      <c r="Z30" s="187"/>
      <c r="AA30" s="187"/>
      <c r="AB30" s="188">
        <f t="shared" ref="AB30:AB43" si="7">SUM(D30:AA30)</f>
        <v>0</v>
      </c>
      <c r="AC30" s="174"/>
      <c r="AD30" s="675"/>
      <c r="AE30" s="171"/>
      <c r="AF30" s="672"/>
      <c r="AG30" s="158">
        <v>27</v>
      </c>
    </row>
    <row r="31" spans="1:33" s="4" customFormat="1" ht="53.25" customHeight="1" thickBot="1">
      <c r="A31" s="836"/>
      <c r="B31" s="189" t="s">
        <v>632</v>
      </c>
      <c r="C31" s="546" t="s">
        <v>86</v>
      </c>
      <c r="D31" s="177"/>
      <c r="E31" s="178"/>
      <c r="F31" s="177"/>
      <c r="G31" s="178"/>
      <c r="H31" s="177"/>
      <c r="I31" s="178"/>
      <c r="J31" s="177"/>
      <c r="K31" s="179"/>
      <c r="L31" s="190"/>
      <c r="M31" s="190"/>
      <c r="N31" s="190"/>
      <c r="O31" s="190"/>
      <c r="P31" s="190"/>
      <c r="Q31" s="190"/>
      <c r="R31" s="190"/>
      <c r="S31" s="190"/>
      <c r="T31" s="190"/>
      <c r="U31" s="190"/>
      <c r="V31" s="190"/>
      <c r="W31" s="190"/>
      <c r="X31" s="190"/>
      <c r="Y31" s="190"/>
      <c r="Z31" s="190"/>
      <c r="AA31" s="190"/>
      <c r="AB31" s="191">
        <f t="shared" si="7"/>
        <v>0</v>
      </c>
      <c r="AC31" s="174"/>
      <c r="AD31" s="675"/>
      <c r="AE31" s="171" t="str">
        <f>CONCATENATE(IF(AB31&gt;0," * You have patients who declined Testing on PWID Section.  "&amp;$AB$19&amp;" This needs explanation. "&amp;CHAR(10),""))</f>
        <v/>
      </c>
      <c r="AF31" s="672"/>
      <c r="AG31" s="158">
        <v>28</v>
      </c>
    </row>
    <row r="32" spans="1:33" s="4" customFormat="1" ht="53.25" customHeight="1">
      <c r="A32" s="834" t="s">
        <v>772</v>
      </c>
      <c r="B32" s="181" t="s">
        <v>21</v>
      </c>
      <c r="C32" s="545" t="s">
        <v>87</v>
      </c>
      <c r="D32" s="182"/>
      <c r="E32" s="183"/>
      <c r="F32" s="182"/>
      <c r="G32" s="183"/>
      <c r="H32" s="182"/>
      <c r="I32" s="183"/>
      <c r="J32" s="182"/>
      <c r="K32" s="184"/>
      <c r="L32" s="165"/>
      <c r="M32" s="184"/>
      <c r="N32" s="165"/>
      <c r="O32" s="184"/>
      <c r="P32" s="165"/>
      <c r="Q32" s="184"/>
      <c r="R32" s="165"/>
      <c r="S32" s="184"/>
      <c r="T32" s="165"/>
      <c r="U32" s="184"/>
      <c r="V32" s="165"/>
      <c r="W32" s="184"/>
      <c r="X32" s="165"/>
      <c r="Y32" s="184"/>
      <c r="Z32" s="165"/>
      <c r="AA32" s="184"/>
      <c r="AB32" s="185">
        <f t="shared" si="7"/>
        <v>0</v>
      </c>
      <c r="AC32" s="174"/>
      <c r="AD32" s="675"/>
      <c r="AE32" s="171"/>
      <c r="AF32" s="672"/>
      <c r="AG32" s="158">
        <v>29</v>
      </c>
    </row>
    <row r="33" spans="1:33" s="4" customFormat="1" ht="53.25" customHeight="1">
      <c r="A33" s="835"/>
      <c r="B33" s="186" t="s">
        <v>631</v>
      </c>
      <c r="C33" s="547" t="s">
        <v>88</v>
      </c>
      <c r="D33" s="162"/>
      <c r="E33" s="163"/>
      <c r="F33" s="162"/>
      <c r="G33" s="163"/>
      <c r="H33" s="162"/>
      <c r="I33" s="163"/>
      <c r="J33" s="162"/>
      <c r="K33" s="164"/>
      <c r="L33" s="187"/>
      <c r="M33" s="164"/>
      <c r="N33" s="187"/>
      <c r="O33" s="164"/>
      <c r="P33" s="187"/>
      <c r="Q33" s="164"/>
      <c r="R33" s="187"/>
      <c r="S33" s="164"/>
      <c r="T33" s="187"/>
      <c r="U33" s="164"/>
      <c r="V33" s="187"/>
      <c r="W33" s="164"/>
      <c r="X33" s="187"/>
      <c r="Y33" s="164"/>
      <c r="Z33" s="187"/>
      <c r="AA33" s="164"/>
      <c r="AB33" s="188">
        <f t="shared" si="7"/>
        <v>0</v>
      </c>
      <c r="AC33" s="180"/>
      <c r="AD33" s="675"/>
      <c r="AE33" s="171"/>
      <c r="AF33" s="672"/>
      <c r="AG33" s="158">
        <v>30</v>
      </c>
    </row>
    <row r="34" spans="1:33" s="4" customFormat="1" ht="53.25" customHeight="1" thickBot="1">
      <c r="A34" s="836"/>
      <c r="B34" s="189" t="s">
        <v>632</v>
      </c>
      <c r="C34" s="546" t="s">
        <v>89</v>
      </c>
      <c r="D34" s="177"/>
      <c r="E34" s="178"/>
      <c r="F34" s="177"/>
      <c r="G34" s="178"/>
      <c r="H34" s="177"/>
      <c r="I34" s="178"/>
      <c r="J34" s="177"/>
      <c r="K34" s="179"/>
      <c r="L34" s="190"/>
      <c r="M34" s="179"/>
      <c r="N34" s="190"/>
      <c r="O34" s="179"/>
      <c r="P34" s="190"/>
      <c r="Q34" s="179"/>
      <c r="R34" s="190"/>
      <c r="S34" s="179"/>
      <c r="T34" s="190"/>
      <c r="U34" s="179"/>
      <c r="V34" s="190"/>
      <c r="W34" s="179"/>
      <c r="X34" s="190"/>
      <c r="Y34" s="179"/>
      <c r="Z34" s="190"/>
      <c r="AA34" s="179"/>
      <c r="AB34" s="191">
        <f t="shared" si="7"/>
        <v>0</v>
      </c>
      <c r="AC34" s="180"/>
      <c r="AD34" s="675"/>
      <c r="AE34" s="171" t="str">
        <f>CONCATENATE(IF(AB34&gt;0," * You have patients who declined Testing on MSM Section.  "&amp;$AB$19&amp;" This needs explanation. "&amp;CHAR(10),""))</f>
        <v/>
      </c>
      <c r="AF34" s="672"/>
      <c r="AG34" s="158">
        <v>31</v>
      </c>
    </row>
    <row r="35" spans="1:33" s="4" customFormat="1" ht="53.25" customHeight="1">
      <c r="A35" s="834" t="s">
        <v>775</v>
      </c>
      <c r="B35" s="181" t="s">
        <v>21</v>
      </c>
      <c r="C35" s="545" t="s">
        <v>90</v>
      </c>
      <c r="D35" s="182"/>
      <c r="E35" s="183"/>
      <c r="F35" s="182"/>
      <c r="G35" s="183"/>
      <c r="H35" s="182"/>
      <c r="I35" s="183"/>
      <c r="J35" s="182"/>
      <c r="K35" s="184"/>
      <c r="L35" s="163"/>
      <c r="M35" s="163"/>
      <c r="N35" s="163"/>
      <c r="O35" s="163"/>
      <c r="P35" s="163"/>
      <c r="Q35" s="163"/>
      <c r="R35" s="163"/>
      <c r="S35" s="163"/>
      <c r="T35" s="163"/>
      <c r="U35" s="163"/>
      <c r="V35" s="163"/>
      <c r="W35" s="163"/>
      <c r="X35" s="163"/>
      <c r="Y35" s="163"/>
      <c r="Z35" s="163"/>
      <c r="AA35" s="192"/>
      <c r="AB35" s="193"/>
      <c r="AC35" s="180"/>
      <c r="AD35" s="675"/>
      <c r="AE35" s="171"/>
      <c r="AF35" s="672"/>
      <c r="AG35" s="158">
        <v>32</v>
      </c>
    </row>
    <row r="36" spans="1:33" s="4" customFormat="1" ht="53.25" customHeight="1">
      <c r="A36" s="835" t="s">
        <v>77</v>
      </c>
      <c r="B36" s="186" t="s">
        <v>631</v>
      </c>
      <c r="C36" s="547" t="s">
        <v>91</v>
      </c>
      <c r="D36" s="162"/>
      <c r="E36" s="163"/>
      <c r="F36" s="162"/>
      <c r="G36" s="163"/>
      <c r="H36" s="162"/>
      <c r="I36" s="163"/>
      <c r="J36" s="162"/>
      <c r="K36" s="164"/>
      <c r="L36" s="163"/>
      <c r="M36" s="163"/>
      <c r="N36" s="163"/>
      <c r="O36" s="163"/>
      <c r="P36" s="163"/>
      <c r="Q36" s="163"/>
      <c r="R36" s="163"/>
      <c r="S36" s="163"/>
      <c r="T36" s="163"/>
      <c r="U36" s="163"/>
      <c r="V36" s="163"/>
      <c r="W36" s="163"/>
      <c r="X36" s="163"/>
      <c r="Y36" s="163"/>
      <c r="Z36" s="163"/>
      <c r="AA36" s="192"/>
      <c r="AB36" s="194"/>
      <c r="AC36" s="180"/>
      <c r="AD36" s="675"/>
      <c r="AE36" s="171"/>
      <c r="AF36" s="672"/>
      <c r="AG36" s="158">
        <v>33</v>
      </c>
    </row>
    <row r="37" spans="1:33" s="4" customFormat="1" ht="53.25" customHeight="1" thickBot="1">
      <c r="A37" s="836" t="s">
        <v>77</v>
      </c>
      <c r="B37" s="189" t="s">
        <v>632</v>
      </c>
      <c r="C37" s="546" t="s">
        <v>92</v>
      </c>
      <c r="D37" s="177"/>
      <c r="E37" s="178"/>
      <c r="F37" s="177"/>
      <c r="G37" s="178"/>
      <c r="H37" s="177"/>
      <c r="I37" s="178"/>
      <c r="J37" s="177"/>
      <c r="K37" s="179"/>
      <c r="L37" s="163"/>
      <c r="M37" s="163"/>
      <c r="N37" s="163"/>
      <c r="O37" s="163"/>
      <c r="P37" s="163"/>
      <c r="Q37" s="163"/>
      <c r="R37" s="163"/>
      <c r="S37" s="163"/>
      <c r="T37" s="163"/>
      <c r="U37" s="163"/>
      <c r="V37" s="163"/>
      <c r="W37" s="163"/>
      <c r="X37" s="163"/>
      <c r="Y37" s="163"/>
      <c r="Z37" s="163"/>
      <c r="AA37" s="192"/>
      <c r="AB37" s="195"/>
      <c r="AC37" s="180"/>
      <c r="AD37" s="675"/>
      <c r="AE37" s="171" t="str">
        <f>CONCATENATE(IF(AB37&gt;0," * You have patients who declined Testing on Transgender Section.  "&amp;$AB$19&amp;" This needs explanation. "&amp;CHAR(10),""))</f>
        <v/>
      </c>
      <c r="AF37" s="672"/>
      <c r="AG37" s="158">
        <v>34</v>
      </c>
    </row>
    <row r="38" spans="1:33" s="4" customFormat="1" ht="53.25" customHeight="1">
      <c r="A38" s="834" t="s">
        <v>773</v>
      </c>
      <c r="B38" s="181" t="s">
        <v>21</v>
      </c>
      <c r="C38" s="545" t="s">
        <v>93</v>
      </c>
      <c r="D38" s="182"/>
      <c r="E38" s="183"/>
      <c r="F38" s="182"/>
      <c r="G38" s="183"/>
      <c r="H38" s="182"/>
      <c r="I38" s="183"/>
      <c r="J38" s="182"/>
      <c r="K38" s="184"/>
      <c r="L38" s="184"/>
      <c r="M38" s="196"/>
      <c r="N38" s="184"/>
      <c r="O38" s="196"/>
      <c r="P38" s="184"/>
      <c r="Q38" s="196"/>
      <c r="R38" s="184"/>
      <c r="S38" s="196"/>
      <c r="T38" s="184"/>
      <c r="U38" s="196"/>
      <c r="V38" s="184"/>
      <c r="W38" s="196"/>
      <c r="X38" s="184"/>
      <c r="Y38" s="196"/>
      <c r="Z38" s="184"/>
      <c r="AA38" s="196"/>
      <c r="AB38" s="185">
        <f t="shared" si="7"/>
        <v>0</v>
      </c>
      <c r="AC38" s="180"/>
      <c r="AD38" s="675"/>
      <c r="AE38" s="171"/>
      <c r="AF38" s="672"/>
      <c r="AG38" s="158">
        <v>35</v>
      </c>
    </row>
    <row r="39" spans="1:33" s="4" customFormat="1" ht="53.25" customHeight="1">
      <c r="A39" s="835" t="s">
        <v>78</v>
      </c>
      <c r="B39" s="186" t="s">
        <v>631</v>
      </c>
      <c r="C39" s="547" t="s">
        <v>94</v>
      </c>
      <c r="D39" s="162"/>
      <c r="E39" s="163"/>
      <c r="F39" s="162"/>
      <c r="G39" s="163"/>
      <c r="H39" s="162"/>
      <c r="I39" s="163"/>
      <c r="J39" s="162"/>
      <c r="K39" s="164"/>
      <c r="L39" s="164"/>
      <c r="M39" s="197"/>
      <c r="N39" s="164"/>
      <c r="O39" s="197"/>
      <c r="P39" s="164"/>
      <c r="Q39" s="197"/>
      <c r="R39" s="164"/>
      <c r="S39" s="197"/>
      <c r="T39" s="164"/>
      <c r="U39" s="197"/>
      <c r="V39" s="164"/>
      <c r="W39" s="197"/>
      <c r="X39" s="164"/>
      <c r="Y39" s="197"/>
      <c r="Z39" s="164"/>
      <c r="AA39" s="197"/>
      <c r="AB39" s="188">
        <f t="shared" si="7"/>
        <v>0</v>
      </c>
      <c r="AC39" s="180"/>
      <c r="AD39" s="675"/>
      <c r="AE39" s="171"/>
      <c r="AF39" s="672"/>
      <c r="AG39" s="158">
        <v>36</v>
      </c>
    </row>
    <row r="40" spans="1:33" s="4" customFormat="1" ht="53.25" customHeight="1" thickBot="1">
      <c r="A40" s="836" t="s">
        <v>78</v>
      </c>
      <c r="B40" s="189" t="s">
        <v>632</v>
      </c>
      <c r="C40" s="546" t="s">
        <v>95</v>
      </c>
      <c r="D40" s="177"/>
      <c r="E40" s="178"/>
      <c r="F40" s="177"/>
      <c r="G40" s="178"/>
      <c r="H40" s="177"/>
      <c r="I40" s="178"/>
      <c r="J40" s="177"/>
      <c r="K40" s="179"/>
      <c r="L40" s="179"/>
      <c r="M40" s="198"/>
      <c r="N40" s="179"/>
      <c r="O40" s="198"/>
      <c r="P40" s="179"/>
      <c r="Q40" s="198"/>
      <c r="R40" s="179"/>
      <c r="S40" s="198"/>
      <c r="T40" s="179"/>
      <c r="U40" s="198"/>
      <c r="V40" s="179"/>
      <c r="W40" s="198"/>
      <c r="X40" s="179"/>
      <c r="Y40" s="198"/>
      <c r="Z40" s="179"/>
      <c r="AA40" s="198"/>
      <c r="AB40" s="191">
        <f t="shared" si="7"/>
        <v>0</v>
      </c>
      <c r="AC40" s="180"/>
      <c r="AD40" s="675"/>
      <c r="AE40" s="171" t="str">
        <f>CONCATENATE(IF(AB40&gt;0," * You have patients who declined Testing on FSW.  "&amp;$AB$19&amp;" This needs explanation. "&amp;CHAR(10),""))</f>
        <v/>
      </c>
      <c r="AF40" s="672"/>
      <c r="AG40" s="158">
        <v>37</v>
      </c>
    </row>
    <row r="41" spans="1:33" s="4" customFormat="1" ht="53.25" customHeight="1">
      <c r="A41" s="832" t="s">
        <v>774</v>
      </c>
      <c r="B41" s="181" t="s">
        <v>21</v>
      </c>
      <c r="C41" s="547" t="s">
        <v>96</v>
      </c>
      <c r="D41" s="182"/>
      <c r="E41" s="183"/>
      <c r="F41" s="182"/>
      <c r="G41" s="183"/>
      <c r="H41" s="182"/>
      <c r="I41" s="183"/>
      <c r="J41" s="182"/>
      <c r="K41" s="184"/>
      <c r="L41" s="165"/>
      <c r="M41" s="165"/>
      <c r="N41" s="165"/>
      <c r="O41" s="165"/>
      <c r="P41" s="165"/>
      <c r="Q41" s="165"/>
      <c r="R41" s="165"/>
      <c r="S41" s="165"/>
      <c r="T41" s="165"/>
      <c r="U41" s="165"/>
      <c r="V41" s="165"/>
      <c r="W41" s="165"/>
      <c r="X41" s="165"/>
      <c r="Y41" s="165"/>
      <c r="Z41" s="165"/>
      <c r="AA41" s="165"/>
      <c r="AB41" s="185">
        <f t="shared" si="7"/>
        <v>0</v>
      </c>
      <c r="AC41" s="180"/>
      <c r="AD41" s="675"/>
      <c r="AE41" s="171"/>
      <c r="AF41" s="672"/>
      <c r="AG41" s="158">
        <v>38</v>
      </c>
    </row>
    <row r="42" spans="1:33" s="4" customFormat="1" ht="53.25" customHeight="1">
      <c r="A42" s="832" t="s">
        <v>34</v>
      </c>
      <c r="B42" s="186" t="s">
        <v>631</v>
      </c>
      <c r="C42" s="547" t="s">
        <v>97</v>
      </c>
      <c r="D42" s="162"/>
      <c r="E42" s="163"/>
      <c r="F42" s="162"/>
      <c r="G42" s="163"/>
      <c r="H42" s="162"/>
      <c r="I42" s="163"/>
      <c r="J42" s="162"/>
      <c r="K42" s="164"/>
      <c r="L42" s="187"/>
      <c r="M42" s="187"/>
      <c r="N42" s="187"/>
      <c r="O42" s="187"/>
      <c r="P42" s="187"/>
      <c r="Q42" s="187"/>
      <c r="R42" s="187"/>
      <c r="S42" s="187"/>
      <c r="T42" s="187"/>
      <c r="U42" s="187"/>
      <c r="V42" s="187"/>
      <c r="W42" s="187"/>
      <c r="X42" s="187"/>
      <c r="Y42" s="187"/>
      <c r="Z42" s="187"/>
      <c r="AA42" s="187"/>
      <c r="AB42" s="188">
        <f t="shared" si="7"/>
        <v>0</v>
      </c>
      <c r="AC42" s="180"/>
      <c r="AD42" s="675"/>
      <c r="AE42" s="171"/>
      <c r="AF42" s="672"/>
      <c r="AG42" s="158">
        <v>39</v>
      </c>
    </row>
    <row r="43" spans="1:33" s="4" customFormat="1" ht="53.25" customHeight="1" thickBot="1">
      <c r="A43" s="833" t="s">
        <v>34</v>
      </c>
      <c r="B43" s="189" t="s">
        <v>632</v>
      </c>
      <c r="C43" s="546" t="s">
        <v>98</v>
      </c>
      <c r="D43" s="177"/>
      <c r="E43" s="178"/>
      <c r="F43" s="177"/>
      <c r="G43" s="178"/>
      <c r="H43" s="177"/>
      <c r="I43" s="178"/>
      <c r="J43" s="177"/>
      <c r="K43" s="179"/>
      <c r="L43" s="190"/>
      <c r="M43" s="190"/>
      <c r="N43" s="190"/>
      <c r="O43" s="190"/>
      <c r="P43" s="190"/>
      <c r="Q43" s="190"/>
      <c r="R43" s="190"/>
      <c r="S43" s="190"/>
      <c r="T43" s="190"/>
      <c r="U43" s="190"/>
      <c r="V43" s="190"/>
      <c r="W43" s="190"/>
      <c r="X43" s="190"/>
      <c r="Y43" s="190"/>
      <c r="Z43" s="190"/>
      <c r="AA43" s="190"/>
      <c r="AB43" s="191">
        <f t="shared" si="7"/>
        <v>0</v>
      </c>
      <c r="AC43" s="174"/>
      <c r="AD43" s="676"/>
      <c r="AE43" s="171" t="str">
        <f>CONCATENATE(IF(AB43&gt;0," * You have patients who declined Testing on People in Prison and Other enclosed settings.  "&amp;$AB$19&amp;" This needs explanation. "&amp;CHAR(10),""))</f>
        <v/>
      </c>
      <c r="AF43" s="673"/>
      <c r="AG43" s="158">
        <v>40</v>
      </c>
    </row>
    <row r="44" spans="1:33" s="370" customFormat="1" ht="53.25" customHeight="1" thickBot="1">
      <c r="A44" s="688" t="s">
        <v>1030</v>
      </c>
      <c r="B44" s="689"/>
      <c r="C44" s="690"/>
      <c r="D44" s="689"/>
      <c r="E44" s="689"/>
      <c r="F44" s="689"/>
      <c r="G44" s="689"/>
      <c r="H44" s="689"/>
      <c r="I44" s="689"/>
      <c r="J44" s="689"/>
      <c r="K44" s="689"/>
      <c r="L44" s="723"/>
      <c r="M44" s="723"/>
      <c r="N44" s="723"/>
      <c r="O44" s="723"/>
      <c r="P44" s="723"/>
      <c r="Q44" s="723"/>
      <c r="R44" s="723"/>
      <c r="S44" s="723"/>
      <c r="T44" s="723"/>
      <c r="U44" s="723"/>
      <c r="V44" s="723"/>
      <c r="W44" s="723"/>
      <c r="X44" s="723"/>
      <c r="Y44" s="723"/>
      <c r="Z44" s="723"/>
      <c r="AA44" s="723"/>
      <c r="AB44" s="692"/>
      <c r="AC44" s="689"/>
      <c r="AD44" s="689"/>
      <c r="AE44" s="689"/>
      <c r="AF44" s="848"/>
      <c r="AG44" s="369">
        <v>154</v>
      </c>
    </row>
    <row r="45" spans="1:33" s="4" customFormat="1" ht="53.25" customHeight="1">
      <c r="A45" s="857" t="s">
        <v>943</v>
      </c>
      <c r="B45" s="204" t="s">
        <v>944</v>
      </c>
      <c r="C45" s="547" t="s">
        <v>969</v>
      </c>
      <c r="D45" s="182"/>
      <c r="E45" s="183"/>
      <c r="F45" s="182"/>
      <c r="G45" s="183"/>
      <c r="H45" s="182"/>
      <c r="I45" s="183"/>
      <c r="J45" s="182"/>
      <c r="K45" s="227"/>
      <c r="L45" s="561"/>
      <c r="M45" s="562"/>
      <c r="N45" s="563"/>
      <c r="O45" s="562"/>
      <c r="P45" s="563"/>
      <c r="Q45" s="562"/>
      <c r="R45" s="563"/>
      <c r="S45" s="562"/>
      <c r="T45" s="563"/>
      <c r="U45" s="562"/>
      <c r="V45" s="563"/>
      <c r="W45" s="562"/>
      <c r="X45" s="563"/>
      <c r="Y45" s="562"/>
      <c r="Z45" s="563"/>
      <c r="AA45" s="564"/>
      <c r="AB45" s="135">
        <f>SUM(D45:AA45)</f>
        <v>0</v>
      </c>
      <c r="AC45" s="206" t="str">
        <f>CONCATENATE(IF(D55&gt;D45," * Prep SCREENED FSW "&amp;$D$19&amp;" "&amp;$D$20&amp;" is more than Prep OFFERED FSW"&amp;CHAR(10),""),IF(E55&gt;E45," * Prep SCREENED FSW "&amp;$D$19&amp;" "&amp;$E$20&amp;" is more than Prep OFFERED FSW"&amp;CHAR(10),""),IF(F55&gt;F45," * Prep SCREENED FSW "&amp;$F$19&amp;" "&amp;$F$20&amp;" is more than Prep OFFERED FSW"&amp;CHAR(10),""),IF(G55&gt;G45," * Prep SCREENED FSW "&amp;$F$19&amp;" "&amp;$G$20&amp;" is more than Prep OFFERED FSW"&amp;CHAR(10),""),IF(H55&gt;H45," * Prep SCREENED FSW "&amp;$H$19&amp;" "&amp;$H$20&amp;" is more than Prep OFFERED FSW"&amp;CHAR(10),""),IF(I55&gt;I45," * Prep SCREENED FSW "&amp;$H$19&amp;" "&amp;$I$20&amp;" is more than Prep OFFERED FSW"&amp;CHAR(10),""),IF(J55&gt;J45," * Prep SCREENED FSW "&amp;$J$19&amp;" "&amp;$J$20&amp;" is more than Prep OFFERED FSW"&amp;CHAR(10),""),IF(K55&gt;K45," * Prep SCREENED FSW "&amp;$J$19&amp;" "&amp;$K$20&amp;" is more than Prep OFFERED FSW"&amp;CHAR(10),""),IF(L55&gt;L45," * Prep SCREENED FSW "&amp;$L$19&amp;" "&amp;$L$20&amp;" is more than Prep OFFERED FSW"&amp;CHAR(10),""),IF(M55&gt;M45," * Prep SCREENED FSW "&amp;$L$19&amp;" "&amp;$M$20&amp;" is more than Prep OFFERED FSW"&amp;CHAR(10),""),IF(N55&gt;N45," * Prep SCREENED FSW "&amp;$N$19&amp;" "&amp;$N$20&amp;" is more than Prep OFFERED FSW"&amp;CHAR(10),""),IF(O55&gt;O45," * Prep SCREENED FSW "&amp;$N$19&amp;" "&amp;$O$20&amp;" is more than Prep OFFERED FSW"&amp;CHAR(10),""),IF(P55&gt;P45," * Prep SCREENED FSW "&amp;$P$19&amp;" "&amp;$P$20&amp;" is more than Prep OFFERED FSW"&amp;CHAR(10),""),IF(Q55&gt;Q45," * Prep SCREENED FSW "&amp;$P$19&amp;" "&amp;$Q$20&amp;" is more than Prep OFFERED FSW"&amp;CHAR(10),""),IF(R55&gt;R45," * Prep SCREENED FSW "&amp;$R$19&amp;" "&amp;$R$20&amp;" is more than Prep OFFERED FSW"&amp;CHAR(10),""),IF(S55&gt;S45," * Prep SCREENED FSW "&amp;$R$19&amp;" "&amp;$S$20&amp;" is more than Prep OFFERED FSW"&amp;CHAR(10),""),IF(T55&gt;T45," * Prep SCREENED FSW "&amp;$T$19&amp;" "&amp;$T$20&amp;" is more than Prep OFFERED FSW"&amp;CHAR(10),""),IF(U55&gt;U45," * Prep SCREENED FSW "&amp;$T$19&amp;" "&amp;$U$20&amp;" is more than Prep OFFERED FSW"&amp;CHAR(10),""),IF(V55&gt;V45," * Prep SCREENED FSW "&amp;$V$19&amp;" "&amp;$V$20&amp;" is more than Prep OFFERED FSW"&amp;CHAR(10),""),IF(W55&gt;W45," * Prep SCREENED FSW "&amp;$V$19&amp;" "&amp;$W$20&amp;" is more than Prep OFFERED FSW"&amp;CHAR(10),""),IF(X55&gt;X45," * Prep SCREENED FSW "&amp;$X$19&amp;" "&amp;$X$20&amp;" is more than Prep OFFERED FSW"&amp;CHAR(10),""),IF(Y55&gt;Y45," * Prep SCREENED FSW "&amp;$X$19&amp;" "&amp;$Y$20&amp;" is more than Prep OFFERED FSW"&amp;CHAR(10),""),IF(Z55&gt;Z45," * Prep SCREENED FSW "&amp;$Z$19&amp;" "&amp;$Z$20&amp;" is more than Prep OFFERED FSW"&amp;CHAR(10),""),IF(AA55&gt;AA45," * Prep SCREENED FSW "&amp;$Z$19&amp;" "&amp;$AA$20&amp;" is more than Prep OFFERED FSW"&amp;CHAR(10),""))</f>
        <v/>
      </c>
      <c r="AD45" s="674" t="str">
        <f>CONCATENATE(AC45,AC46,AC47,AC48,AC49,AC50,AC51,AC52,AC53)</f>
        <v/>
      </c>
      <c r="AE45" s="171"/>
      <c r="AF45" s="671"/>
      <c r="AG45" s="157">
        <v>156</v>
      </c>
    </row>
    <row r="46" spans="1:33" s="4" customFormat="1" ht="53.25" customHeight="1">
      <c r="A46" s="858"/>
      <c r="B46" s="207" t="s">
        <v>945</v>
      </c>
      <c r="C46" s="547" t="s">
        <v>970</v>
      </c>
      <c r="D46" s="162"/>
      <c r="E46" s="163"/>
      <c r="F46" s="162"/>
      <c r="G46" s="163"/>
      <c r="H46" s="162"/>
      <c r="I46" s="163"/>
      <c r="J46" s="162"/>
      <c r="K46" s="192"/>
      <c r="L46" s="565"/>
      <c r="M46" s="559"/>
      <c r="N46" s="560"/>
      <c r="O46" s="559"/>
      <c r="P46" s="560"/>
      <c r="Q46" s="559"/>
      <c r="R46" s="560"/>
      <c r="S46" s="559"/>
      <c r="T46" s="560"/>
      <c r="U46" s="559"/>
      <c r="V46" s="560"/>
      <c r="W46" s="559"/>
      <c r="X46" s="560"/>
      <c r="Y46" s="559"/>
      <c r="Z46" s="560"/>
      <c r="AA46" s="566"/>
      <c r="AB46" s="347">
        <f>SUM(D46:AA46)</f>
        <v>0</v>
      </c>
      <c r="AC46" s="209" t="str">
        <f>CONCATENATE(IF(D56&gt;D46," * Prep SCREENED MSM "&amp;$D$19&amp;" "&amp;$D$20&amp;" is more than Prep OFFERED MSM"&amp;CHAR(10),""),IF(E56&gt;E46," * Prep SCREENED MSM "&amp;$D$19&amp;" "&amp;$E$20&amp;" is more than Prep OFFERED MSM"&amp;CHAR(10),""),IF(F56&gt;F46," * Prep SCREENED MSM "&amp;$F$19&amp;" "&amp;$F$20&amp;" is more than Prep OFFERED MSM"&amp;CHAR(10),""),IF(G56&gt;G46," * Prep SCREENED MSM "&amp;$F$19&amp;" "&amp;$G$20&amp;" is more than Prep OFFERED MSM"&amp;CHAR(10),""),IF(H56&gt;H46," * Prep SCREENED MSM "&amp;$H$19&amp;" "&amp;$H$20&amp;" is more than Prep OFFERED MSM"&amp;CHAR(10),""),IF(I56&gt;I46," * Prep SCREENED MSM "&amp;$H$19&amp;" "&amp;$I$20&amp;" is more than Prep OFFERED MSM"&amp;CHAR(10),""),IF(J56&gt;J46," * Prep SCREENED MSM "&amp;$J$19&amp;" "&amp;$J$20&amp;" is more than Prep OFFERED MSM"&amp;CHAR(10),""),IF(K56&gt;K46," * Prep SCREENED MSM "&amp;$J$19&amp;" "&amp;$K$20&amp;" is more than Prep OFFERED MSM"&amp;CHAR(10),""),IF(L56&gt;L46," * Prep SCREENED MSM "&amp;$L$19&amp;" "&amp;$L$20&amp;" is more than Prep OFFERED MSM"&amp;CHAR(10),""),IF(M56&gt;M46," * Prep SCREENED MSM "&amp;$L$19&amp;" "&amp;$M$20&amp;" is more than Prep OFFERED MSM"&amp;CHAR(10),""),IF(N56&gt;N46," * Prep SCREENED MSM "&amp;$N$19&amp;" "&amp;$N$20&amp;" is more than Prep OFFERED MSM"&amp;CHAR(10),""),IF(O56&gt;O46," * Prep SCREENED MSM "&amp;$N$19&amp;" "&amp;$O$20&amp;" is more than Prep OFFERED MSM"&amp;CHAR(10),""),IF(P56&gt;P46," * Prep SCREENED MSM "&amp;$P$19&amp;" "&amp;$P$20&amp;" is more than Prep OFFERED MSM"&amp;CHAR(10),""),IF(Q56&gt;Q46," * Prep SCREENED MSM "&amp;$P$19&amp;" "&amp;$Q$20&amp;" is more than Prep OFFERED MSM"&amp;CHAR(10),""),IF(R56&gt;R46," * Prep SCREENED MSM "&amp;$R$19&amp;" "&amp;$R$20&amp;" is more than Prep OFFERED MSM"&amp;CHAR(10),""),IF(S56&gt;S46," * Prep SCREENED MSM "&amp;$R$19&amp;" "&amp;$S$20&amp;" is more than Prep OFFERED MSM"&amp;CHAR(10),""),IF(T56&gt;T46," * Prep SCREENED MSM "&amp;$T$19&amp;" "&amp;$T$20&amp;" is more than Prep OFFERED MSM"&amp;CHAR(10),""),IF(U56&gt;U46," * Prep SCREENED MSM "&amp;$T$19&amp;" "&amp;$U$20&amp;" is more than Prep OFFERED MSM"&amp;CHAR(10),""),IF(V56&gt;V46," * Prep SCREENED MSM "&amp;$V$19&amp;" "&amp;$V$20&amp;" is more than Prep OFFERED MSM"&amp;CHAR(10),""),IF(W56&gt;W46," * Prep SCREENED MSM "&amp;$V$19&amp;" "&amp;$W$20&amp;" is more than Prep OFFERED MSM"&amp;CHAR(10),""),IF(X56&gt;X46," * Prep SCREENED MSM "&amp;$X$19&amp;" "&amp;$X$20&amp;" is more than Prep OFFERED MSM"&amp;CHAR(10),""),IF(Y56&gt;Y46," * Prep SCREENED MSM "&amp;$X$19&amp;" "&amp;$Y$20&amp;" is more than Prep OFFERED MSM"&amp;CHAR(10),""),IF(Z56&gt;Z46," * Prep SCREENED MSM "&amp;$Z$19&amp;" "&amp;$Z$20&amp;" is more than Prep OFFERED MSM"&amp;CHAR(10),""),IF(AA56&gt;AA46," * Prep SCREENED MSM "&amp;$Z$19&amp;" "&amp;$AA$20&amp;" is more than Prep OFFERED MSM"&amp;CHAR(10),""))</f>
        <v/>
      </c>
      <c r="AD46" s="675"/>
      <c r="AE46" s="171"/>
      <c r="AF46" s="672"/>
      <c r="AG46" s="157">
        <v>157</v>
      </c>
    </row>
    <row r="47" spans="1:33" s="4" customFormat="1" ht="53.25" customHeight="1">
      <c r="A47" s="858"/>
      <c r="B47" s="207" t="s">
        <v>946</v>
      </c>
      <c r="C47" s="547" t="s">
        <v>971</v>
      </c>
      <c r="D47" s="162"/>
      <c r="E47" s="163"/>
      <c r="F47" s="162"/>
      <c r="G47" s="163"/>
      <c r="H47" s="162"/>
      <c r="I47" s="163"/>
      <c r="J47" s="162"/>
      <c r="K47" s="192"/>
      <c r="L47" s="565"/>
      <c r="M47" s="560"/>
      <c r="N47" s="560"/>
      <c r="O47" s="560"/>
      <c r="P47" s="560"/>
      <c r="Q47" s="560"/>
      <c r="R47" s="560"/>
      <c r="S47" s="560"/>
      <c r="T47" s="560"/>
      <c r="U47" s="560"/>
      <c r="V47" s="560"/>
      <c r="W47" s="560"/>
      <c r="X47" s="560"/>
      <c r="Y47" s="560"/>
      <c r="Z47" s="560"/>
      <c r="AA47" s="567"/>
      <c r="AB47" s="347">
        <f>SUM(D47:AA47)</f>
        <v>0</v>
      </c>
      <c r="AC47" s="209" t="str">
        <f>CONCATENATE(IF(D57&gt;D47," * Prep SCREENED People in Prison "&amp;$D$19&amp;" "&amp;$D$20&amp;" is more than Prep OFFERED People in Prison"&amp;CHAR(10),""),IF(E57&gt;E47," * Prep SCREENED People in Prison "&amp;$D$19&amp;" "&amp;$E$20&amp;" is more than Prep OFFERED People in Prison"&amp;CHAR(10),""),IF(F57&gt;F47," * Prep SCREENED People in Prison "&amp;$F$19&amp;" "&amp;$F$20&amp;" is more than Prep OFFERED People in Prison"&amp;CHAR(10),""),IF(G57&gt;G47," * Prep SCREENED People in Prison "&amp;$F$19&amp;" "&amp;$G$20&amp;" is more than Prep OFFERED People in Prison"&amp;CHAR(10),""),IF(H57&gt;H47," * Prep SCREENED People in Prison "&amp;$H$19&amp;" "&amp;$H$20&amp;" is more than Prep OFFERED People in Prison"&amp;CHAR(10),""),IF(I57&gt;I47," * Prep SCREENED People in Prison "&amp;$H$19&amp;" "&amp;$I$20&amp;" is more than Prep OFFERED People in Prison"&amp;CHAR(10),""),IF(J57&gt;J47," * Prep SCREENED People in Prison "&amp;$J$19&amp;" "&amp;$J$20&amp;" is more than Prep OFFERED People in Prison"&amp;CHAR(10),""),IF(K57&gt;K47," * Prep SCREENED People in Prison "&amp;$J$19&amp;" "&amp;$K$20&amp;" is more than Prep OFFERED People in Prison"&amp;CHAR(10),""),IF(L57&gt;L47," * Prep SCREENED People in Prison "&amp;$L$19&amp;" "&amp;$L$20&amp;" is more than Prep OFFERED People in Prison"&amp;CHAR(10),""),IF(M57&gt;M47," * Prep SCREENED People in Prison "&amp;$L$19&amp;" "&amp;$M$20&amp;" is more than Prep OFFERED People in Prison"&amp;CHAR(10),""),IF(N57&gt;N47," * Prep SCREENED People in Prison "&amp;$N$19&amp;" "&amp;$N$20&amp;" is more than Prep OFFERED People in Prison"&amp;CHAR(10),""),IF(O57&gt;O47," * Prep SCREENED People in Prison "&amp;$N$19&amp;" "&amp;$O$20&amp;" is more than Prep OFFERED People in Prison"&amp;CHAR(10),""),IF(P57&gt;P47," * Prep SCREENED People in Prison "&amp;$P$19&amp;" "&amp;$P$20&amp;" is more than Prep OFFERED People in Prison"&amp;CHAR(10),""),IF(Q57&gt;Q47," * Prep SCREENED People in Prison "&amp;$P$19&amp;" "&amp;$Q$20&amp;" is more than Prep OFFERED People in Prison"&amp;CHAR(10),""),IF(R57&gt;R47," * Prep SCREENED People in Prison "&amp;$R$19&amp;" "&amp;$R$20&amp;" is more than Prep OFFERED People in Prison"&amp;CHAR(10),""),IF(S57&gt;S47," * Prep SCREENED People in Prison "&amp;$R$19&amp;" "&amp;$S$20&amp;" is more than Prep OFFERED People in Prison"&amp;CHAR(10),""),IF(T57&gt;T47," * Prep SCREENED People in Prison "&amp;$T$19&amp;" "&amp;$T$20&amp;" is more than Prep OFFERED People in Prison"&amp;CHAR(10),""),IF(U57&gt;U47," * Prep SCREENED People in Prison "&amp;$T$19&amp;" "&amp;$U$20&amp;" is more than Prep OFFERED People in Prison"&amp;CHAR(10),""),IF(V57&gt;V47," * Prep SCREENED People in Prison "&amp;$V$19&amp;" "&amp;$V$20&amp;" is more than Prep OFFERED People in Prison"&amp;CHAR(10),""),IF(W57&gt;W47," * Prep SCREENED People in Prison "&amp;$V$19&amp;" "&amp;$W$20&amp;" is more than Prep OFFERED People in Prison"&amp;CHAR(10),""),IF(X57&gt;X47," * Prep SCREENED People in Prison "&amp;$X$19&amp;" "&amp;$X$20&amp;" is more than Prep OFFERED People in Prison"&amp;CHAR(10),""),IF(Y57&gt;Y47," * Prep SCREENED People in Prison "&amp;$X$19&amp;" "&amp;$Y$20&amp;" is more than Prep OFFERED People in Prison"&amp;CHAR(10),""),IF(Z57&gt;Z47," * Prep SCREENED People in Prison "&amp;$Z$19&amp;" "&amp;$Z$20&amp;" is more than Prep OFFERED People in Prison"&amp;CHAR(10),""),IF(AA57&gt;AA47," * Prep SCREENED People in Prison "&amp;$Z$19&amp;" "&amp;$AA$20&amp;" is more than Prep OFFERED People in Prison"&amp;CHAR(10),""))</f>
        <v/>
      </c>
      <c r="AD47" s="675"/>
      <c r="AE47" s="171"/>
      <c r="AF47" s="672"/>
      <c r="AG47" s="157">
        <v>159</v>
      </c>
    </row>
    <row r="48" spans="1:33" s="4" customFormat="1" ht="53.25" customHeight="1" thickBot="1">
      <c r="A48" s="858"/>
      <c r="B48" s="207" t="s">
        <v>947</v>
      </c>
      <c r="C48" s="547" t="s">
        <v>972</v>
      </c>
      <c r="D48" s="162"/>
      <c r="E48" s="163"/>
      <c r="F48" s="162"/>
      <c r="G48" s="163"/>
      <c r="H48" s="162"/>
      <c r="I48" s="163"/>
      <c r="J48" s="162"/>
      <c r="K48" s="192"/>
      <c r="L48" s="565"/>
      <c r="M48" s="560"/>
      <c r="N48" s="560"/>
      <c r="O48" s="560"/>
      <c r="P48" s="560"/>
      <c r="Q48" s="560"/>
      <c r="R48" s="560"/>
      <c r="S48" s="560"/>
      <c r="T48" s="560"/>
      <c r="U48" s="560"/>
      <c r="V48" s="560"/>
      <c r="W48" s="560"/>
      <c r="X48" s="560"/>
      <c r="Y48" s="560"/>
      <c r="Z48" s="560"/>
      <c r="AA48" s="567"/>
      <c r="AB48" s="348">
        <f>SUM(D48:AA48)</f>
        <v>0</v>
      </c>
      <c r="AC48" s="211" t="str">
        <f>CONCATENATE(IF(D58&gt;D48," * Prep SCREENED PWID "&amp;$D$19&amp;" "&amp;$D$20&amp;" is more than Prep OFFERED PWID"&amp;CHAR(10),""),IF(E58&gt;E48," * Prep SCREENED PWID "&amp;$D$19&amp;" "&amp;$E$20&amp;" is more than Prep OFFERED PWID"&amp;CHAR(10),""),IF(F58&gt;F48," * Prep SCREENED PWID "&amp;$F$19&amp;" "&amp;$F$20&amp;" is more than Prep OFFERED PWID"&amp;CHAR(10),""),IF(G58&gt;G48," * Prep SCREENED PWID "&amp;$F$19&amp;" "&amp;$G$20&amp;" is more than Prep OFFERED PWID"&amp;CHAR(10),""),IF(H58&gt;H48," * Prep SCREENED PWID "&amp;$H$19&amp;" "&amp;$H$20&amp;" is more than Prep OFFERED PWID"&amp;CHAR(10),""),IF(I58&gt;I48," * Prep SCREENED PWID "&amp;$H$19&amp;" "&amp;$I$20&amp;" is more than Prep OFFERED PWID"&amp;CHAR(10),""),IF(J58&gt;J48," * Prep SCREENED PWID "&amp;$J$19&amp;" "&amp;$J$20&amp;" is more than Prep OFFERED PWID"&amp;CHAR(10),""),IF(K58&gt;K48," * Prep SCREENED PWID "&amp;$J$19&amp;" "&amp;$K$20&amp;" is more than Prep OFFERED PWID"&amp;CHAR(10),""),IF(L58&gt;L48," * Prep SCREENED PWID "&amp;$L$19&amp;" "&amp;$L$20&amp;" is more than Prep OFFERED PWID"&amp;CHAR(10),""),IF(M58&gt;M48," * Prep SCREENED PWID "&amp;$L$19&amp;" "&amp;$M$20&amp;" is more than Prep OFFERED PWID"&amp;CHAR(10),""),IF(N58&gt;N48," * Prep SCREENED PWID "&amp;$N$19&amp;" "&amp;$N$20&amp;" is more than Prep OFFERED PWID"&amp;CHAR(10),""),IF(O58&gt;O48," * Prep SCREENED PWID "&amp;$N$19&amp;" "&amp;$O$20&amp;" is more than Prep OFFERED PWID"&amp;CHAR(10),""),IF(P58&gt;P48," * Prep SCREENED PWID "&amp;$P$19&amp;" "&amp;$P$20&amp;" is more than Prep OFFERED PWID"&amp;CHAR(10),""),IF(Q58&gt;Q48," * Prep SCREENED PWID "&amp;$P$19&amp;" "&amp;$Q$20&amp;" is more than Prep OFFERED PWID"&amp;CHAR(10),""),IF(R58&gt;R48," * Prep SCREENED PWID "&amp;$R$19&amp;" "&amp;$R$20&amp;" is more than Prep OFFERED PWID"&amp;CHAR(10),""),IF(S58&gt;S48," * Prep SCREENED PWID "&amp;$R$19&amp;" "&amp;$S$20&amp;" is more than Prep OFFERED PWID"&amp;CHAR(10),""),IF(T58&gt;T48," * Prep SCREENED PWID "&amp;$T$19&amp;" "&amp;$T$20&amp;" is more than Prep OFFERED PWID"&amp;CHAR(10),""),IF(U58&gt;U48," * Prep SCREENED PWID "&amp;$T$19&amp;" "&amp;$U$20&amp;" is more than Prep OFFERED PWID"&amp;CHAR(10),""),IF(V58&gt;V48," * Prep SCREENED PWID "&amp;$V$19&amp;" "&amp;$V$20&amp;" is more than Prep OFFERED PWID"&amp;CHAR(10),""),IF(W58&gt;W48," * Prep SCREENED PWID "&amp;$V$19&amp;" "&amp;$W$20&amp;" is more than Prep OFFERED PWID"&amp;CHAR(10),""),IF(X58&gt;X48," * Prep SCREENED PWID "&amp;$X$19&amp;" "&amp;$X$20&amp;" is more than Prep OFFERED PWID"&amp;CHAR(10),""),IF(Y58&gt;Y48," * Prep SCREENED PWID "&amp;$X$19&amp;" "&amp;$Y$20&amp;" is more than Prep OFFERED PWID"&amp;CHAR(10),""),IF(Z58&gt;Z48," * Prep SCREENED PWID "&amp;$Z$19&amp;" "&amp;$Z$20&amp;" is more than Prep OFFERED PWID"&amp;CHAR(10),""),IF(AA58&gt;AA48," * Prep SCREENED PWID "&amp;$Z$19&amp;" "&amp;$AA$20&amp;" is more than Prep OFFERED PWID"&amp;CHAR(10),""))</f>
        <v/>
      </c>
      <c r="AD48" s="675"/>
      <c r="AE48" s="171"/>
      <c r="AF48" s="672"/>
      <c r="AG48" s="157">
        <v>160</v>
      </c>
    </row>
    <row r="49" spans="1:33" s="4" customFormat="1" ht="53.25" customHeight="1">
      <c r="A49" s="858"/>
      <c r="B49" s="207" t="s">
        <v>948</v>
      </c>
      <c r="C49" s="547" t="s">
        <v>973</v>
      </c>
      <c r="D49" s="162"/>
      <c r="E49" s="163"/>
      <c r="F49" s="162"/>
      <c r="G49" s="163"/>
      <c r="H49" s="162"/>
      <c r="I49" s="163"/>
      <c r="J49" s="162"/>
      <c r="K49" s="192"/>
      <c r="L49" s="568"/>
      <c r="M49" s="559"/>
      <c r="N49" s="559"/>
      <c r="O49" s="559"/>
      <c r="P49" s="559"/>
      <c r="Q49" s="559"/>
      <c r="R49" s="559"/>
      <c r="S49" s="559"/>
      <c r="T49" s="559"/>
      <c r="U49" s="559"/>
      <c r="V49" s="559"/>
      <c r="W49" s="559"/>
      <c r="X49" s="559"/>
      <c r="Y49" s="559"/>
      <c r="Z49" s="559"/>
      <c r="AA49" s="566"/>
      <c r="AB49" s="573"/>
      <c r="AC49" s="209" t="str">
        <f>CONCATENATE(IF(AB59&gt;AB49," * Prep SCREENED TG "&amp;$AB$19&amp;" "&amp;$AB$20&amp;" is more than Prep OFFERED TG"&amp;CHAR(10),""))</f>
        <v/>
      </c>
      <c r="AD49" s="675"/>
      <c r="AE49" s="171"/>
      <c r="AF49" s="672"/>
      <c r="AG49" s="157">
        <v>161</v>
      </c>
    </row>
    <row r="50" spans="1:33" s="4" customFormat="1" ht="53.25" customHeight="1">
      <c r="A50" s="858"/>
      <c r="B50" s="207" t="s">
        <v>1012</v>
      </c>
      <c r="C50" s="547" t="s">
        <v>974</v>
      </c>
      <c r="D50" s="162"/>
      <c r="E50" s="163"/>
      <c r="F50" s="162"/>
      <c r="G50" s="163"/>
      <c r="H50" s="162"/>
      <c r="I50" s="163"/>
      <c r="J50" s="162"/>
      <c r="K50" s="192"/>
      <c r="L50" s="565"/>
      <c r="M50" s="560"/>
      <c r="N50" s="560"/>
      <c r="O50" s="560"/>
      <c r="P50" s="560"/>
      <c r="Q50" s="560"/>
      <c r="R50" s="560"/>
      <c r="S50" s="560"/>
      <c r="T50" s="560"/>
      <c r="U50" s="560"/>
      <c r="V50" s="560"/>
      <c r="W50" s="560"/>
      <c r="X50" s="560"/>
      <c r="Y50" s="560"/>
      <c r="Z50" s="560"/>
      <c r="AA50" s="567"/>
      <c r="AB50" s="347">
        <f>SUM(D50:AA50)</f>
        <v>0</v>
      </c>
      <c r="AC50" s="209" t="str">
        <f>CONCATENATE(IF(D60&gt;D50," * Prep SCREENED Non-KP General Pop "&amp;$D$19&amp;" "&amp;$D$20&amp;" is more than Prep OFFERED Non-KP General Pop"&amp;CHAR(10),""),IF(E60&gt;E50," * Prep SCREENED Non-KP General Pop "&amp;$D$19&amp;" "&amp;$E$20&amp;" is more than Prep OFFERED Non-KP General Pop"&amp;CHAR(10),""),IF(F60&gt;F50," * Prep SCREENED Non-KP General Pop "&amp;$F$19&amp;" "&amp;$F$20&amp;" is more than Prep OFFERED Non-KP General Pop"&amp;CHAR(10),""),IF(G60&gt;G50," * Prep SCREENED Non-KP General Pop "&amp;$F$19&amp;" "&amp;$G$20&amp;" is more than Prep OFFERED Non-KP General Pop"&amp;CHAR(10),""),IF(H60&gt;H50," * Prep SCREENED Non-KP General Pop "&amp;$H$19&amp;" "&amp;$H$20&amp;" is more than Prep OFFERED Non-KP General Pop"&amp;CHAR(10),""),IF(I60&gt;I50," * Prep SCREENED Non-KP General Pop "&amp;$H$19&amp;" "&amp;$I$20&amp;" is more than Prep OFFERED Non-KP General Pop"&amp;CHAR(10),""),IF(J60&gt;J50," * Prep SCREENED Non-KP General Pop "&amp;$J$19&amp;" "&amp;$J$20&amp;" is more than Prep OFFERED Non-KP General Pop"&amp;CHAR(10),""),IF(K60&gt;K50," * Prep SCREENED Non-KP General Pop "&amp;$J$19&amp;" "&amp;$K$20&amp;" is more than Prep OFFERED Non-KP General Pop"&amp;CHAR(10),""),IF(L60&gt;L50," * Prep SCREENED Non-KP General Pop "&amp;$L$19&amp;" "&amp;$L$20&amp;" is more than Prep OFFERED Non-KP General Pop"&amp;CHAR(10),""),IF(M60&gt;M50," * Prep SCREENED Non-KP General Pop "&amp;$L$19&amp;" "&amp;$M$20&amp;" is more than Prep OFFERED Non-KP General Pop"&amp;CHAR(10),""),IF(N60&gt;N50," * Prep SCREENED Non-KP General Pop "&amp;$N$19&amp;" "&amp;$N$20&amp;" is more than Prep OFFERED Non-KP General Pop"&amp;CHAR(10),""),IF(O60&gt;O50," * Prep SCREENED Non-KP General Pop "&amp;$N$19&amp;" "&amp;$O$20&amp;" is more than Prep OFFERED Non-KP General Pop"&amp;CHAR(10),""),IF(P60&gt;P50," * Prep SCREENED Non-KP General Pop "&amp;$P$19&amp;" "&amp;$P$20&amp;" is more than Prep OFFERED Non-KP General Pop"&amp;CHAR(10),""),IF(Q60&gt;Q50," * Prep SCREENED Non-KP General Pop "&amp;$P$19&amp;" "&amp;$Q$20&amp;" is more than Prep OFFERED Non-KP General Pop"&amp;CHAR(10),""),IF(R60&gt;R50," * Prep SCREENED Non-KP General Pop "&amp;$R$19&amp;" "&amp;$R$20&amp;" is more than Prep OFFERED Non-KP General Pop"&amp;CHAR(10),""),IF(S60&gt;S50," * Prep SCREENED Non-KP General Pop "&amp;$R$19&amp;" "&amp;$S$20&amp;" is more than Prep OFFERED Non-KP General Pop"&amp;CHAR(10),""),IF(T60&gt;T50," * Prep SCREENED Non-KP General Pop "&amp;$T$19&amp;" "&amp;$T$20&amp;" is more than Prep OFFERED Non-KP General Pop"&amp;CHAR(10),""),IF(U60&gt;U50," * Prep SCREENED Non-KP General Pop "&amp;$T$19&amp;" "&amp;$U$20&amp;" is more than Prep OFFERED Non-KP General Pop"&amp;CHAR(10),""),IF(V60&gt;V50," * Prep SCREENED Non-KP General Pop "&amp;$V$19&amp;" "&amp;$V$20&amp;" is more than Prep OFFERED Non-KP General Pop"&amp;CHAR(10),""),IF(W60&gt;W50," * Prep SCREENED Non-KP General Pop "&amp;$V$19&amp;" "&amp;$W$20&amp;" is more than Prep OFFERED Non-KP General Pop"&amp;CHAR(10),""),IF(X60&gt;X50," * Prep SCREENED Non-KP General Pop "&amp;$X$19&amp;" "&amp;$X$20&amp;" is more than Prep OFFERED Non-KP General Pop"&amp;CHAR(10),""),IF(Y60&gt;Y50," * Prep SCREENED Non-KP General Pop "&amp;$X$19&amp;" "&amp;$Y$20&amp;" is more than Prep OFFERED Non-KP General Pop"&amp;CHAR(10),""),IF(Z60&gt;Z50," * Prep SCREENED Non-KP General Pop "&amp;$Z$19&amp;" "&amp;$Z$20&amp;" is more than Prep OFFERED Non-KP General Pop"&amp;CHAR(10),""),IF(AA60&gt;AA50," * Prep SCREENED Non-KP General Pop "&amp;$Z$19&amp;" "&amp;$AA$20&amp;" is more than Prep OFFERED Non-KP General Pop"&amp;CHAR(10),""))</f>
        <v/>
      </c>
      <c r="AD50" s="675"/>
      <c r="AE50" s="171"/>
      <c r="AF50" s="672"/>
      <c r="AG50" s="157">
        <v>157</v>
      </c>
    </row>
    <row r="51" spans="1:33" s="4" customFormat="1" ht="53.25" customHeight="1" thickBot="1">
      <c r="A51" s="858"/>
      <c r="B51" s="207" t="s">
        <v>1013</v>
      </c>
      <c r="C51" s="547" t="s">
        <v>975</v>
      </c>
      <c r="D51" s="162"/>
      <c r="E51" s="163"/>
      <c r="F51" s="162"/>
      <c r="G51" s="163"/>
      <c r="H51" s="162"/>
      <c r="I51" s="163"/>
      <c r="J51" s="162"/>
      <c r="K51" s="192"/>
      <c r="L51" s="565"/>
      <c r="M51" s="560"/>
      <c r="N51" s="560"/>
      <c r="O51" s="560"/>
      <c r="P51" s="560"/>
      <c r="Q51" s="560"/>
      <c r="R51" s="560"/>
      <c r="S51" s="560"/>
      <c r="T51" s="560"/>
      <c r="U51" s="560"/>
      <c r="V51" s="560"/>
      <c r="W51" s="560"/>
      <c r="X51" s="560"/>
      <c r="Y51" s="560"/>
      <c r="Z51" s="560"/>
      <c r="AA51" s="567"/>
      <c r="AB51" s="347">
        <f>SUM(D51:AA51)</f>
        <v>0</v>
      </c>
      <c r="AC51" s="209" t="str">
        <f>CONCATENATE(IF(D61&gt;D51," * Prep SCREENED Non-KP (seronegative persons in serodifferent partnerships) "&amp;$D$19&amp;" "&amp;$D$20&amp;" is more than Prep OFFERED Non-KP (seronegative persons in serodifferent partnerships)"&amp;CHAR(10),""),IF(E61&gt;E51," * Prep SCREENED Non-KP (seronegative persons in serodifferent partnerships) "&amp;$D$19&amp;" "&amp;$E$20&amp;" is more than Prep OFFERED Non-KP (seronegative persons in serodifferent partnerships)"&amp;CHAR(10),""),IF(F61&gt;F51," * Prep SCREENED Non-KP (seronegative persons in serodifferent partnerships) "&amp;$F$19&amp;" "&amp;$F$20&amp;" is more than Prep OFFERED Non-KP (seronegative persons in serodifferent partnerships)"&amp;CHAR(10),""),IF(G61&gt;G51," * Prep SCREENED Non-KP (seronegative persons in serodifferent partnerships) "&amp;$F$19&amp;" "&amp;$G$20&amp;" is more than Prep OFFERED Non-KP (seronegative persons in serodifferent partnerships)"&amp;CHAR(10),""),IF(H61&gt;H51," * Prep SCREENED Non-KP (seronegative persons in serodifferent partnerships) "&amp;$H$19&amp;" "&amp;$H$20&amp;" is more than Prep OFFERED Non-KP (seronegative persons in serodifferent partnerships)"&amp;CHAR(10),""),IF(I61&gt;I51," * Prep SCREENED Non-KP (seronegative persons in serodifferent partnerships) "&amp;$H$19&amp;" "&amp;$I$20&amp;" is more than Prep OFFERED Non-KP (seronegative persons in serodifferent partnerships)"&amp;CHAR(10),""),IF(J61&gt;J51," * Prep SCREENED Non-KP (seronegative persons in serodifferent partnerships) "&amp;$J$19&amp;" "&amp;$J$20&amp;" is more than Prep OFFERED Non-KP (seronegative persons in serodifferent partnerships)"&amp;CHAR(10),""),IF(K61&gt;K51," * Prep SCREENED Non-KP (seronegative persons in serodifferent partnerships) "&amp;$J$19&amp;" "&amp;$K$20&amp;" is more than Prep OFFERED Non-KP (seronegative persons in serodifferent partnerships)"&amp;CHAR(10),""),IF(L61&gt;L51," * Prep SCREENED Non-KP (seronegative persons in serodifferent partnerships) "&amp;$L$19&amp;" "&amp;$L$20&amp;" is more than Prep OFFERED Non-KP (seronegative persons in serodifferent partnerships)"&amp;CHAR(10),""),IF(M61&gt;M51," * Prep SCREENED Non-KP (seronegative persons in serodifferent partnerships) "&amp;$L$19&amp;" "&amp;$M$20&amp;" is more than Prep OFFERED Non-KP (seronegative persons in serodifferent partnerships)"&amp;CHAR(10),""),IF(N61&gt;N51," * Prep SCREENED Non-KP (seronegative persons in serodifferent partnerships) "&amp;$N$19&amp;" "&amp;$N$20&amp;" is more than Prep OFFERED Non-KP (seronegative persons in serodifferent partnerships)"&amp;CHAR(10),""),IF(O61&gt;O51," * Prep SCREENED Non-KP (seronegative persons in serodifferent partnerships) "&amp;$N$19&amp;" "&amp;$O$20&amp;" is more than Prep OFFERED Non-KP (seronegative persons in serodifferent partnerships)"&amp;CHAR(10),""),IF(P61&gt;P51," * Prep SCREENED Non-KP (seronegative persons in serodifferent partnerships) "&amp;$P$19&amp;" "&amp;$P$20&amp;" is more than Prep OFFERED Non-KP (seronegative persons in serodifferent partnerships)"&amp;CHAR(10),""),IF(Q61&gt;Q51," * Prep SCREENED Non-KP (seronegative persons in serodifferent partnerships) "&amp;$P$19&amp;" "&amp;$Q$20&amp;" is more than Prep OFFERED Non-KP (seronegative persons in serodifferent partnerships)"&amp;CHAR(10),""),IF(R61&gt;R51," * Prep SCREENED Non-KP (seronegative persons in serodifferent partnerships) "&amp;$R$19&amp;" "&amp;$R$20&amp;" is more than Prep OFFERED Non-KP (seronegative persons in serodifferent partnerships)"&amp;CHAR(10),""),IF(S61&gt;S51," * Prep SCREENED Non-KP (seronegative persons in serodifferent partnerships) "&amp;$R$19&amp;" "&amp;$S$20&amp;" is more than Prep OFFERED Non-KP (seronegative persons in serodifferent partnerships)"&amp;CHAR(10),""),IF(T61&gt;T51," * Prep SCREENED Non-KP (seronegative persons in serodifferent partnerships) "&amp;$T$19&amp;" "&amp;$T$20&amp;" is more than Prep OFFERED Non-KP (seronegative persons in serodifferent partnerships)"&amp;CHAR(10),""),IF(U61&gt;U51," * Prep SCREENED Non-KP (seronegative persons in serodifferent partnerships) "&amp;$T$19&amp;" "&amp;$U$20&amp;" is more than Prep OFFERED Non-KP (seronegative persons in serodifferent partnerships)"&amp;CHAR(10),""),IF(V61&gt;V51," * Prep SCREENED Non-KP (seronegative persons in serodifferent partnerships) "&amp;$V$19&amp;" "&amp;$V$20&amp;" is more than Prep OFFERED Non-KP (seronegative persons in serodifferent partnerships)"&amp;CHAR(10),""),IF(W61&gt;W51," * Prep SCREENED Non-KP (seronegative persons in serodifferent partnerships) "&amp;$V$19&amp;" "&amp;$W$20&amp;" is more than Prep OFFERED Non-KP (seronegative persons in serodifferent partnerships)"&amp;CHAR(10),""),IF(X61&gt;X51," * Prep SCREENED Non-KP (seronegative persons in serodifferent partnerships) "&amp;$X$19&amp;" "&amp;$X$20&amp;" is more than Prep OFFERED Non-KP (seronegative persons in serodifferent partnerships)"&amp;CHAR(10),""),IF(Y61&gt;Y51," * Prep SCREENED Non-KP (seronegative persons in serodifferent partnerships) "&amp;$X$19&amp;" "&amp;$Y$20&amp;" is more than Prep OFFERED Non-KP (seronegative persons in serodifferent partnerships)"&amp;CHAR(10),""),IF(Z61&gt;Z51," * Prep SCREENED Non-KP (seronegative persons in serodifferent partnerships) "&amp;$Z$19&amp;" "&amp;$Z$20&amp;" is more than Prep OFFERED Non-KP (seronegative persons in serodifferent partnerships)"&amp;CHAR(10),""),IF(AA61&gt;AA51," * Prep SCREENED Non-KP (seronegative persons in serodifferent partnerships) "&amp;$Z$19&amp;" "&amp;$AA$20&amp;" is more than Prep OFFERED Non-KP (seronegative persons in serodifferent partnerships)"&amp;CHAR(10),""))</f>
        <v/>
      </c>
      <c r="AD51" s="675"/>
      <c r="AE51" s="171"/>
      <c r="AF51" s="672"/>
      <c r="AG51" s="157">
        <v>157</v>
      </c>
    </row>
    <row r="52" spans="1:33" s="4" customFormat="1" ht="53.25" customHeight="1" thickBot="1">
      <c r="A52" s="858"/>
      <c r="B52" s="207" t="s">
        <v>1014</v>
      </c>
      <c r="C52" s="547" t="s">
        <v>976</v>
      </c>
      <c r="D52" s="162"/>
      <c r="E52" s="163"/>
      <c r="F52" s="162"/>
      <c r="G52" s="163"/>
      <c r="H52" s="162"/>
      <c r="I52" s="163"/>
      <c r="J52" s="162"/>
      <c r="K52" s="192"/>
      <c r="L52" s="568"/>
      <c r="M52" s="560"/>
      <c r="N52" s="559"/>
      <c r="O52" s="560"/>
      <c r="P52" s="559"/>
      <c r="Q52" s="560"/>
      <c r="R52" s="559"/>
      <c r="S52" s="560"/>
      <c r="T52" s="559"/>
      <c r="U52" s="560"/>
      <c r="V52" s="559"/>
      <c r="W52" s="560"/>
      <c r="X52" s="559"/>
      <c r="Y52" s="560"/>
      <c r="Z52" s="559"/>
      <c r="AA52" s="567"/>
      <c r="AB52" s="135">
        <f>SUM(D52:AA52)</f>
        <v>0</v>
      </c>
      <c r="AC52" s="206" t="str">
        <f>CONCATENATE(IF(D62&gt;D52," * Prep SCREENED breastfeeding "&amp;$D$19&amp;" "&amp;$D$20&amp;" is more than Prep OFFERED breastfeeding"&amp;CHAR(10),""),IF(E62&gt;E52," * Prep SCREENED breastfeeding "&amp;$D$19&amp;" "&amp;$E$20&amp;" is more than Prep OFFERED breastfeeding"&amp;CHAR(10),""),IF(F62&gt;F52," * Prep SCREENED breastfeeding "&amp;$F$19&amp;" "&amp;$F$20&amp;" is more than Prep OFFERED breastfeeding"&amp;CHAR(10),""),IF(G62&gt;G52," * Prep SCREENED breastfeeding "&amp;$F$19&amp;" "&amp;$G$20&amp;" is more than Prep OFFERED breastfeeding"&amp;CHAR(10),""),IF(H62&gt;H52," * Prep SCREENED breastfeeding "&amp;$H$19&amp;" "&amp;$H$20&amp;" is more than Prep OFFERED breastfeeding"&amp;CHAR(10),""),IF(I62&gt;I52," * Prep SCREENED breastfeeding "&amp;$H$19&amp;" "&amp;$I$20&amp;" is more than Prep OFFERED breastfeeding"&amp;CHAR(10),""),IF(J62&gt;J52," * Prep SCREENED breastfeeding "&amp;$J$19&amp;" "&amp;$J$20&amp;" is more than Prep OFFERED breastfeeding"&amp;CHAR(10),""),IF(K62&gt;K52," * Prep SCREENED breastfeeding "&amp;$J$19&amp;" "&amp;$K$20&amp;" is more than Prep OFFERED breastfeeding"&amp;CHAR(10),""),IF(L62&gt;L52," * Prep SCREENED breastfeeding "&amp;$L$19&amp;" "&amp;$L$20&amp;" is more than Prep OFFERED breastfeeding"&amp;CHAR(10),""),IF(M62&gt;M52," * Prep SCREENED breastfeeding "&amp;$L$19&amp;" "&amp;$M$20&amp;" is more than Prep OFFERED breastfeeding"&amp;CHAR(10),""),IF(N62&gt;N52," * Prep SCREENED breastfeeding "&amp;$N$19&amp;" "&amp;$N$20&amp;" is more than Prep OFFERED breastfeeding"&amp;CHAR(10),""),IF(O62&gt;O52," * Prep SCREENED breastfeeding "&amp;$N$19&amp;" "&amp;$O$20&amp;" is more than Prep OFFERED breastfeeding"&amp;CHAR(10),""),IF(P62&gt;P52," * Prep SCREENED breastfeeding "&amp;$P$19&amp;" "&amp;$P$20&amp;" is more than Prep OFFERED breastfeeding"&amp;CHAR(10),""),IF(Q62&gt;Q52," * Prep SCREENED breastfeeding "&amp;$P$19&amp;" "&amp;$Q$20&amp;" is more than Prep OFFERED breastfeeding"&amp;CHAR(10),""),IF(R62&gt;R52," * Prep SCREENED breastfeeding "&amp;$R$19&amp;" "&amp;$R$20&amp;" is more than Prep OFFERED breastfeeding"&amp;CHAR(10),""),IF(S62&gt;S52," * Prep SCREENED breastfeeding "&amp;$R$19&amp;" "&amp;$S$20&amp;" is more than Prep OFFERED breastfeeding"&amp;CHAR(10),""),IF(T62&gt;T52," * Prep SCREENED breastfeeding "&amp;$T$19&amp;" "&amp;$T$20&amp;" is more than Prep OFFERED breastfeeding"&amp;CHAR(10),""),IF(U62&gt;U52," * Prep SCREENED breastfeeding "&amp;$T$19&amp;" "&amp;$U$20&amp;" is more than Prep OFFERED breastfeeding"&amp;CHAR(10),""),IF(V62&gt;V52," * Prep SCREENED breastfeeding "&amp;$V$19&amp;" "&amp;$V$20&amp;" is more than Prep OFFERED breastfeeding"&amp;CHAR(10),""),IF(W62&gt;W52," * Prep SCREENED breastfeeding "&amp;$V$19&amp;" "&amp;$W$20&amp;" is more than Prep OFFERED breastfeeding"&amp;CHAR(10),""),IF(X62&gt;X52," * Prep SCREENED breastfeeding "&amp;$X$19&amp;" "&amp;$X$20&amp;" is more than Prep OFFERED breastfeeding"&amp;CHAR(10),""),IF(Y62&gt;Y52," * Prep SCREENED breastfeeding "&amp;$X$19&amp;" "&amp;$Y$20&amp;" is more than Prep OFFERED breastfeeding"&amp;CHAR(10),""),IF(Z62&gt;Z52," * Prep SCREENED breastfeeding "&amp;$Z$19&amp;" "&amp;$Z$20&amp;" is more than Prep OFFERED breastfeeding"&amp;CHAR(10),""),IF(AA62&gt;AA52," * Prep SCREENED breastfeeding "&amp;$Z$19&amp;" "&amp;$AA$20&amp;" is more than Prep OFFERED breastfeeding"&amp;CHAR(10),""))</f>
        <v/>
      </c>
      <c r="AD52" s="675"/>
      <c r="AE52" s="171"/>
      <c r="AF52" s="672"/>
      <c r="AG52" s="157">
        <v>156</v>
      </c>
    </row>
    <row r="53" spans="1:33" s="4" customFormat="1" ht="53.25" customHeight="1" thickBot="1">
      <c r="A53" s="859"/>
      <c r="B53" s="207" t="s">
        <v>1015</v>
      </c>
      <c r="C53" s="547" t="s">
        <v>977</v>
      </c>
      <c r="D53" s="162"/>
      <c r="E53" s="163"/>
      <c r="F53" s="162"/>
      <c r="G53" s="163"/>
      <c r="H53" s="162"/>
      <c r="I53" s="163"/>
      <c r="J53" s="162"/>
      <c r="K53" s="192"/>
      <c r="L53" s="569"/>
      <c r="M53" s="570"/>
      <c r="N53" s="571"/>
      <c r="O53" s="570"/>
      <c r="P53" s="571"/>
      <c r="Q53" s="570"/>
      <c r="R53" s="571"/>
      <c r="S53" s="570"/>
      <c r="T53" s="571"/>
      <c r="U53" s="570"/>
      <c r="V53" s="571"/>
      <c r="W53" s="570"/>
      <c r="X53" s="571"/>
      <c r="Y53" s="570"/>
      <c r="Z53" s="571"/>
      <c r="AA53" s="572"/>
      <c r="AB53" s="135">
        <f>SUM(D53:AA53)</f>
        <v>0</v>
      </c>
      <c r="AC53" s="206" t="str">
        <f>CONCATENATE(IF(D63&gt;D53," * Prep SCREENED pregnant "&amp;$D$19&amp;" "&amp;$D$20&amp;" is more than Prep OFFERED pregnant"&amp;CHAR(10),""),IF(E63&gt;E53," * Prep SCREENED pregnant "&amp;$D$19&amp;" "&amp;$E$20&amp;" is more than Prep OFFERED pregnant"&amp;CHAR(10),""),IF(F63&gt;F53," * Prep SCREENED pregnant "&amp;$F$19&amp;" "&amp;$F$20&amp;" is more than Prep OFFERED pregnant"&amp;CHAR(10),""),IF(G63&gt;G53," * Prep SCREENED pregnant "&amp;$F$19&amp;" "&amp;$G$20&amp;" is more than Prep OFFERED pregnant"&amp;CHAR(10),""),IF(H63&gt;H53," * Prep SCREENED pregnant "&amp;$H$19&amp;" "&amp;$H$20&amp;" is more than Prep OFFERED pregnant"&amp;CHAR(10),""),IF(I63&gt;I53," * Prep SCREENED pregnant "&amp;$H$19&amp;" "&amp;$I$20&amp;" is more than Prep OFFERED pregnant"&amp;CHAR(10),""),IF(J63&gt;J53," * Prep SCREENED pregnant "&amp;$J$19&amp;" "&amp;$J$20&amp;" is more than Prep OFFERED pregnant"&amp;CHAR(10),""),IF(K63&gt;K53," * Prep SCREENED pregnant "&amp;$J$19&amp;" "&amp;$K$20&amp;" is more than Prep OFFERED pregnant"&amp;CHAR(10),""),IF(L63&gt;L53," * Prep SCREENED pregnant "&amp;$L$19&amp;" "&amp;$L$20&amp;" is more than Prep OFFERED pregnant"&amp;CHAR(10),""),IF(M63&gt;M53," * Prep SCREENED pregnant "&amp;$L$19&amp;" "&amp;$M$20&amp;" is more than Prep OFFERED pregnant"&amp;CHAR(10),""),IF(N63&gt;N53," * Prep SCREENED pregnant "&amp;$N$19&amp;" "&amp;$N$20&amp;" is more than Prep OFFERED pregnant"&amp;CHAR(10),""),IF(O63&gt;O53," * Prep SCREENED pregnant "&amp;$N$19&amp;" "&amp;$O$20&amp;" is more than Prep OFFERED pregnant"&amp;CHAR(10),""),IF(P63&gt;P53," * Prep SCREENED pregnant "&amp;$P$19&amp;" "&amp;$P$20&amp;" is more than Prep OFFERED pregnant"&amp;CHAR(10),""),IF(Q63&gt;Q53," * Prep SCREENED pregnant "&amp;$P$19&amp;" "&amp;$Q$20&amp;" is more than Prep OFFERED pregnant"&amp;CHAR(10),""),IF(R63&gt;R53," * Prep SCREENED pregnant "&amp;$R$19&amp;" "&amp;$R$20&amp;" is more than Prep OFFERED pregnant"&amp;CHAR(10),""),IF(S63&gt;S53," * Prep SCREENED pregnant "&amp;$R$19&amp;" "&amp;$S$20&amp;" is more than Prep OFFERED pregnant"&amp;CHAR(10),""),IF(T63&gt;T53," * Prep SCREENED pregnant "&amp;$T$19&amp;" "&amp;$T$20&amp;" is more than Prep OFFERED pregnant"&amp;CHAR(10),""),IF(U63&gt;U53," * Prep SCREENED pregnant "&amp;$T$19&amp;" "&amp;$U$20&amp;" is more than Prep OFFERED pregnant"&amp;CHAR(10),""),IF(V63&gt;V53," * Prep SCREENED pregnant "&amp;$V$19&amp;" "&amp;$V$20&amp;" is more than Prep OFFERED pregnant"&amp;CHAR(10),""),IF(W63&gt;W53," * Prep SCREENED pregnant "&amp;$V$19&amp;" "&amp;$W$20&amp;" is more than Prep OFFERED pregnant"&amp;CHAR(10),""),IF(X63&gt;X53," * Prep SCREENED pregnant "&amp;$X$19&amp;" "&amp;$X$20&amp;" is more than Prep OFFERED pregnant"&amp;CHAR(10),""),IF(Y63&gt;Y53," * Prep SCREENED pregnant "&amp;$X$19&amp;" "&amp;$Y$20&amp;" is more than Prep OFFERED pregnant"&amp;CHAR(10),""),IF(Z63&gt;Z53," * Prep SCREENED pregnant "&amp;$Z$19&amp;" "&amp;$Z$20&amp;" is more than Prep OFFERED pregnant"&amp;CHAR(10),""),IF(AA63&gt;AA53," * Prep SCREENED pregnant "&amp;$Z$19&amp;" "&amp;$AA$20&amp;" is more than Prep OFFERED pregnant"&amp;CHAR(10),""))</f>
        <v/>
      </c>
      <c r="AD53" s="676"/>
      <c r="AE53" s="171"/>
      <c r="AF53" s="673"/>
      <c r="AG53" s="157">
        <v>156</v>
      </c>
    </row>
    <row r="54" spans="1:33" s="370" customFormat="1" ht="53.25" customHeight="1" thickBot="1">
      <c r="A54" s="688" t="s">
        <v>1017</v>
      </c>
      <c r="B54" s="689"/>
      <c r="C54" s="690"/>
      <c r="D54" s="689"/>
      <c r="E54" s="689"/>
      <c r="F54" s="689"/>
      <c r="G54" s="689"/>
      <c r="H54" s="689"/>
      <c r="I54" s="689"/>
      <c r="J54" s="689"/>
      <c r="K54" s="689"/>
      <c r="L54" s="690"/>
      <c r="M54" s="690"/>
      <c r="N54" s="690"/>
      <c r="O54" s="690"/>
      <c r="P54" s="690"/>
      <c r="Q54" s="690"/>
      <c r="R54" s="690"/>
      <c r="S54" s="690"/>
      <c r="T54" s="690"/>
      <c r="U54" s="690"/>
      <c r="V54" s="690"/>
      <c r="W54" s="690"/>
      <c r="X54" s="690"/>
      <c r="Y54" s="690"/>
      <c r="Z54" s="690"/>
      <c r="AA54" s="690"/>
      <c r="AB54" s="692"/>
      <c r="AC54" s="689"/>
      <c r="AD54" s="689"/>
      <c r="AE54" s="689"/>
      <c r="AF54" s="848"/>
      <c r="AG54" s="369">
        <v>154</v>
      </c>
    </row>
    <row r="55" spans="1:33" s="4" customFormat="1" ht="53.25" customHeight="1" thickBot="1">
      <c r="A55" s="857" t="s">
        <v>901</v>
      </c>
      <c r="B55" s="204" t="s">
        <v>906</v>
      </c>
      <c r="C55" s="547" t="s">
        <v>978</v>
      </c>
      <c r="D55" s="182"/>
      <c r="E55" s="183"/>
      <c r="F55" s="182"/>
      <c r="G55" s="183"/>
      <c r="H55" s="182"/>
      <c r="I55" s="183"/>
      <c r="J55" s="182"/>
      <c r="K55" s="227"/>
      <c r="L55" s="561"/>
      <c r="M55" s="562"/>
      <c r="N55" s="563"/>
      <c r="O55" s="562"/>
      <c r="P55" s="563"/>
      <c r="Q55" s="562"/>
      <c r="R55" s="563"/>
      <c r="S55" s="562"/>
      <c r="T55" s="563"/>
      <c r="U55" s="562"/>
      <c r="V55" s="563"/>
      <c r="W55" s="562"/>
      <c r="X55" s="563"/>
      <c r="Y55" s="562"/>
      <c r="Z55" s="563"/>
      <c r="AA55" s="564"/>
      <c r="AB55" s="135">
        <f>SUM(D55:AA55)</f>
        <v>0</v>
      </c>
      <c r="AC55" s="206" t="str">
        <f>CONCATENATE(IF(D66&gt;D55," * Prep New FSW "&amp;$D$19&amp;" "&amp;$D$20&amp;" is more than Offered Prep FSW"&amp;CHAR(10),""),IF(E66&gt;E55," * Prep New FSW "&amp;$D$19&amp;" "&amp;$E$20&amp;" is more than Offered Prep FSW"&amp;CHAR(10),""),IF(F66&gt;F55," * Prep New FSW "&amp;$F$19&amp;" "&amp;$F$20&amp;" is more than Offered Prep FSW"&amp;CHAR(10),""),IF(G66&gt;G55," * Prep New FSW "&amp;$F$19&amp;" "&amp;$G$20&amp;" is more than Offered Prep FSW"&amp;CHAR(10),""),IF(H66&gt;H55," * Prep New FSW "&amp;$H$19&amp;" "&amp;$H$20&amp;" is more than Offered Prep FSW"&amp;CHAR(10),""),IF(I66&gt;I55," * Prep New FSW "&amp;$H$19&amp;" "&amp;$I$20&amp;" is more than Offered Prep FSW"&amp;CHAR(10),""),IF(J66&gt;J55," * Prep New FSW "&amp;$J$19&amp;" "&amp;$J$20&amp;" is more than Offered Prep FSW"&amp;CHAR(10),""),IF(K66&gt;K55," * Prep New FSW "&amp;$J$19&amp;" "&amp;$K$20&amp;" is more than Offered Prep FSW"&amp;CHAR(10),""),IF(L66&gt;L55," * Prep New FSW "&amp;$L$19&amp;" "&amp;$L$20&amp;" is more than Offered Prep FSW"&amp;CHAR(10),""),IF(M66&gt;M55," * Prep New FSW "&amp;$L$19&amp;" "&amp;$M$20&amp;" is more than Offered Prep FSW"&amp;CHAR(10),""),IF(N66&gt;N55," * Prep New FSW "&amp;$N$19&amp;" "&amp;$N$20&amp;" is more than Offered Prep FSW"&amp;CHAR(10),""),IF(O66&gt;O55," * Prep New FSW "&amp;$N$19&amp;" "&amp;$O$20&amp;" is more than Offered Prep FSW"&amp;CHAR(10),""),IF(P66&gt;P55," * Prep New FSW "&amp;$P$19&amp;" "&amp;$P$20&amp;" is more than Offered Prep FSW"&amp;CHAR(10),""),IF(Q66&gt;Q55," * Prep New FSW "&amp;$P$19&amp;" "&amp;$Q$20&amp;" is more than Offered Prep FSW"&amp;CHAR(10),""),IF(R66&gt;R55," * Prep New FSW "&amp;$R$19&amp;" "&amp;$R$20&amp;" is more than Offered Prep FSW"&amp;CHAR(10),""),IF(S66&gt;S55," * Prep New FSW "&amp;$R$19&amp;" "&amp;$S$20&amp;" is more than Offered Prep FSW"&amp;CHAR(10),""),IF(T66&gt;T55," * Prep New FSW "&amp;$T$19&amp;" "&amp;$T$20&amp;" is more than Offered Prep FSW"&amp;CHAR(10),""),IF(U66&gt;U55," * Prep New FSW "&amp;$T$19&amp;" "&amp;$U$20&amp;" is more than Offered Prep FSW"&amp;CHAR(10),""),IF(V66&gt;V55," * Prep New FSW "&amp;$V$19&amp;" "&amp;$V$20&amp;" is more than Offered Prep FSW"&amp;CHAR(10),""),IF(W66&gt;W55," * Prep New FSW "&amp;$V$19&amp;" "&amp;$W$20&amp;" is more than Offered Prep FSW"&amp;CHAR(10),""),IF(X66&gt;X55," * Prep New FSW "&amp;$X$19&amp;" "&amp;$X$20&amp;" is more than Offered Prep FSW"&amp;CHAR(10),""),IF(Y66&gt;Y55," * Prep New FSW "&amp;$X$19&amp;" "&amp;$Y$20&amp;" is more than Offered Prep FSW"&amp;CHAR(10),""),IF(Z66&gt;Z55," * Prep New FSW "&amp;$Z$19&amp;" "&amp;$Z$20&amp;" is more than Offered Prep FSW"&amp;CHAR(10),""),IF(AA66&gt;AA55," * Prep New FSW "&amp;$Z$19&amp;" "&amp;$AA$20&amp;" is more than Offered Prep FSW"&amp;CHAR(10),""))</f>
        <v/>
      </c>
      <c r="AD55" s="674" t="str">
        <f>CONCATENATE(AC55,AC56,AC57,AC58,AC59,AC60,AC61,AC62,AC63)</f>
        <v/>
      </c>
      <c r="AE55" s="171"/>
      <c r="AF55" s="671"/>
      <c r="AG55" s="157">
        <v>156</v>
      </c>
    </row>
    <row r="56" spans="1:33" s="4" customFormat="1" ht="53.25" customHeight="1" thickBot="1">
      <c r="A56" s="858"/>
      <c r="B56" s="207" t="s">
        <v>902</v>
      </c>
      <c r="C56" s="547" t="s">
        <v>979</v>
      </c>
      <c r="D56" s="162"/>
      <c r="E56" s="163"/>
      <c r="F56" s="162"/>
      <c r="G56" s="163"/>
      <c r="H56" s="162"/>
      <c r="I56" s="163"/>
      <c r="J56" s="162"/>
      <c r="K56" s="192"/>
      <c r="L56" s="565"/>
      <c r="M56" s="559"/>
      <c r="N56" s="560"/>
      <c r="O56" s="559"/>
      <c r="P56" s="560"/>
      <c r="Q56" s="559"/>
      <c r="R56" s="560"/>
      <c r="S56" s="559"/>
      <c r="T56" s="560"/>
      <c r="U56" s="559"/>
      <c r="V56" s="560"/>
      <c r="W56" s="559"/>
      <c r="X56" s="560"/>
      <c r="Y56" s="559"/>
      <c r="Z56" s="560"/>
      <c r="AA56" s="566"/>
      <c r="AB56" s="347">
        <f>SUM(D56:AA56)</f>
        <v>0</v>
      </c>
      <c r="AC56" s="206" t="str">
        <f>CONCATENATE(IF(D67&gt;D56," * Prep New MSM "&amp;$D$19&amp;" "&amp;$D$20&amp;" is more than Offered Prep MSM"&amp;CHAR(10),""),IF(E67&gt;E56," * Prep New MSM "&amp;$D$19&amp;" "&amp;$E$20&amp;" is more than Offered Prep MSM"&amp;CHAR(10),""),IF(F67&gt;F56," * Prep New MSM "&amp;$F$19&amp;" "&amp;$F$20&amp;" is more than Offered Prep MSM"&amp;CHAR(10),""),IF(G67&gt;G56," * Prep New MSM "&amp;$F$19&amp;" "&amp;$G$20&amp;" is more than Offered Prep MSM"&amp;CHAR(10),""),IF(H67&gt;H56," * Prep New MSM "&amp;$H$19&amp;" "&amp;$H$20&amp;" is more than Offered Prep MSM"&amp;CHAR(10),""),IF(I67&gt;I56," * Prep New MSM "&amp;$H$19&amp;" "&amp;$I$20&amp;" is more than Offered Prep MSM"&amp;CHAR(10),""),IF(J67&gt;J56," * Prep New MSM "&amp;$J$19&amp;" "&amp;$J$20&amp;" is more than Offered Prep MSM"&amp;CHAR(10),""),IF(K67&gt;K56," * Prep New MSM "&amp;$J$19&amp;" "&amp;$K$20&amp;" is more than Offered Prep MSM"&amp;CHAR(10),""),IF(L67&gt;L56," * Prep New MSM "&amp;$L$19&amp;" "&amp;$L$20&amp;" is more than Offered Prep MSM"&amp;CHAR(10),""),IF(M67&gt;M56," * Prep New MSM "&amp;$L$19&amp;" "&amp;$M$20&amp;" is more than Offered Prep MSM"&amp;CHAR(10),""),IF(N67&gt;N56," * Prep New MSM "&amp;$N$19&amp;" "&amp;$N$20&amp;" is more than Offered Prep MSM"&amp;CHAR(10),""),IF(O67&gt;O56," * Prep New MSM "&amp;$N$19&amp;" "&amp;$O$20&amp;" is more than Offered Prep MSM"&amp;CHAR(10),""),IF(P67&gt;P56," * Prep New MSM "&amp;$P$19&amp;" "&amp;$P$20&amp;" is more than Offered Prep MSM"&amp;CHAR(10),""),IF(Q67&gt;Q56," * Prep New MSM "&amp;$P$19&amp;" "&amp;$Q$20&amp;" is more than Offered Prep MSM"&amp;CHAR(10),""),IF(R67&gt;R56," * Prep New MSM "&amp;$R$19&amp;" "&amp;$R$20&amp;" is more than Offered Prep MSM"&amp;CHAR(10),""),IF(S67&gt;S56," * Prep New MSM "&amp;$R$19&amp;" "&amp;$S$20&amp;" is more than Offered Prep MSM"&amp;CHAR(10),""),IF(T67&gt;T56," * Prep New MSM "&amp;$T$19&amp;" "&amp;$T$20&amp;" is more than Offered Prep MSM"&amp;CHAR(10),""),IF(U67&gt;U56," * Prep New MSM "&amp;$T$19&amp;" "&amp;$U$20&amp;" is more than Offered Prep MSM"&amp;CHAR(10),""),IF(V67&gt;V56," * Prep New MSM "&amp;$V$19&amp;" "&amp;$V$20&amp;" is more than Offered Prep MSM"&amp;CHAR(10),""),IF(W67&gt;W56," * Prep New MSM "&amp;$V$19&amp;" "&amp;$W$20&amp;" is more than Offered Prep MSM"&amp;CHAR(10),""),IF(X67&gt;X56," * Prep New MSM "&amp;$X$19&amp;" "&amp;$X$20&amp;" is more than Offered Prep MSM"&amp;CHAR(10),""),IF(Y67&gt;Y56," * Prep New MSM "&amp;$X$19&amp;" "&amp;$Y$20&amp;" is more than Offered Prep MSM"&amp;CHAR(10),""),IF(Z67&gt;Z56," * Prep New MSM "&amp;$Z$19&amp;" "&amp;$Z$20&amp;" is more than Offered Prep MSM"&amp;CHAR(10),""),IF(AA67&gt;AA56," * Prep New MSM "&amp;$Z$19&amp;" "&amp;$AA$20&amp;" is more than Offered Prep MSM"&amp;CHAR(10),""))</f>
        <v/>
      </c>
      <c r="AD56" s="675"/>
      <c r="AE56" s="171"/>
      <c r="AF56" s="672"/>
      <c r="AG56" s="157">
        <v>157</v>
      </c>
    </row>
    <row r="57" spans="1:33" s="4" customFormat="1" ht="53.25" customHeight="1" thickBot="1">
      <c r="A57" s="858"/>
      <c r="B57" s="207" t="s">
        <v>903</v>
      </c>
      <c r="C57" s="547" t="s">
        <v>980</v>
      </c>
      <c r="D57" s="162"/>
      <c r="E57" s="163"/>
      <c r="F57" s="162"/>
      <c r="G57" s="163"/>
      <c r="H57" s="162"/>
      <c r="I57" s="163"/>
      <c r="J57" s="162"/>
      <c r="K57" s="192"/>
      <c r="L57" s="565"/>
      <c r="M57" s="560"/>
      <c r="N57" s="560"/>
      <c r="O57" s="560"/>
      <c r="P57" s="560"/>
      <c r="Q57" s="560"/>
      <c r="R57" s="560"/>
      <c r="S57" s="560"/>
      <c r="T57" s="560"/>
      <c r="U57" s="560"/>
      <c r="V57" s="560"/>
      <c r="W57" s="560"/>
      <c r="X57" s="560"/>
      <c r="Y57" s="560"/>
      <c r="Z57" s="560"/>
      <c r="AA57" s="567"/>
      <c r="AB57" s="347">
        <f>SUM(D57:AA57)</f>
        <v>0</v>
      </c>
      <c r="AC57" s="206" t="str">
        <f>CONCATENATE(IF(D68&gt;D57," * Prep New People In Prison "&amp;$D$19&amp;" "&amp;$D$20&amp;" is more than Offered Prep People In Prison"&amp;CHAR(10),""),IF(E68&gt;E57," * Prep New People In Prison "&amp;$D$19&amp;" "&amp;$E$20&amp;" is more than Offered Prep People In Prison"&amp;CHAR(10),""),IF(F68&gt;F57," * Prep New People In Prison "&amp;$F$19&amp;" "&amp;$F$20&amp;" is more than Offered Prep People In Prison"&amp;CHAR(10),""),IF(G68&gt;G57," * Prep New People In Prison "&amp;$F$19&amp;" "&amp;$G$20&amp;" is more than Offered Prep People In Prison"&amp;CHAR(10),""),IF(H68&gt;H57," * Prep New People In Prison "&amp;$H$19&amp;" "&amp;$H$20&amp;" is more than Offered Prep People In Prison"&amp;CHAR(10),""),IF(I68&gt;I57," * Prep New People In Prison "&amp;$H$19&amp;" "&amp;$I$20&amp;" is more than Offered Prep People In Prison"&amp;CHAR(10),""),IF(J68&gt;J57," * Prep New People In Prison "&amp;$J$19&amp;" "&amp;$J$20&amp;" is more than Offered Prep People In Prison"&amp;CHAR(10),""),IF(K68&gt;K57," * Prep New People In Prison "&amp;$J$19&amp;" "&amp;$K$20&amp;" is more than Offered Prep People In Prison"&amp;CHAR(10),""),IF(L68&gt;L57," * Prep New People In Prison "&amp;$L$19&amp;" "&amp;$L$20&amp;" is more than Offered Prep People In Prison"&amp;CHAR(10),""),IF(M68&gt;M57," * Prep New People In Prison "&amp;$L$19&amp;" "&amp;$M$20&amp;" is more than Offered Prep People In Prison"&amp;CHAR(10),""),IF(N68&gt;N57," * Prep New People In Prison "&amp;$N$19&amp;" "&amp;$N$20&amp;" is more than Offered Prep People In Prison"&amp;CHAR(10),""),IF(O68&gt;O57," * Prep New People In Prison "&amp;$N$19&amp;" "&amp;$O$20&amp;" is more than Offered Prep People In Prison"&amp;CHAR(10),""),IF(P68&gt;P57," * Prep New People In Prison "&amp;$P$19&amp;" "&amp;$P$20&amp;" is more than Offered Prep People In Prison"&amp;CHAR(10),""),IF(Q68&gt;Q57," * Prep New People In Prison "&amp;$P$19&amp;" "&amp;$Q$20&amp;" is more than Offered Prep People In Prison"&amp;CHAR(10),""),IF(R68&gt;R57," * Prep New People In Prison "&amp;$R$19&amp;" "&amp;$R$20&amp;" is more than Offered Prep People In Prison"&amp;CHAR(10),""),IF(S68&gt;S57," * Prep New People In Prison "&amp;$R$19&amp;" "&amp;$S$20&amp;" is more than Offered Prep People In Prison"&amp;CHAR(10),""),IF(T68&gt;T57," * Prep New People In Prison "&amp;$T$19&amp;" "&amp;$T$20&amp;" is more than Offered Prep People In Prison"&amp;CHAR(10),""),IF(U68&gt;U57," * Prep New People In Prison "&amp;$T$19&amp;" "&amp;$U$20&amp;" is more than Offered Prep People In Prison"&amp;CHAR(10),""),IF(V68&gt;V57," * Prep New People In Prison "&amp;$V$19&amp;" "&amp;$V$20&amp;" is more than Offered Prep People In Prison"&amp;CHAR(10),""),IF(W68&gt;W57," * Prep New People In Prison "&amp;$V$19&amp;" "&amp;$W$20&amp;" is more than Offered Prep People In Prison"&amp;CHAR(10),""),IF(X68&gt;X57," * Prep New People In Prison "&amp;$X$19&amp;" "&amp;$X$20&amp;" is more than Offered Prep People In Prison"&amp;CHAR(10),""),IF(Y68&gt;Y57," * Prep New People In Prison "&amp;$X$19&amp;" "&amp;$Y$20&amp;" is more than Offered Prep People In Prison"&amp;CHAR(10),""),IF(Z68&gt;Z57," * Prep New People In Prison "&amp;$Z$19&amp;" "&amp;$Z$20&amp;" is more than Offered Prep People In Prison"&amp;CHAR(10),""),IF(AA68&gt;AA57," * Prep New People In Prison "&amp;$Z$19&amp;" "&amp;$AA$20&amp;" is more than Offered Prep People In Prison"&amp;CHAR(10),""))</f>
        <v/>
      </c>
      <c r="AD57" s="675"/>
      <c r="AE57" s="171"/>
      <c r="AF57" s="672"/>
      <c r="AG57" s="157">
        <v>159</v>
      </c>
    </row>
    <row r="58" spans="1:33" s="4" customFormat="1" ht="53.25" customHeight="1" thickBot="1">
      <c r="A58" s="858"/>
      <c r="B58" s="207" t="s">
        <v>904</v>
      </c>
      <c r="C58" s="547" t="s">
        <v>981</v>
      </c>
      <c r="D58" s="162"/>
      <c r="E58" s="163"/>
      <c r="F58" s="162"/>
      <c r="G58" s="163"/>
      <c r="H58" s="162"/>
      <c r="I58" s="163"/>
      <c r="J58" s="162"/>
      <c r="K58" s="192"/>
      <c r="L58" s="565"/>
      <c r="M58" s="560"/>
      <c r="N58" s="560"/>
      <c r="O58" s="560"/>
      <c r="P58" s="560"/>
      <c r="Q58" s="560"/>
      <c r="R58" s="560"/>
      <c r="S58" s="560"/>
      <c r="T58" s="560"/>
      <c r="U58" s="560"/>
      <c r="V58" s="560"/>
      <c r="W58" s="560"/>
      <c r="X58" s="560"/>
      <c r="Y58" s="560"/>
      <c r="Z58" s="560"/>
      <c r="AA58" s="567"/>
      <c r="AB58" s="348">
        <f>SUM(D58:AA58)</f>
        <v>0</v>
      </c>
      <c r="AC58" s="206" t="str">
        <f>CONCATENATE(IF(D69&gt;D58," * Prep New PWID "&amp;$D$19&amp;" "&amp;$D$20&amp;" is more than Offered Prep PWID"&amp;CHAR(10),""),IF(E69&gt;E58," * Prep New PWID "&amp;$D$19&amp;" "&amp;$E$20&amp;" is more than Offered Prep PWID"&amp;CHAR(10),""),IF(F69&gt;F58," * Prep New PWID "&amp;$F$19&amp;" "&amp;$F$20&amp;" is more than Offered Prep PWID"&amp;CHAR(10),""),IF(G69&gt;G58," * Prep New PWID "&amp;$F$19&amp;" "&amp;$G$20&amp;" is more than Offered Prep PWID"&amp;CHAR(10),""),IF(H69&gt;H58," * Prep New PWID "&amp;$H$19&amp;" "&amp;$H$20&amp;" is more than Offered Prep PWID"&amp;CHAR(10),""),IF(I69&gt;I58," * Prep New PWID "&amp;$H$19&amp;" "&amp;$I$20&amp;" is more than Offered Prep PWID"&amp;CHAR(10),""),IF(J69&gt;J58," * Prep New PWID "&amp;$J$19&amp;" "&amp;$J$20&amp;" is more than Offered Prep PWID"&amp;CHAR(10),""),IF(K69&gt;K58," * Prep New PWID "&amp;$J$19&amp;" "&amp;$K$20&amp;" is more than Offered Prep PWID"&amp;CHAR(10),""),IF(L69&gt;L58," * Prep New PWID "&amp;$L$19&amp;" "&amp;$L$20&amp;" is more than Offered Prep PWID"&amp;CHAR(10),""),IF(M69&gt;M58," * Prep New PWID "&amp;$L$19&amp;" "&amp;$M$20&amp;" is more than Offered Prep PWID"&amp;CHAR(10),""),IF(N69&gt;N58," * Prep New PWID "&amp;$N$19&amp;" "&amp;$N$20&amp;" is more than Offered Prep PWID"&amp;CHAR(10),""),IF(O69&gt;O58," * Prep New PWID "&amp;$N$19&amp;" "&amp;$O$20&amp;" is more than Offered Prep PWID"&amp;CHAR(10),""),IF(P69&gt;P58," * Prep New PWID "&amp;$P$19&amp;" "&amp;$P$20&amp;" is more than Offered Prep PWID"&amp;CHAR(10),""),IF(Q69&gt;Q58," * Prep New PWID "&amp;$P$19&amp;" "&amp;$Q$20&amp;" is more than Offered Prep PWID"&amp;CHAR(10),""),IF(R69&gt;R58," * Prep New PWID "&amp;$R$19&amp;" "&amp;$R$20&amp;" is more than Offered Prep PWID"&amp;CHAR(10),""),IF(S69&gt;S58," * Prep New PWID "&amp;$R$19&amp;" "&amp;$S$20&amp;" is more than Offered Prep PWID"&amp;CHAR(10),""),IF(T69&gt;T58," * Prep New PWID "&amp;$T$19&amp;" "&amp;$T$20&amp;" is more than Offered Prep PWID"&amp;CHAR(10),""),IF(U69&gt;U58," * Prep New PWID "&amp;$T$19&amp;" "&amp;$U$20&amp;" is more than Offered Prep PWID"&amp;CHAR(10),""),IF(V69&gt;V58," * Prep New PWID "&amp;$V$19&amp;" "&amp;$V$20&amp;" is more than Offered Prep PWID"&amp;CHAR(10),""),IF(W69&gt;W58," * Prep New PWID "&amp;$V$19&amp;" "&amp;$W$20&amp;" is more than Offered Prep PWID"&amp;CHAR(10),""),IF(X69&gt;X58," * Prep New PWID "&amp;$X$19&amp;" "&amp;$X$20&amp;" is more than Offered Prep PWID"&amp;CHAR(10),""),IF(Y69&gt;Y58," * Prep New PWID "&amp;$X$19&amp;" "&amp;$Y$20&amp;" is more than Offered Prep PWID"&amp;CHAR(10),""),IF(Z69&gt;Z58," * Prep New PWID "&amp;$Z$19&amp;" "&amp;$Z$20&amp;" is more than Offered Prep PWID"&amp;CHAR(10),""),IF(AA69&gt;AA58," * Prep New PWID "&amp;$Z$19&amp;" "&amp;$AA$20&amp;" is more than Offered Prep PWID"&amp;CHAR(10),""))</f>
        <v/>
      </c>
      <c r="AD58" s="675"/>
      <c r="AE58" s="171"/>
      <c r="AF58" s="672"/>
      <c r="AG58" s="157">
        <v>160</v>
      </c>
    </row>
    <row r="59" spans="1:33" s="4" customFormat="1" ht="53.25" customHeight="1" thickBot="1">
      <c r="A59" s="858"/>
      <c r="B59" s="207" t="s">
        <v>905</v>
      </c>
      <c r="C59" s="547" t="s">
        <v>982</v>
      </c>
      <c r="D59" s="162"/>
      <c r="E59" s="163"/>
      <c r="F59" s="162"/>
      <c r="G59" s="163"/>
      <c r="H59" s="162"/>
      <c r="I59" s="163"/>
      <c r="J59" s="162"/>
      <c r="K59" s="192"/>
      <c r="L59" s="568"/>
      <c r="M59" s="559"/>
      <c r="N59" s="559"/>
      <c r="O59" s="559"/>
      <c r="P59" s="559"/>
      <c r="Q59" s="559"/>
      <c r="R59" s="559"/>
      <c r="S59" s="559"/>
      <c r="T59" s="559"/>
      <c r="U59" s="559"/>
      <c r="V59" s="559"/>
      <c r="W59" s="559"/>
      <c r="X59" s="559"/>
      <c r="Y59" s="559"/>
      <c r="Z59" s="559"/>
      <c r="AA59" s="566"/>
      <c r="AB59" s="573"/>
      <c r="AC59" s="206" t="str">
        <f>CONCATENATE(,IF(AB70&gt;AB59," * Prep New PWID "&amp;$AB$19&amp;"  is more than Offered Prep PWID"&amp;CHAR(10),""))</f>
        <v/>
      </c>
      <c r="AD59" s="675"/>
      <c r="AE59" s="171"/>
      <c r="AF59" s="672"/>
      <c r="AG59" s="157">
        <v>161</v>
      </c>
    </row>
    <row r="60" spans="1:33" s="4" customFormat="1" ht="53.25" customHeight="1" thickBot="1">
      <c r="A60" s="858"/>
      <c r="B60" s="207" t="s">
        <v>998</v>
      </c>
      <c r="C60" s="547" t="s">
        <v>983</v>
      </c>
      <c r="D60" s="162"/>
      <c r="E60" s="163"/>
      <c r="F60" s="162"/>
      <c r="G60" s="163"/>
      <c r="H60" s="162"/>
      <c r="I60" s="163"/>
      <c r="J60" s="162"/>
      <c r="K60" s="192"/>
      <c r="L60" s="565"/>
      <c r="M60" s="560"/>
      <c r="N60" s="560"/>
      <c r="O60" s="560"/>
      <c r="P60" s="560"/>
      <c r="Q60" s="560"/>
      <c r="R60" s="560"/>
      <c r="S60" s="560"/>
      <c r="T60" s="560"/>
      <c r="U60" s="560"/>
      <c r="V60" s="560"/>
      <c r="W60" s="560"/>
      <c r="X60" s="560"/>
      <c r="Y60" s="560"/>
      <c r="Z60" s="560"/>
      <c r="AA60" s="567"/>
      <c r="AB60" s="347">
        <f>SUM(D60:AA60)</f>
        <v>0</v>
      </c>
      <c r="AC60" s="206"/>
      <c r="AD60" s="675"/>
      <c r="AE60" s="171"/>
      <c r="AF60" s="672"/>
      <c r="AG60" s="157">
        <v>157</v>
      </c>
    </row>
    <row r="61" spans="1:33" s="4" customFormat="1" ht="53.25" customHeight="1" thickBot="1">
      <c r="A61" s="858"/>
      <c r="B61" s="207" t="s">
        <v>999</v>
      </c>
      <c r="C61" s="547" t="s">
        <v>984</v>
      </c>
      <c r="D61" s="162"/>
      <c r="E61" s="163"/>
      <c r="F61" s="162"/>
      <c r="G61" s="163"/>
      <c r="H61" s="162"/>
      <c r="I61" s="163"/>
      <c r="J61" s="162"/>
      <c r="K61" s="192"/>
      <c r="L61" s="565"/>
      <c r="M61" s="560"/>
      <c r="N61" s="560"/>
      <c r="O61" s="560"/>
      <c r="P61" s="560"/>
      <c r="Q61" s="560"/>
      <c r="R61" s="560"/>
      <c r="S61" s="560"/>
      <c r="T61" s="560"/>
      <c r="U61" s="560"/>
      <c r="V61" s="560"/>
      <c r="W61" s="560"/>
      <c r="X61" s="560"/>
      <c r="Y61" s="560"/>
      <c r="Z61" s="560"/>
      <c r="AA61" s="567"/>
      <c r="AB61" s="347">
        <f>SUM(D61:AA61)</f>
        <v>0</v>
      </c>
      <c r="AC61" s="206"/>
      <c r="AD61" s="675"/>
      <c r="AE61" s="171"/>
      <c r="AF61" s="672"/>
      <c r="AG61" s="157">
        <v>157</v>
      </c>
    </row>
    <row r="62" spans="1:33" s="4" customFormat="1" ht="53.25" customHeight="1" thickBot="1">
      <c r="A62" s="858"/>
      <c r="B62" s="207" t="s">
        <v>1000</v>
      </c>
      <c r="C62" s="547" t="s">
        <v>985</v>
      </c>
      <c r="D62" s="162"/>
      <c r="E62" s="163"/>
      <c r="F62" s="162"/>
      <c r="G62" s="163"/>
      <c r="H62" s="162"/>
      <c r="I62" s="163"/>
      <c r="J62" s="162"/>
      <c r="K62" s="192"/>
      <c r="L62" s="568"/>
      <c r="M62" s="560"/>
      <c r="N62" s="559"/>
      <c r="O62" s="560"/>
      <c r="P62" s="559"/>
      <c r="Q62" s="560"/>
      <c r="R62" s="559"/>
      <c r="S62" s="560"/>
      <c r="T62" s="559"/>
      <c r="U62" s="560"/>
      <c r="V62" s="559"/>
      <c r="W62" s="560"/>
      <c r="X62" s="559"/>
      <c r="Y62" s="560"/>
      <c r="Z62" s="559"/>
      <c r="AA62" s="567"/>
      <c r="AB62" s="135">
        <f>SUM(D62:AA62)</f>
        <v>0</v>
      </c>
      <c r="AC62" s="206"/>
      <c r="AD62" s="675"/>
      <c r="AE62" s="171"/>
      <c r="AF62" s="672"/>
      <c r="AG62" s="157">
        <v>156</v>
      </c>
    </row>
    <row r="63" spans="1:33" s="4" customFormat="1" ht="53.25" customHeight="1" thickBot="1">
      <c r="A63" s="859"/>
      <c r="B63" s="207" t="s">
        <v>1001</v>
      </c>
      <c r="C63" s="547" t="s">
        <v>986</v>
      </c>
      <c r="D63" s="162"/>
      <c r="E63" s="163"/>
      <c r="F63" s="162"/>
      <c r="G63" s="163"/>
      <c r="H63" s="162"/>
      <c r="I63" s="163"/>
      <c r="J63" s="162"/>
      <c r="K63" s="192"/>
      <c r="L63" s="569"/>
      <c r="M63" s="570"/>
      <c r="N63" s="571"/>
      <c r="O63" s="570"/>
      <c r="P63" s="571"/>
      <c r="Q63" s="570"/>
      <c r="R63" s="571"/>
      <c r="S63" s="570"/>
      <c r="T63" s="571"/>
      <c r="U63" s="570"/>
      <c r="V63" s="571"/>
      <c r="W63" s="570"/>
      <c r="X63" s="571"/>
      <c r="Y63" s="570"/>
      <c r="Z63" s="571"/>
      <c r="AA63" s="572"/>
      <c r="AB63" s="135">
        <f>SUM(D63:AA63)</f>
        <v>0</v>
      </c>
      <c r="AC63" s="206"/>
      <c r="AD63" s="676"/>
      <c r="AE63" s="171"/>
      <c r="AF63" s="673"/>
      <c r="AG63" s="157">
        <v>156</v>
      </c>
    </row>
    <row r="64" spans="1:33" s="4" customFormat="1" ht="53.25" customHeight="1" thickBot="1">
      <c r="A64" s="688" t="s">
        <v>1018</v>
      </c>
      <c r="B64" s="689"/>
      <c r="C64" s="690"/>
      <c r="D64" s="689"/>
      <c r="E64" s="689"/>
      <c r="F64" s="689"/>
      <c r="G64" s="689"/>
      <c r="H64" s="689"/>
      <c r="I64" s="689"/>
      <c r="J64" s="689"/>
      <c r="K64" s="689"/>
      <c r="L64" s="692"/>
      <c r="M64" s="692"/>
      <c r="N64" s="692"/>
      <c r="O64" s="692"/>
      <c r="P64" s="692"/>
      <c r="Q64" s="692"/>
      <c r="R64" s="692"/>
      <c r="S64" s="692"/>
      <c r="T64" s="692"/>
      <c r="U64" s="692"/>
      <c r="V64" s="692"/>
      <c r="W64" s="692"/>
      <c r="X64" s="692"/>
      <c r="Y64" s="692"/>
      <c r="Z64" s="692"/>
      <c r="AA64" s="692"/>
      <c r="AB64" s="692"/>
      <c r="AC64" s="692"/>
      <c r="AD64" s="689"/>
      <c r="AE64" s="689"/>
      <c r="AF64" s="724"/>
      <c r="AG64" s="158">
        <v>154</v>
      </c>
    </row>
    <row r="65" spans="1:33" s="6" customFormat="1" ht="53.25" customHeight="1" thickBot="1">
      <c r="A65" s="375" t="s">
        <v>172</v>
      </c>
      <c r="B65" s="199" t="s">
        <v>172</v>
      </c>
      <c r="C65" s="153" t="s">
        <v>236</v>
      </c>
      <c r="D65" s="200">
        <f t="shared" ref="D65:AB65" si="8">SUM(D66:D70)</f>
        <v>0</v>
      </c>
      <c r="E65" s="201">
        <f t="shared" si="8"/>
        <v>0</v>
      </c>
      <c r="F65" s="201">
        <f t="shared" si="8"/>
        <v>0</v>
      </c>
      <c r="G65" s="201">
        <f t="shared" si="8"/>
        <v>0</v>
      </c>
      <c r="H65" s="201">
        <f t="shared" si="8"/>
        <v>0</v>
      </c>
      <c r="I65" s="201">
        <f t="shared" si="8"/>
        <v>0</v>
      </c>
      <c r="J65" s="201">
        <f t="shared" si="8"/>
        <v>0</v>
      </c>
      <c r="K65" s="201">
        <f t="shared" si="8"/>
        <v>0</v>
      </c>
      <c r="L65" s="342">
        <f t="shared" si="8"/>
        <v>0</v>
      </c>
      <c r="M65" s="342">
        <f t="shared" si="8"/>
        <v>0</v>
      </c>
      <c r="N65" s="342">
        <f t="shared" si="8"/>
        <v>0</v>
      </c>
      <c r="O65" s="342">
        <f t="shared" si="8"/>
        <v>0</v>
      </c>
      <c r="P65" s="342">
        <f t="shared" si="8"/>
        <v>0</v>
      </c>
      <c r="Q65" s="342">
        <f t="shared" si="8"/>
        <v>0</v>
      </c>
      <c r="R65" s="342">
        <f t="shared" si="8"/>
        <v>0</v>
      </c>
      <c r="S65" s="342">
        <f t="shared" si="8"/>
        <v>0</v>
      </c>
      <c r="T65" s="342">
        <f t="shared" si="8"/>
        <v>0</v>
      </c>
      <c r="U65" s="342">
        <f t="shared" si="8"/>
        <v>0</v>
      </c>
      <c r="V65" s="342">
        <f t="shared" si="8"/>
        <v>0</v>
      </c>
      <c r="W65" s="342">
        <f t="shared" si="8"/>
        <v>0</v>
      </c>
      <c r="X65" s="342">
        <f t="shared" si="8"/>
        <v>0</v>
      </c>
      <c r="Y65" s="342">
        <f t="shared" si="8"/>
        <v>0</v>
      </c>
      <c r="Z65" s="342">
        <f t="shared" si="8"/>
        <v>0</v>
      </c>
      <c r="AA65" s="342">
        <f t="shared" si="8"/>
        <v>0</v>
      </c>
      <c r="AB65" s="201">
        <f t="shared" si="8"/>
        <v>0</v>
      </c>
      <c r="AC65" s="202"/>
      <c r="AD65" s="674" t="str">
        <f>CONCATENATE(AC65,AC66,AC67,AC68,AC69,AC70)</f>
        <v/>
      </c>
      <c r="AE65" s="203" t="str">
        <f>CONCATENATE(IF(D65&lt;&gt;D23," * Some Patients  "&amp;$D$19&amp;" "&amp;$D$20&amp;" have not been initiated on Prep"&amp;CHAR(10),""),IF(E65&lt;&gt;E23," * Some Patients  "&amp;$D$19&amp;" "&amp;$E$20&amp;" have not been initiated on Prep"&amp;CHAR(10),""),IF(F65&lt;&gt;F23," * Some Patients  "&amp;$F$19&amp;" "&amp;$F$20&amp;" have not been initiated on Prep"&amp;CHAR(10),""),IF(G65&lt;&gt;G23," * Some Patients  "&amp;$F$19&amp;" "&amp;$G$20&amp;" have not been initiated on Prep"&amp;CHAR(10),""),IF(H65&lt;&gt;H23," * Some Patients  "&amp;$H$19&amp;" "&amp;$H$20&amp;" have not been initiated on Prep"&amp;CHAR(10),""),IF(I65&lt;&gt;I23," * Some Patients  "&amp;$H$19&amp;" "&amp;$I$20&amp;" have not been initiated on Prep"&amp;CHAR(10),""),IF(J65&lt;&gt;J23," * Some Patients  "&amp;$J$19&amp;" "&amp;$J$20&amp;" have not been initiated on Prep"&amp;CHAR(10),""),IF(K65&lt;&gt;K23," * Some Patients  "&amp;$J$19&amp;" "&amp;$K$20&amp;" have not been initiated on Prep"&amp;CHAR(10),""),IF(L65&lt;&gt;L23," * Some Patients  "&amp;$L$19&amp;" "&amp;$L$20&amp;" have not been initiated on Prep"&amp;CHAR(10),""),IF(M65&lt;&gt;M23," * Some Patients  "&amp;$L$19&amp;" "&amp;$M$20&amp;" have not been initiated on Prep"&amp;CHAR(10),""),IF(N65&lt;&gt;N23," * Some Patients  "&amp;$N$19&amp;" "&amp;$N$20&amp;" have not been initiated on Prep"&amp;CHAR(10),""),IF(O65&lt;&gt;O23," * Some Patients  "&amp;$N$19&amp;" "&amp;$O$20&amp;" have not been initiated on Prep"&amp;CHAR(10),""),IF(P65&lt;&gt;P23," * Some Patients  "&amp;$P$19&amp;" "&amp;$P$20&amp;" have not been initiated on Prep"&amp;CHAR(10),""),IF(Q65&lt;&gt;Q23," * Some Patients  "&amp;$P$19&amp;" "&amp;$Q$20&amp;" have not been initiated on Prep"&amp;CHAR(10),""),IF(R65&lt;&gt;R23," * Some Patients  "&amp;$R$19&amp;" "&amp;$R$20&amp;" have not been initiated on Prep"&amp;CHAR(10),""),IF(S65&lt;&gt;S23," * Some Patients  "&amp;$R$19&amp;" "&amp;$S$20&amp;" have not been initiated on Prep"&amp;CHAR(10),""),IF(T65&lt;&gt;T23," * Some Patients  "&amp;$T$19&amp;" "&amp;$T$20&amp;" have not been initiated on Prep"&amp;CHAR(10),""),IF(U65&lt;&gt;U23," * Some Patients  "&amp;$T$19&amp;" "&amp;$U$20&amp;" have not been initiated on Prep"&amp;CHAR(10),""),IF(V65&lt;&gt;V23," * Some Patients  "&amp;$V$19&amp;" "&amp;$V$20&amp;" have not been initiated on Prep"&amp;CHAR(10),""),IF(W65&lt;&gt;W23," * Some Patients  "&amp;$V$19&amp;" "&amp;$W$20&amp;" have not been initiated on Prep"&amp;CHAR(10),""),IF(X65&lt;&gt;X23," * Some Patients  "&amp;$X$19&amp;" "&amp;$X$20&amp;" have not been initiated on Prep"&amp;CHAR(10),""),IF(Y65&lt;&gt;Y23," * Some Patients  "&amp;$X$19&amp;" "&amp;$Y$20&amp;" have not been initiated on Prep"&amp;CHAR(10),""),IF(Z65&lt;&gt;Z23," * Some Patients  "&amp;$Z$19&amp;" "&amp;$Z$20&amp;" have not been initiated on Prep"&amp;CHAR(10),""),IF(AA65&lt;&gt;AA23," * Some Patients  "&amp;$Z$19&amp;" "&amp;$AA$20&amp;" have not been initiated on Prep"&amp;CHAR(10),""))</f>
        <v/>
      </c>
      <c r="AF65" s="845" t="str">
        <f>CONCATENATE(AE65,AE66,AE67,AE68,AE69,AE70)</f>
        <v/>
      </c>
      <c r="AG65" s="157">
        <v>155</v>
      </c>
    </row>
    <row r="66" spans="1:33" s="4" customFormat="1" ht="53.25" customHeight="1">
      <c r="A66" s="540" t="s">
        <v>78</v>
      </c>
      <c r="B66" s="204" t="s">
        <v>173</v>
      </c>
      <c r="C66" s="547" t="s">
        <v>237</v>
      </c>
      <c r="D66" s="182"/>
      <c r="E66" s="183"/>
      <c r="F66" s="182"/>
      <c r="G66" s="183"/>
      <c r="H66" s="182"/>
      <c r="I66" s="183"/>
      <c r="J66" s="182"/>
      <c r="K66" s="227"/>
      <c r="L66" s="576"/>
      <c r="M66" s="577"/>
      <c r="N66" s="578"/>
      <c r="O66" s="577"/>
      <c r="P66" s="578"/>
      <c r="Q66" s="577"/>
      <c r="R66" s="578"/>
      <c r="S66" s="577"/>
      <c r="T66" s="578"/>
      <c r="U66" s="577"/>
      <c r="V66" s="578"/>
      <c r="W66" s="577"/>
      <c r="X66" s="578"/>
      <c r="Y66" s="577"/>
      <c r="Z66" s="578"/>
      <c r="AA66" s="579"/>
      <c r="AB66" s="135">
        <f>SUM(D66:AA66)</f>
        <v>0</v>
      </c>
      <c r="AC66" s="206" t="str">
        <f>CONCATENATE(IF(D66&gt;D27," * Prep New FSW "&amp;$D$19&amp;" "&amp;$D$20&amp;" is more than KP_PREV FSW"&amp;CHAR(10),""),IF(E66&gt;E27," * Prep New FSW "&amp;$D$19&amp;" "&amp;$E$20&amp;" is more than KP_PREV FSW"&amp;CHAR(10),""),IF(F66&gt;F27," * Prep New FSW "&amp;$F$19&amp;" "&amp;$F$20&amp;" is more than KP_PREV FSW"&amp;CHAR(10),""),IF(G66&gt;G27," * Prep New FSW "&amp;$F$19&amp;" "&amp;$G$20&amp;" is more than KP_PREV FSW"&amp;CHAR(10),""),IF(H66&gt;H27," * Prep New FSW "&amp;$H$19&amp;" "&amp;$H$20&amp;" is more than KP_PREV FSW"&amp;CHAR(10),""),IF(I66&gt;I27," * Prep New FSW "&amp;$H$19&amp;" "&amp;$I$20&amp;" is more than KP_PREV FSW"&amp;CHAR(10),""),IF(J66&gt;J27," * Prep New FSW "&amp;$J$19&amp;" "&amp;$J$20&amp;" is more than KP_PREV FSW"&amp;CHAR(10),""),IF(K66&gt;K27," * Prep New FSW "&amp;$J$19&amp;" "&amp;$K$20&amp;" is more than KP_PREV FSW"&amp;CHAR(10),""),IF(L66&gt;L27," * Prep New FSW "&amp;$L$19&amp;" "&amp;$L$20&amp;" is more than KP_PREV FSW"&amp;CHAR(10),""),IF(M66&gt;M27," * Prep New FSW "&amp;$L$19&amp;" "&amp;$M$20&amp;" is more than KP_PREV FSW"&amp;CHAR(10),""),IF(N66&gt;N27," * Prep New FSW "&amp;$N$19&amp;" "&amp;$N$20&amp;" is more than KP_PREV FSW"&amp;CHAR(10),""),IF(O66&gt;O27," * Prep New FSW "&amp;$N$19&amp;" "&amp;$O$20&amp;" is more than KP_PREV FSW"&amp;CHAR(10),""),IF(P66&gt;P27," * Prep New FSW "&amp;$P$19&amp;" "&amp;$P$20&amp;" is more than KP_PREV FSW"&amp;CHAR(10),""),IF(Q66&gt;Q27," * Prep New FSW "&amp;$P$19&amp;" "&amp;$Q$20&amp;" is more than KP_PREV FSW"&amp;CHAR(10),""),IF(R66&gt;R27," * Prep New FSW "&amp;$R$19&amp;" "&amp;$R$20&amp;" is more than KP_PREV FSW"&amp;CHAR(10),""),IF(S66&gt;S27," * Prep New FSW "&amp;$R$19&amp;" "&amp;$S$20&amp;" is more than KP_PREV FSW"&amp;CHAR(10),""),IF(T66&gt;T27," * Prep New FSW "&amp;$T$19&amp;" "&amp;$T$20&amp;" is more than KP_PREV FSW"&amp;CHAR(10),""),IF(U66&gt;U27," * Prep New FSW "&amp;$T$19&amp;" "&amp;$U$20&amp;" is more than KP_PREV FSW"&amp;CHAR(10),""),IF(V66&gt;V27," * Prep New FSW "&amp;$V$19&amp;" "&amp;$V$20&amp;" is more than KP_PREV FSW"&amp;CHAR(10),""),IF(W66&gt;W27," * Prep New FSW "&amp;$V$19&amp;" "&amp;$W$20&amp;" is more than KP_PREV FSW"&amp;CHAR(10),""),IF(X66&gt;X27," * Prep New FSW "&amp;$X$19&amp;" "&amp;$X$20&amp;" is more than KP_PREV FSW"&amp;CHAR(10),""),IF(Y66&gt;Y27," * Prep New FSW "&amp;$X$19&amp;" "&amp;$Y$20&amp;" is more than KP_PREV FSW"&amp;CHAR(10),""),IF(Z66&gt;Z27," * Prep New FSW "&amp;$Z$19&amp;" "&amp;$Z$20&amp;" is more than KP_PREV FSW"&amp;CHAR(10),""),IF(AA66&gt;AA27," * Prep New FSW "&amp;$Z$19&amp;" "&amp;$AA$20&amp;" is more than KP_PREV FSW"&amp;CHAR(10),""))</f>
        <v/>
      </c>
      <c r="AD66" s="675"/>
      <c r="AE66" s="171"/>
      <c r="AF66" s="846"/>
      <c r="AG66" s="157">
        <v>156</v>
      </c>
    </row>
    <row r="67" spans="1:33" s="4" customFormat="1" ht="44.25" customHeight="1">
      <c r="A67" s="376" t="s">
        <v>76</v>
      </c>
      <c r="B67" s="207" t="s">
        <v>174</v>
      </c>
      <c r="C67" s="547" t="s">
        <v>238</v>
      </c>
      <c r="D67" s="162"/>
      <c r="E67" s="163"/>
      <c r="F67" s="162"/>
      <c r="G67" s="163"/>
      <c r="H67" s="162"/>
      <c r="I67" s="163"/>
      <c r="J67" s="162"/>
      <c r="K67" s="192"/>
      <c r="L67" s="580"/>
      <c r="M67" s="574"/>
      <c r="N67" s="580"/>
      <c r="O67" s="574"/>
      <c r="P67" s="580"/>
      <c r="Q67" s="574"/>
      <c r="R67" s="580"/>
      <c r="S67" s="574"/>
      <c r="T67" s="580"/>
      <c r="U67" s="574"/>
      <c r="V67" s="580"/>
      <c r="W67" s="574"/>
      <c r="X67" s="580"/>
      <c r="Y67" s="574"/>
      <c r="Z67" s="580"/>
      <c r="AA67" s="581"/>
      <c r="AB67" s="347">
        <f>SUM(D67:AA67)</f>
        <v>0</v>
      </c>
      <c r="AC67" s="209" t="str">
        <f>CONCATENATE(IF(D67&gt;D25," * Prep New MSM "&amp;$D$19&amp;" "&amp;$D$20&amp;" is more than KP_PREV MSM"&amp;CHAR(10),""),IF(E67&gt;E25," * Prep New MSM "&amp;$D$19&amp;" "&amp;$E$20&amp;" is more than KP_PREV MSM"&amp;CHAR(10),""),IF(F67&gt;F25," * Prep New MSM "&amp;$F$19&amp;" "&amp;$F$20&amp;" is more than KP_PREV MSM"&amp;CHAR(10),""),IF(G67&gt;G25," * Prep New MSM "&amp;$F$19&amp;" "&amp;$G$20&amp;" is more than KP_PREV MSM"&amp;CHAR(10),""),IF(H67&gt;H25," * Prep New MSM "&amp;$H$19&amp;" "&amp;$H$20&amp;" is more than KP_PREV MSM"&amp;CHAR(10),""),IF(I67&gt;I25," * Prep New MSM "&amp;$H$19&amp;" "&amp;$I$20&amp;" is more than KP_PREV MSM"&amp;CHAR(10),""),IF(J67&gt;J25," * Prep New MSM "&amp;$J$19&amp;" "&amp;$J$20&amp;" is more than KP_PREV MSM"&amp;CHAR(10),""),IF(K67&gt;K25," * Prep New MSM "&amp;$J$19&amp;" "&amp;$K$20&amp;" is more than KP_PREV MSM"&amp;CHAR(10),""),IF(L67&gt;L25," * Prep New MSM "&amp;$L$19&amp;" "&amp;$L$20&amp;" is more than KP_PREV MSM"&amp;CHAR(10),""),IF(M67&gt;M25," * Prep New MSM "&amp;$L$19&amp;" "&amp;$M$20&amp;" is more than KP_PREV MSM"&amp;CHAR(10),""),IF(N67&gt;N25," * Prep New MSM "&amp;$N$19&amp;" "&amp;$N$20&amp;" is more than KP_PREV MSM"&amp;CHAR(10),""),IF(O67&gt;O25," * Prep New MSM "&amp;$N$19&amp;" "&amp;$O$20&amp;" is more than KP_PREV MSM"&amp;CHAR(10),""),IF(P67&gt;P25," * Prep New MSM "&amp;$P$19&amp;" "&amp;$P$20&amp;" is more than KP_PREV MSM"&amp;CHAR(10),""),IF(Q67&gt;Q25," * Prep New MSM "&amp;$P$19&amp;" "&amp;$Q$20&amp;" is more than KP_PREV MSM"&amp;CHAR(10),""),IF(R67&gt;R25," * Prep New MSM "&amp;$R$19&amp;" "&amp;$R$20&amp;" is more than KP_PREV MSM"&amp;CHAR(10),""),IF(S67&gt;S25," * Prep New MSM "&amp;$R$19&amp;" "&amp;$S$20&amp;" is more than KP_PREV MSM"&amp;CHAR(10),""),IF(T67&gt;T25," * Prep New MSM "&amp;$T$19&amp;" "&amp;$T$20&amp;" is more than KP_PREV MSM"&amp;CHAR(10),""),IF(U67&gt;U25," * Prep New MSM "&amp;$T$19&amp;" "&amp;$U$20&amp;" is more than KP_PREV MSM"&amp;CHAR(10),""),IF(V67&gt;V25," * Prep New MSM "&amp;$V$19&amp;" "&amp;$V$20&amp;" is more than KP_PREV MSM"&amp;CHAR(10),""),IF(W67&gt;W25," * Prep New MSM "&amp;$V$19&amp;" "&amp;$W$20&amp;" is more than KP_PREV MSM"&amp;CHAR(10),""),IF(X67&gt;X25," * Prep New MSM "&amp;$X$19&amp;" "&amp;$X$20&amp;" is more than KP_PREV MSM"&amp;CHAR(10),""),IF(Y67&gt;Y25," * Prep New MSM "&amp;$X$19&amp;" "&amp;$Y$20&amp;" is more than KP_PREV MSM"&amp;CHAR(10),""),IF(Z67&gt;Z25," * Prep New MSM "&amp;$Z$19&amp;" "&amp;$Z$20&amp;" is more than KP_PREV MSM"&amp;CHAR(10),""),IF(AA67&gt;AA25," * Prep New MSM "&amp;$Z$19&amp;" "&amp;$AA$20&amp;" is more than KP_PREV MSM"&amp;CHAR(10),""))</f>
        <v/>
      </c>
      <c r="AD67" s="675"/>
      <c r="AE67" s="171"/>
      <c r="AF67" s="846"/>
      <c r="AG67" s="157">
        <v>157</v>
      </c>
    </row>
    <row r="68" spans="1:33" s="4" customFormat="1" ht="53.25" customHeight="1">
      <c r="A68" s="376" t="s">
        <v>166</v>
      </c>
      <c r="B68" s="207" t="s">
        <v>175</v>
      </c>
      <c r="C68" s="547" t="s">
        <v>239</v>
      </c>
      <c r="D68" s="162"/>
      <c r="E68" s="163"/>
      <c r="F68" s="162"/>
      <c r="G68" s="163"/>
      <c r="H68" s="162"/>
      <c r="I68" s="163"/>
      <c r="J68" s="162"/>
      <c r="K68" s="192"/>
      <c r="L68" s="580"/>
      <c r="M68" s="575"/>
      <c r="N68" s="575"/>
      <c r="O68" s="575"/>
      <c r="P68" s="575"/>
      <c r="Q68" s="575"/>
      <c r="R68" s="575"/>
      <c r="S68" s="575"/>
      <c r="T68" s="575"/>
      <c r="U68" s="575"/>
      <c r="V68" s="575"/>
      <c r="W68" s="575"/>
      <c r="X68" s="575"/>
      <c r="Y68" s="575"/>
      <c r="Z68" s="575"/>
      <c r="AA68" s="582"/>
      <c r="AB68" s="347">
        <f>SUM(D68:AA68)</f>
        <v>0</v>
      </c>
      <c r="AC68" s="209" t="str">
        <f>CONCATENATE(IF(D68&gt;D28," * Prep New People in prison &amp; other closed settings "&amp;$D$19&amp;" "&amp;$D$20&amp;" is more than KP_PREV People in prison &amp; other closed settings"&amp;CHAR(10),""),IF(E68&gt;E28," * Prep New People in prison &amp; other closed settings "&amp;$D$19&amp;" "&amp;$E$20&amp;" is more than KP_PREV People in prison &amp; other closed settings"&amp;CHAR(10),""),IF(F68&gt;F28," * Prep New People in prison &amp; other closed settings "&amp;$F$19&amp;" "&amp;$F$20&amp;" is more than KP_PREV People in prison &amp; other closed settings"&amp;CHAR(10),""),IF(G68&gt;G28," * Prep New People in prison &amp; other closed settings "&amp;$F$19&amp;" "&amp;$G$20&amp;" is more than KP_PREV People in prison &amp; other closed settings"&amp;CHAR(10),""),IF(H68&gt;H28," * Prep New People in prison &amp; other closed settings "&amp;$H$19&amp;" "&amp;$H$20&amp;" is more than KP_PREV People in prison &amp; other closed settings"&amp;CHAR(10),""),IF(I68&gt;I28," * Prep New People in prison &amp; other closed settings "&amp;$H$19&amp;" "&amp;$I$20&amp;" is more than KP_PREV People in prison &amp; other closed settings"&amp;CHAR(10),""),IF(J68&gt;J28," * Prep New People in prison &amp; other closed settings "&amp;$J$19&amp;" "&amp;$J$20&amp;" is more than KP_PREV People in prison &amp; other closed settings"&amp;CHAR(10),""),IF(K68&gt;K28," * Prep New People in prison &amp; other closed settings "&amp;$J$19&amp;" "&amp;$K$20&amp;" is more than KP_PREV People in prison &amp; other closed settings"&amp;CHAR(10),""),IF(L68&gt;L28," * Prep New People in prison &amp; other closed settings "&amp;$L$19&amp;" "&amp;$L$20&amp;" is more than KP_PREV People in prison &amp; other closed settings"&amp;CHAR(10),""),IF(M68&gt;M28," * Prep New People in prison &amp; other closed settings "&amp;$L$19&amp;" "&amp;$M$20&amp;" is more than KP_PREV People in prison &amp; other closed settings"&amp;CHAR(10),""),IF(N68&gt;N28," * Prep New People in prison &amp; other closed settings "&amp;$N$19&amp;" "&amp;$N$20&amp;" is more than KP_PREV People in prison &amp; other closed settings"&amp;CHAR(10),""),IF(O68&gt;O28," * Prep New People in prison &amp; other closed settings "&amp;$N$19&amp;" "&amp;$O$20&amp;" is more than KP_PREV People in prison &amp; other closed settings"&amp;CHAR(10),""),IF(P68&gt;P28," * Prep New People in prison &amp; other closed settings "&amp;$P$19&amp;" "&amp;$P$20&amp;" is more than KP_PREV People in prison &amp; other closed settings"&amp;CHAR(10),""),IF(Q68&gt;Q28," * Prep New People in prison &amp; other closed settings "&amp;$P$19&amp;" "&amp;$Q$20&amp;" is more than KP_PREV People in prison &amp; other closed settings"&amp;CHAR(10),""),IF(R68&gt;R28," * Prep New People in prison &amp; other closed settings "&amp;$R$19&amp;" "&amp;$R$20&amp;" is more than KP_PREV People in prison &amp; other closed settings"&amp;CHAR(10),""),IF(S68&gt;S28," * Prep New People in prison &amp; other closed settings "&amp;$R$19&amp;" "&amp;$S$20&amp;" is more than KP_PREV People in prison &amp; other closed settings"&amp;CHAR(10),""),IF(T68&gt;T28," * Prep New People in prison &amp; other closed settings "&amp;$T$19&amp;" "&amp;$T$20&amp;" is more than KP_PREV People in prison &amp; other closed settings"&amp;CHAR(10),""),IF(U68&gt;U28," * Prep New People in prison &amp; other closed settings "&amp;$T$19&amp;" "&amp;$U$20&amp;" is more than KP_PREV People in prison &amp; other closed settings"&amp;CHAR(10),""),IF(V68&gt;V28," * Prep New People in prison &amp; other closed settings "&amp;$V$19&amp;" "&amp;$V$20&amp;" is more than KP_PREV People in prison &amp; other closed settings"&amp;CHAR(10),""),IF(W68&gt;W28," * Prep New People in prison &amp; other closed settings "&amp;$V$19&amp;" "&amp;$W$20&amp;" is more than KP_PREV People in prison &amp; other closed settings"&amp;CHAR(10),""),IF(X68&gt;X28," * Prep New People in prison &amp; other closed settings "&amp;$X$19&amp;" "&amp;$X$20&amp;" is more than KP_PREV People in prison &amp; other closed settings"&amp;CHAR(10),""),IF(Y68&gt;Y28," * Prep New People in prison &amp; other closed settings "&amp;$X$19&amp;" "&amp;$Y$20&amp;" is more than KP_PREV People in prison &amp; other closed settings"&amp;CHAR(10),""),IF(Z68&gt;Z28," * Prep New People in prison &amp; other closed settings "&amp;$Z$19&amp;" "&amp;$Z$20&amp;" is more than KP_PREV People in prison &amp; other closed settings"&amp;CHAR(10),""),IF(AA68&gt;AA28," * Prep New People in prison &amp; other closed settings "&amp;$Z$19&amp;" "&amp;$AA$20&amp;" is more than KP_PREV People in prison &amp; other closed settings"&amp;CHAR(10),""))</f>
        <v/>
      </c>
      <c r="AD68" s="675"/>
      <c r="AE68" s="171"/>
      <c r="AF68" s="846"/>
      <c r="AG68" s="157">
        <v>159</v>
      </c>
    </row>
    <row r="69" spans="1:33" s="4" customFormat="1" ht="53.25" customHeight="1" thickBot="1">
      <c r="A69" s="376" t="s">
        <v>75</v>
      </c>
      <c r="B69" s="207" t="s">
        <v>176</v>
      </c>
      <c r="C69" s="547" t="s">
        <v>240</v>
      </c>
      <c r="D69" s="162"/>
      <c r="E69" s="163"/>
      <c r="F69" s="162"/>
      <c r="G69" s="163"/>
      <c r="H69" s="162"/>
      <c r="I69" s="163"/>
      <c r="J69" s="162"/>
      <c r="K69" s="192"/>
      <c r="L69" s="580"/>
      <c r="M69" s="575"/>
      <c r="N69" s="575"/>
      <c r="O69" s="575"/>
      <c r="P69" s="575"/>
      <c r="Q69" s="575"/>
      <c r="R69" s="575"/>
      <c r="S69" s="575"/>
      <c r="T69" s="575"/>
      <c r="U69" s="575"/>
      <c r="V69" s="575"/>
      <c r="W69" s="575"/>
      <c r="X69" s="575"/>
      <c r="Y69" s="575"/>
      <c r="Z69" s="575"/>
      <c r="AA69" s="582"/>
      <c r="AB69" s="348">
        <f>SUM(D69:AA69)</f>
        <v>0</v>
      </c>
      <c r="AC69" s="211" t="str">
        <f>CONCATENATE(IF(D69&gt;D24," * Prep New PWID "&amp;$D$19&amp;" "&amp;$D$20&amp;" is more than KP_PREV PWID"&amp;CHAR(10),""),IF(E69&gt;E24," * Prep New PWID "&amp;$D$19&amp;" "&amp;$E$20&amp;" is more than KP_PREV PWID"&amp;CHAR(10),""),IF(F69&gt;F24," * Prep New PWID "&amp;$F$19&amp;" "&amp;$F$20&amp;" is more than KP_PREV PWID"&amp;CHAR(10),""),IF(G69&gt;G24," * Prep New PWID "&amp;$F$19&amp;" "&amp;$G$20&amp;" is more than KP_PREV PWID"&amp;CHAR(10),""),IF(H69&gt;H24," * Prep New PWID "&amp;$H$19&amp;" "&amp;$H$20&amp;" is more than KP_PREV PWID"&amp;CHAR(10),""),IF(I69&gt;I24," * Prep New PWID "&amp;$H$19&amp;" "&amp;$I$20&amp;" is more than KP_PREV PWID"&amp;CHAR(10),""),IF(J69&gt;J24," * Prep New PWID "&amp;$J$19&amp;" "&amp;$J$20&amp;" is more than KP_PREV PWID"&amp;CHAR(10),""),IF(K69&gt;K24," * Prep New PWID "&amp;$J$19&amp;" "&amp;$K$20&amp;" is more than KP_PREV PWID"&amp;CHAR(10),""),IF(L69&gt;L24," * Prep New PWID "&amp;$L$19&amp;" "&amp;$L$20&amp;" is more than KP_PREV PWID"&amp;CHAR(10),""),IF(M69&gt;M24," * Prep New PWID "&amp;$L$19&amp;" "&amp;$M$20&amp;" is more than KP_PREV PWID"&amp;CHAR(10),""),IF(N69&gt;N24," * Prep New PWID "&amp;$N$19&amp;" "&amp;$N$20&amp;" is more than KP_PREV PWID"&amp;CHAR(10),""),IF(O69&gt;O24," * Prep New PWID "&amp;$N$19&amp;" "&amp;$O$20&amp;" is more than KP_PREV PWID"&amp;CHAR(10),""),IF(P69&gt;P24," * Prep New PWID "&amp;$P$19&amp;" "&amp;$P$20&amp;" is more than KP_PREV PWID"&amp;CHAR(10),""),IF(Q69&gt;Q24," * Prep New PWID "&amp;$P$19&amp;" "&amp;$Q$20&amp;" is more than KP_PREV PWID"&amp;CHAR(10),""),IF(R69&gt;R24," * Prep New PWID "&amp;$R$19&amp;" "&amp;$R$20&amp;" is more than KP_PREV PWID"&amp;CHAR(10),""),IF(S69&gt;S24," * Prep New PWID "&amp;$R$19&amp;" "&amp;$S$20&amp;" is more than KP_PREV PWID"&amp;CHAR(10),""),IF(T69&gt;T24," * Prep New PWID "&amp;$T$19&amp;" "&amp;$T$20&amp;" is more than KP_PREV PWID"&amp;CHAR(10),""),IF(U69&gt;U24," * Prep New PWID "&amp;$T$19&amp;" "&amp;$U$20&amp;" is more than KP_PREV PWID"&amp;CHAR(10),""),IF(V69&gt;V24," * Prep New PWID "&amp;$V$19&amp;" "&amp;$V$20&amp;" is more than KP_PREV PWID"&amp;CHAR(10),""),IF(W69&gt;W24," * Prep New PWID "&amp;$V$19&amp;" "&amp;$W$20&amp;" is more than KP_PREV PWID"&amp;CHAR(10),""),IF(X69&gt;X24," * Prep New PWID "&amp;$X$19&amp;" "&amp;$X$20&amp;" is more than KP_PREV PWID"&amp;CHAR(10),""),IF(Y69&gt;Y24," * Prep New PWID "&amp;$X$19&amp;" "&amp;$Y$20&amp;" is more than KP_PREV PWID"&amp;CHAR(10),""),IF(Z69&gt;Z24," * Prep New PWID "&amp;$Z$19&amp;" "&amp;$Z$20&amp;" is more than KP_PREV PWID"&amp;CHAR(10),""),IF(AA69&gt;AA24," * Prep New PWID "&amp;$Z$19&amp;" "&amp;$AA$20&amp;" is more than KP_PREV PWID"&amp;CHAR(10),""))</f>
        <v/>
      </c>
      <c r="AD69" s="675"/>
      <c r="AE69" s="171"/>
      <c r="AF69" s="846"/>
      <c r="AG69" s="157">
        <v>160</v>
      </c>
    </row>
    <row r="70" spans="1:33" s="4" customFormat="1" ht="53.25" customHeight="1" thickBot="1">
      <c r="A70" s="377" t="s">
        <v>421</v>
      </c>
      <c r="B70" s="212" t="s">
        <v>177</v>
      </c>
      <c r="C70" s="546" t="s">
        <v>241</v>
      </c>
      <c r="D70" s="177"/>
      <c r="E70" s="178"/>
      <c r="F70" s="177"/>
      <c r="G70" s="178"/>
      <c r="H70" s="177"/>
      <c r="I70" s="178"/>
      <c r="J70" s="177"/>
      <c r="K70" s="213"/>
      <c r="L70" s="583"/>
      <c r="M70" s="584"/>
      <c r="N70" s="584"/>
      <c r="O70" s="584"/>
      <c r="P70" s="584"/>
      <c r="Q70" s="584"/>
      <c r="R70" s="584"/>
      <c r="S70" s="584"/>
      <c r="T70" s="584"/>
      <c r="U70" s="584"/>
      <c r="V70" s="584"/>
      <c r="W70" s="584"/>
      <c r="X70" s="584"/>
      <c r="Y70" s="584"/>
      <c r="Z70" s="584"/>
      <c r="AA70" s="585"/>
      <c r="AB70" s="573"/>
      <c r="AC70" s="209" t="str">
        <f>CONCATENATE(IF(D70&gt;D26," * Prep New Transgender "&amp;$D$19&amp;" "&amp;$D$20&amp;" is more than KP_PREV Transgender"&amp;CHAR(10),""),IF(E70&gt;E26," * Prep New Transgender "&amp;$D$19&amp;" "&amp;$E$20&amp;" is more than KP_PREV Transgender"&amp;CHAR(10),""),IF(F70&gt;F26," * Prep New Transgender "&amp;$F$19&amp;" "&amp;$F$20&amp;" is more than KP_PREV Transgender"&amp;CHAR(10),""),IF(G70&gt;G26," * Prep New Transgender "&amp;$F$19&amp;" "&amp;$G$20&amp;" is more than KP_PREV Transgender"&amp;CHAR(10),""),IF(H70&gt;H26," * Prep New Transgender "&amp;$H$19&amp;" "&amp;$H$20&amp;" is more than KP_PREV Transgender"&amp;CHAR(10),""),IF(I70&gt;I26," * Prep New Transgender "&amp;$H$19&amp;" "&amp;$I$20&amp;" is more than KP_PREV Transgender"&amp;CHAR(10),""),IF(J70&gt;J26," * Prep New Transgender "&amp;$J$19&amp;" "&amp;$J$20&amp;" is more than KP_PREV Transgender"&amp;CHAR(10),""),IF(K70&gt;K26," * Prep New Transgender "&amp;$J$19&amp;" "&amp;$K$20&amp;" is more than KP_PREV Transgender"&amp;CHAR(10),""),IF(L70&gt;L26," * Prep New Transgender "&amp;$L$19&amp;" "&amp;$L$20&amp;" is more than KP_PREV Transgender"&amp;CHAR(10),""),IF(M70&gt;M26," * Prep New Transgender "&amp;$L$19&amp;" "&amp;$M$20&amp;" is more than KP_PREV Transgender"&amp;CHAR(10),""),IF(N70&gt;N26," * Prep New Transgender "&amp;$N$19&amp;" "&amp;$N$20&amp;" is more than KP_PREV Transgender"&amp;CHAR(10),""),IF(O70&gt;O26," * Prep New Transgender "&amp;$N$19&amp;" "&amp;$O$20&amp;" is more than KP_PREV Transgender"&amp;CHAR(10),""),IF(P70&gt;P26," * Prep New Transgender "&amp;$P$19&amp;" "&amp;$P$20&amp;" is more than KP_PREV Transgender"&amp;CHAR(10),""),IF(Q70&gt;Q26," * Prep New Transgender "&amp;$P$19&amp;" "&amp;$Q$20&amp;" is more than KP_PREV Transgender"&amp;CHAR(10),""),IF(R70&gt;R26," * Prep New Transgender "&amp;$R$19&amp;" "&amp;$R$20&amp;" is more than KP_PREV Transgender"&amp;CHAR(10),""),IF(S70&gt;S26," * Prep New Transgender "&amp;$R$19&amp;" "&amp;$S$20&amp;" is more than KP_PREV Transgender"&amp;CHAR(10),""),IF(T70&gt;T26," * Prep New Transgender "&amp;$T$19&amp;" "&amp;$T$20&amp;" is more than KP_PREV Transgender"&amp;CHAR(10),""),IF(U70&gt;U26," * Prep New Transgender "&amp;$T$19&amp;" "&amp;$U$20&amp;" is more than KP_PREV Transgender"&amp;CHAR(10),""),IF(V70&gt;V26," * Prep New Transgender "&amp;$V$19&amp;" "&amp;$V$20&amp;" is more than KP_PREV Transgender"&amp;CHAR(10),""),IF(W70&gt;W26," * Prep New Transgender "&amp;$V$19&amp;" "&amp;$W$20&amp;" is more than KP_PREV Transgender"&amp;CHAR(10),""),IF(X70&gt;X26," * Prep New Transgender "&amp;$X$19&amp;" "&amp;$X$20&amp;" is more than KP_PREV Transgender"&amp;CHAR(10),""),IF(Y70&gt;Y26," * Prep New Transgender "&amp;$X$19&amp;" "&amp;$Y$20&amp;" is more than KP_PREV Transgender"&amp;CHAR(10),""),IF(Z70&gt;Z26," * Prep New Transgender "&amp;$Z$19&amp;" "&amp;$Z$20&amp;" is more than KP_PREV Transgender"&amp;CHAR(10),""),IF(AA70&gt;AA26," * Prep New Transgender "&amp;$Z$19&amp;" "&amp;$AA$20&amp;" is more than KP_PREV Transgender"&amp;CHAR(10),""),IF(AB70&gt;AB26," * Prep New Transgender "&amp;$AB$19&amp;" "&amp;$AA$20&amp;" is more than KP_PREV Transgender"&amp;CHAR(10),""))</f>
        <v/>
      </c>
      <c r="AD70" s="675"/>
      <c r="AE70" s="171"/>
      <c r="AF70" s="847"/>
      <c r="AG70" s="157">
        <v>161</v>
      </c>
    </row>
    <row r="71" spans="1:33" s="4" customFormat="1" ht="53.25" hidden="1" customHeight="1" thickBot="1">
      <c r="A71" s="688" t="s">
        <v>789</v>
      </c>
      <c r="B71" s="689"/>
      <c r="C71" s="690"/>
      <c r="D71" s="689"/>
      <c r="E71" s="689"/>
      <c r="F71" s="689"/>
      <c r="G71" s="689"/>
      <c r="H71" s="689"/>
      <c r="I71" s="689"/>
      <c r="J71" s="689"/>
      <c r="K71" s="689"/>
      <c r="L71" s="692"/>
      <c r="M71" s="692"/>
      <c r="N71" s="692"/>
      <c r="O71" s="692"/>
      <c r="P71" s="692"/>
      <c r="Q71" s="692"/>
      <c r="R71" s="692"/>
      <c r="S71" s="692"/>
      <c r="T71" s="692"/>
      <c r="U71" s="692"/>
      <c r="V71" s="692"/>
      <c r="W71" s="692"/>
      <c r="X71" s="692"/>
      <c r="Y71" s="692"/>
      <c r="Z71" s="692"/>
      <c r="AA71" s="692"/>
      <c r="AB71" s="692"/>
      <c r="AC71" s="689"/>
      <c r="AD71" s="689"/>
      <c r="AE71" s="689"/>
      <c r="AF71" s="848"/>
      <c r="AG71" s="158">
        <v>154</v>
      </c>
    </row>
    <row r="72" spans="1:33" s="6" customFormat="1" ht="53.25" hidden="1" customHeight="1" thickBot="1">
      <c r="A72" s="375" t="s">
        <v>178</v>
      </c>
      <c r="B72" s="199" t="s">
        <v>178</v>
      </c>
      <c r="C72" s="153" t="s">
        <v>242</v>
      </c>
      <c r="D72" s="200">
        <f t="shared" ref="D72:AB72" si="9">SUM(D73:D77)</f>
        <v>0</v>
      </c>
      <c r="E72" s="201">
        <f t="shared" si="9"/>
        <v>0</v>
      </c>
      <c r="F72" s="201">
        <f t="shared" si="9"/>
        <v>0</v>
      </c>
      <c r="G72" s="201">
        <f t="shared" si="9"/>
        <v>0</v>
      </c>
      <c r="H72" s="201">
        <f t="shared" si="9"/>
        <v>0</v>
      </c>
      <c r="I72" s="201">
        <f t="shared" si="9"/>
        <v>0</v>
      </c>
      <c r="J72" s="201">
        <f t="shared" si="9"/>
        <v>0</v>
      </c>
      <c r="K72" s="201">
        <f t="shared" si="9"/>
        <v>0</v>
      </c>
      <c r="L72" s="201">
        <f t="shared" si="9"/>
        <v>0</v>
      </c>
      <c r="M72" s="201">
        <f t="shared" si="9"/>
        <v>0</v>
      </c>
      <c r="N72" s="201">
        <f t="shared" si="9"/>
        <v>0</v>
      </c>
      <c r="O72" s="201">
        <f t="shared" si="9"/>
        <v>0</v>
      </c>
      <c r="P72" s="201">
        <f t="shared" si="9"/>
        <v>0</v>
      </c>
      <c r="Q72" s="201">
        <f t="shared" si="9"/>
        <v>0</v>
      </c>
      <c r="R72" s="201">
        <f t="shared" si="9"/>
        <v>0</v>
      </c>
      <c r="S72" s="201">
        <f t="shared" si="9"/>
        <v>0</v>
      </c>
      <c r="T72" s="201">
        <f t="shared" si="9"/>
        <v>0</v>
      </c>
      <c r="U72" s="201">
        <f t="shared" si="9"/>
        <v>0</v>
      </c>
      <c r="V72" s="201">
        <f t="shared" si="9"/>
        <v>0</v>
      </c>
      <c r="W72" s="201">
        <f t="shared" si="9"/>
        <v>0</v>
      </c>
      <c r="X72" s="201">
        <f t="shared" si="9"/>
        <v>0</v>
      </c>
      <c r="Y72" s="201">
        <f t="shared" si="9"/>
        <v>0</v>
      </c>
      <c r="Z72" s="201">
        <f t="shared" si="9"/>
        <v>0</v>
      </c>
      <c r="AA72" s="201">
        <f t="shared" si="9"/>
        <v>0</v>
      </c>
      <c r="AB72" s="201">
        <f t="shared" si="9"/>
        <v>0</v>
      </c>
      <c r="AC72" s="202"/>
      <c r="AD72" s="674" t="str">
        <f>CONCATENATE(AC72,AC73,AC74,AC75,AC76,AC77)</f>
        <v/>
      </c>
      <c r="AE72" s="203"/>
      <c r="AF72" s="671" t="str">
        <f>CONCATENATE(AE72,AE73,AE74,AE75,AE76,AE77)</f>
        <v/>
      </c>
      <c r="AG72" s="158">
        <v>155</v>
      </c>
    </row>
    <row r="73" spans="1:33" s="4" customFormat="1" ht="53.25" hidden="1" customHeight="1" thickBot="1">
      <c r="A73" s="540" t="s">
        <v>78</v>
      </c>
      <c r="B73" s="204" t="s">
        <v>179</v>
      </c>
      <c r="C73" s="547" t="s">
        <v>243</v>
      </c>
      <c r="D73" s="182"/>
      <c r="E73" s="183"/>
      <c r="F73" s="182"/>
      <c r="G73" s="183"/>
      <c r="H73" s="182"/>
      <c r="I73" s="183"/>
      <c r="J73" s="182"/>
      <c r="K73" s="183"/>
      <c r="L73" s="183"/>
      <c r="M73" s="196"/>
      <c r="N73" s="183"/>
      <c r="O73" s="196"/>
      <c r="P73" s="183"/>
      <c r="Q73" s="196"/>
      <c r="R73" s="183"/>
      <c r="S73" s="196"/>
      <c r="T73" s="183"/>
      <c r="U73" s="196"/>
      <c r="V73" s="183"/>
      <c r="W73" s="196"/>
      <c r="X73" s="183"/>
      <c r="Y73" s="196"/>
      <c r="Z73" s="183"/>
      <c r="AA73" s="196"/>
      <c r="AB73" s="205">
        <f>SUM(D73:AA73)</f>
        <v>0</v>
      </c>
      <c r="AC73" s="206"/>
      <c r="AD73" s="675"/>
      <c r="AE73" s="171"/>
      <c r="AF73" s="672"/>
      <c r="AG73" s="158">
        <v>156</v>
      </c>
    </row>
    <row r="74" spans="1:33" s="4" customFormat="1" ht="53.25" hidden="1" customHeight="1" thickBot="1">
      <c r="A74" s="376" t="s">
        <v>76</v>
      </c>
      <c r="B74" s="207" t="s">
        <v>180</v>
      </c>
      <c r="C74" s="547" t="s">
        <v>244</v>
      </c>
      <c r="D74" s="162"/>
      <c r="E74" s="163"/>
      <c r="F74" s="162"/>
      <c r="G74" s="163"/>
      <c r="H74" s="162"/>
      <c r="I74" s="163"/>
      <c r="J74" s="162"/>
      <c r="K74" s="163"/>
      <c r="L74" s="197"/>
      <c r="M74" s="183"/>
      <c r="N74" s="197"/>
      <c r="O74" s="183"/>
      <c r="P74" s="197"/>
      <c r="Q74" s="183"/>
      <c r="R74" s="197"/>
      <c r="S74" s="183"/>
      <c r="T74" s="197"/>
      <c r="U74" s="183"/>
      <c r="V74" s="197"/>
      <c r="W74" s="183"/>
      <c r="X74" s="197"/>
      <c r="Y74" s="183"/>
      <c r="Z74" s="197"/>
      <c r="AA74" s="183"/>
      <c r="AB74" s="208">
        <f>SUM(D74:AA74)</f>
        <v>0</v>
      </c>
      <c r="AC74" s="206"/>
      <c r="AD74" s="675"/>
      <c r="AE74" s="171"/>
      <c r="AF74" s="672"/>
      <c r="AG74" s="158">
        <v>157</v>
      </c>
    </row>
    <row r="75" spans="1:33" s="4" customFormat="1" ht="53.25" hidden="1" customHeight="1" thickBot="1">
      <c r="A75" s="376" t="s">
        <v>166</v>
      </c>
      <c r="B75" s="207" t="s">
        <v>181</v>
      </c>
      <c r="C75" s="547" t="s">
        <v>245</v>
      </c>
      <c r="D75" s="162"/>
      <c r="E75" s="163"/>
      <c r="F75" s="162"/>
      <c r="G75" s="163"/>
      <c r="H75" s="162"/>
      <c r="I75" s="163"/>
      <c r="J75" s="162"/>
      <c r="K75" s="163"/>
      <c r="L75" s="197"/>
      <c r="M75" s="197"/>
      <c r="N75" s="197"/>
      <c r="O75" s="197"/>
      <c r="P75" s="197"/>
      <c r="Q75" s="197"/>
      <c r="R75" s="197"/>
      <c r="S75" s="197"/>
      <c r="T75" s="197"/>
      <c r="U75" s="197"/>
      <c r="V75" s="197"/>
      <c r="W75" s="197"/>
      <c r="X75" s="197"/>
      <c r="Y75" s="197"/>
      <c r="Z75" s="197"/>
      <c r="AA75" s="197"/>
      <c r="AB75" s="208">
        <f>SUM(D75:AA75)</f>
        <v>0</v>
      </c>
      <c r="AC75" s="206"/>
      <c r="AD75" s="675"/>
      <c r="AE75" s="171"/>
      <c r="AF75" s="672"/>
      <c r="AG75" s="158">
        <v>159</v>
      </c>
    </row>
    <row r="76" spans="1:33" s="4" customFormat="1" ht="53.25" hidden="1" customHeight="1" thickBot="1">
      <c r="A76" s="376" t="s">
        <v>75</v>
      </c>
      <c r="B76" s="207" t="s">
        <v>182</v>
      </c>
      <c r="C76" s="547" t="s">
        <v>246</v>
      </c>
      <c r="D76" s="162"/>
      <c r="E76" s="163"/>
      <c r="F76" s="162"/>
      <c r="G76" s="163"/>
      <c r="H76" s="162"/>
      <c r="I76" s="163"/>
      <c r="J76" s="162"/>
      <c r="K76" s="163"/>
      <c r="L76" s="197"/>
      <c r="M76" s="197"/>
      <c r="N76" s="197"/>
      <c r="O76" s="197"/>
      <c r="P76" s="197"/>
      <c r="Q76" s="197"/>
      <c r="R76" s="197"/>
      <c r="S76" s="197"/>
      <c r="T76" s="197"/>
      <c r="U76" s="197"/>
      <c r="V76" s="197"/>
      <c r="W76" s="197"/>
      <c r="X76" s="197"/>
      <c r="Y76" s="197"/>
      <c r="Z76" s="197"/>
      <c r="AA76" s="197"/>
      <c r="AB76" s="210">
        <f>SUM(D76:AA76)</f>
        <v>0</v>
      </c>
      <c r="AC76" s="206"/>
      <c r="AD76" s="675"/>
      <c r="AE76" s="171"/>
      <c r="AF76" s="672"/>
      <c r="AG76" s="158">
        <v>160</v>
      </c>
    </row>
    <row r="77" spans="1:33" s="4" customFormat="1" ht="38.25" customHeight="1" thickBot="1">
      <c r="A77" s="590" t="s">
        <v>76</v>
      </c>
      <c r="B77" s="589" t="s">
        <v>1050</v>
      </c>
      <c r="C77" s="586" t="s">
        <v>1049</v>
      </c>
      <c r="D77" s="177"/>
      <c r="E77" s="178"/>
      <c r="F77" s="177"/>
      <c r="G77" s="178"/>
      <c r="H77" s="177"/>
      <c r="I77" s="178"/>
      <c r="J77" s="177"/>
      <c r="K77" s="178"/>
      <c r="L77" s="580"/>
      <c r="M77" s="574"/>
      <c r="N77" s="580"/>
      <c r="O77" s="574"/>
      <c r="P77" s="580"/>
      <c r="Q77" s="574"/>
      <c r="R77" s="580"/>
      <c r="S77" s="574"/>
      <c r="T77" s="580"/>
      <c r="U77" s="574"/>
      <c r="V77" s="580"/>
      <c r="W77" s="574"/>
      <c r="X77" s="580"/>
      <c r="Y77" s="574"/>
      <c r="Z77" s="580"/>
      <c r="AA77" s="581"/>
      <c r="AB77" s="347">
        <f>SUM(D77:AA77)</f>
        <v>0</v>
      </c>
      <c r="AC77" s="209" t="str">
        <f>CONCATENATE(IF(D67&lt;D77," * Event Driven Prep New MSM  "&amp;$D$19&amp;" "&amp;$D$20&amp;" should not be more than PrEP New MSM"&amp;CHAR(10),""),IF(E67&lt;E77," * Event Driven Prep New MSM  "&amp;$D$19&amp;" "&amp;$E$20&amp;" should not be more than PrEP New MSM"&amp;CHAR(10),""),IF(F67&lt;F77," * Event Driven Prep New MSM  "&amp;$F$19&amp;" "&amp;$F$20&amp;" should not be more than PrEP New MSM"&amp;CHAR(10),""),IF(G67&lt;G77," * Event Driven Prep New MSM  "&amp;$F$19&amp;" "&amp;$G$20&amp;" should not be more than PrEP New MSM"&amp;CHAR(10),""),IF(H67&lt;H77," * Event Driven Prep New MSM  "&amp;$H$19&amp;" "&amp;$H$20&amp;" should not be more than PrEP New MSM"&amp;CHAR(10),""),IF(I67&lt;I77," * Event Driven Prep New MSM  "&amp;$H$19&amp;" "&amp;$I$20&amp;" should not be more than PrEP New MSM"&amp;CHAR(10),""),IF(J67&lt;J77," * Event Driven Prep New MSM  "&amp;$J$19&amp;" "&amp;$J$20&amp;" should not be more than PrEP New MSM"&amp;CHAR(10),""),IF(K67&lt;K77," * Event Driven Prep New MSM  "&amp;$J$19&amp;" "&amp;$K$20&amp;" should not be more than PrEP New MSM"&amp;CHAR(10),""),IF(L67&lt;L77," * Event Driven Prep New MSM  "&amp;$L$19&amp;" "&amp;$L$20&amp;" should not be more than PrEP New MSM"&amp;CHAR(10),""),IF(M67&lt;M77," * Event Driven Prep New MSM  "&amp;$L$19&amp;" "&amp;$M$20&amp;" should not be more than PrEP New MSM"&amp;CHAR(10),""),IF(N67&lt;N77," * Event Driven Prep New MSM  "&amp;$N$19&amp;" "&amp;$N$20&amp;" should not be more than PrEP New MSM"&amp;CHAR(10),""),IF(O67&lt;O77," * Event Driven Prep New MSM  "&amp;$N$19&amp;" "&amp;$O$20&amp;" should not be more than PrEP New MSM"&amp;CHAR(10),""),IF(P67&lt;P77," * Event Driven Prep New MSM  "&amp;$P$19&amp;" "&amp;$P$20&amp;" should not be more than PrEP New MSM"&amp;CHAR(10),""),IF(Q67&lt;Q77," * Event Driven Prep New MSM  "&amp;$P$19&amp;" "&amp;$Q$20&amp;" should not be more than PrEP New MSM"&amp;CHAR(10),""),IF(R67&lt;R77," * Event Driven Prep New MSM  "&amp;$R$19&amp;" "&amp;$R$20&amp;" should not be more than PrEP New MSM"&amp;CHAR(10),""),IF(S67&lt;S77," * Event Driven Prep New MSM  "&amp;$R$19&amp;" "&amp;$S$20&amp;" should not be more than PrEP New MSM"&amp;CHAR(10),""),IF(T67&lt;T77," * Event Driven Prep New MSM  "&amp;$T$19&amp;" "&amp;$T$20&amp;" should not be more than PrEP New MSM"&amp;CHAR(10),""),IF(U67&lt;U77," * Event Driven Prep New MSM  "&amp;$T$19&amp;" "&amp;$U$20&amp;" should not be more than PrEP New MSM"&amp;CHAR(10),""),IF(V67&lt;V77," * Event Driven Prep New MSM  "&amp;$V$19&amp;" "&amp;$V$20&amp;" should not be more than PrEP New MSM"&amp;CHAR(10),""),IF(W67&lt;W77," * Event Driven Prep New MSM  "&amp;$V$19&amp;" "&amp;$W$20&amp;" should not be more than PrEP New MSM"&amp;CHAR(10),""),IF(X67&lt;X77," * Event Driven Prep New MSM  "&amp;$X$19&amp;" "&amp;$X$20&amp;" should not be more than PrEP New MSM"&amp;CHAR(10),""),IF(Y67&lt;Y77," * Event Driven Prep New MSM  "&amp;$X$19&amp;" "&amp;$Y$20&amp;" should not be more than PrEP New MSM"&amp;CHAR(10),""),IF(Z67&lt;Z77," * Event Driven Prep New MSM  "&amp;$Z$19&amp;" "&amp;$Z$20&amp;" should not be more than PrEP New MSM"&amp;CHAR(10),""),IF(AA67&lt;AA77," * Event Driven Prep New MSM  "&amp;$Z$19&amp;" "&amp;$AA$20&amp;" should not be more than PrEP New MSM"&amp;CHAR(10),""))</f>
        <v/>
      </c>
      <c r="AD77" s="675"/>
      <c r="AE77" s="171"/>
      <c r="AF77" s="673"/>
      <c r="AG77" s="158">
        <v>161</v>
      </c>
    </row>
    <row r="78" spans="1:33" s="370" customFormat="1" ht="53.25" customHeight="1" thickBot="1">
      <c r="A78" s="774" t="s">
        <v>1019</v>
      </c>
      <c r="B78" s="689"/>
      <c r="C78" s="690"/>
      <c r="D78" s="689"/>
      <c r="E78" s="689"/>
      <c r="F78" s="689"/>
      <c r="G78" s="689"/>
      <c r="H78" s="689"/>
      <c r="I78" s="689"/>
      <c r="J78" s="689"/>
      <c r="K78" s="689"/>
      <c r="L78" s="723"/>
      <c r="M78" s="723"/>
      <c r="N78" s="723"/>
      <c r="O78" s="723"/>
      <c r="P78" s="723"/>
      <c r="Q78" s="723"/>
      <c r="R78" s="723"/>
      <c r="S78" s="723"/>
      <c r="T78" s="723"/>
      <c r="U78" s="723"/>
      <c r="V78" s="723"/>
      <c r="W78" s="723"/>
      <c r="X78" s="723"/>
      <c r="Y78" s="723"/>
      <c r="Z78" s="723"/>
      <c r="AA78" s="723"/>
      <c r="AB78" s="692"/>
      <c r="AC78" s="689"/>
      <c r="AD78" s="689"/>
      <c r="AE78" s="689"/>
      <c r="AF78" s="848"/>
      <c r="AG78" s="369">
        <v>154</v>
      </c>
    </row>
    <row r="79" spans="1:33" s="4" customFormat="1" ht="53.25" customHeight="1">
      <c r="A79" s="871" t="s">
        <v>896</v>
      </c>
      <c r="B79" s="204" t="s">
        <v>891</v>
      </c>
      <c r="C79" s="547" t="s">
        <v>886</v>
      </c>
      <c r="D79" s="182"/>
      <c r="E79" s="183"/>
      <c r="F79" s="182"/>
      <c r="G79" s="183"/>
      <c r="H79" s="182"/>
      <c r="I79" s="183"/>
      <c r="J79" s="182"/>
      <c r="K79" s="227"/>
      <c r="L79" s="561"/>
      <c r="M79" s="562"/>
      <c r="N79" s="563"/>
      <c r="O79" s="562"/>
      <c r="P79" s="563"/>
      <c r="Q79" s="562"/>
      <c r="R79" s="563"/>
      <c r="S79" s="562"/>
      <c r="T79" s="563"/>
      <c r="U79" s="562"/>
      <c r="V79" s="563"/>
      <c r="W79" s="562"/>
      <c r="X79" s="563"/>
      <c r="Y79" s="562"/>
      <c r="Z79" s="563"/>
      <c r="AA79" s="564"/>
      <c r="AB79" s="135">
        <f>SUM(D79:AA79)</f>
        <v>0</v>
      </c>
      <c r="AC79" s="206"/>
      <c r="AD79" s="674" t="str">
        <f>CONCATENATE(AC79,AC80,AC81,AC82,AC83,AC84,AC85,AC86,AC87)</f>
        <v/>
      </c>
      <c r="AE79" s="171"/>
      <c r="AF79" s="671"/>
      <c r="AG79" s="157">
        <v>156</v>
      </c>
    </row>
    <row r="80" spans="1:33" s="4" customFormat="1" ht="53.25" customHeight="1">
      <c r="A80" s="872"/>
      <c r="B80" s="207" t="s">
        <v>892</v>
      </c>
      <c r="C80" s="547" t="s">
        <v>887</v>
      </c>
      <c r="D80" s="162"/>
      <c r="E80" s="163"/>
      <c r="F80" s="162"/>
      <c r="G80" s="163"/>
      <c r="H80" s="162"/>
      <c r="I80" s="163"/>
      <c r="J80" s="162"/>
      <c r="K80" s="192"/>
      <c r="L80" s="565"/>
      <c r="M80" s="559"/>
      <c r="N80" s="560"/>
      <c r="O80" s="559"/>
      <c r="P80" s="560"/>
      <c r="Q80" s="559"/>
      <c r="R80" s="560"/>
      <c r="S80" s="559"/>
      <c r="T80" s="560"/>
      <c r="U80" s="559"/>
      <c r="V80" s="560"/>
      <c r="W80" s="559"/>
      <c r="X80" s="560"/>
      <c r="Y80" s="559"/>
      <c r="Z80" s="560"/>
      <c r="AA80" s="566"/>
      <c r="AB80" s="347">
        <f>SUM(D80:AA80)</f>
        <v>0</v>
      </c>
      <c r="AC80" s="209"/>
      <c r="AD80" s="675"/>
      <c r="AE80" s="171"/>
      <c r="AF80" s="672"/>
      <c r="AG80" s="157">
        <v>157</v>
      </c>
    </row>
    <row r="81" spans="1:33" s="4" customFormat="1" ht="53.25" customHeight="1">
      <c r="A81" s="872"/>
      <c r="B81" s="207" t="s">
        <v>893</v>
      </c>
      <c r="C81" s="547" t="s">
        <v>888</v>
      </c>
      <c r="D81" s="162"/>
      <c r="E81" s="163"/>
      <c r="F81" s="162"/>
      <c r="G81" s="163"/>
      <c r="H81" s="162"/>
      <c r="I81" s="163"/>
      <c r="J81" s="162"/>
      <c r="K81" s="192"/>
      <c r="L81" s="565"/>
      <c r="M81" s="560"/>
      <c r="N81" s="560"/>
      <c r="O81" s="560"/>
      <c r="P81" s="560"/>
      <c r="Q81" s="560"/>
      <c r="R81" s="560"/>
      <c r="S81" s="560"/>
      <c r="T81" s="560"/>
      <c r="U81" s="560"/>
      <c r="V81" s="560"/>
      <c r="W81" s="560"/>
      <c r="X81" s="560"/>
      <c r="Y81" s="560"/>
      <c r="Z81" s="560"/>
      <c r="AA81" s="567"/>
      <c r="AB81" s="347">
        <f>SUM(D81:AA81)</f>
        <v>0</v>
      </c>
      <c r="AC81" s="209"/>
      <c r="AD81" s="675"/>
      <c r="AE81" s="171"/>
      <c r="AF81" s="672"/>
      <c r="AG81" s="157">
        <v>159</v>
      </c>
    </row>
    <row r="82" spans="1:33" s="4" customFormat="1" ht="53.25" customHeight="1" thickBot="1">
      <c r="A82" s="872"/>
      <c r="B82" s="207" t="s">
        <v>894</v>
      </c>
      <c r="C82" s="547" t="s">
        <v>889</v>
      </c>
      <c r="D82" s="162"/>
      <c r="E82" s="163"/>
      <c r="F82" s="162"/>
      <c r="G82" s="163"/>
      <c r="H82" s="162"/>
      <c r="I82" s="163"/>
      <c r="J82" s="162"/>
      <c r="K82" s="192"/>
      <c r="L82" s="565"/>
      <c r="M82" s="560"/>
      <c r="N82" s="560"/>
      <c r="O82" s="560"/>
      <c r="P82" s="560"/>
      <c r="Q82" s="560"/>
      <c r="R82" s="560"/>
      <c r="S82" s="560"/>
      <c r="T82" s="560"/>
      <c r="U82" s="560"/>
      <c r="V82" s="560"/>
      <c r="W82" s="560"/>
      <c r="X82" s="560"/>
      <c r="Y82" s="560"/>
      <c r="Z82" s="560"/>
      <c r="AA82" s="567"/>
      <c r="AB82" s="348">
        <f>SUM(D82:AA82)</f>
        <v>0</v>
      </c>
      <c r="AC82" s="211"/>
      <c r="AD82" s="675"/>
      <c r="AE82" s="171"/>
      <c r="AF82" s="672"/>
      <c r="AG82" s="157">
        <v>160</v>
      </c>
    </row>
    <row r="83" spans="1:33" s="4" customFormat="1" ht="53.25" customHeight="1" thickBot="1">
      <c r="A83" s="872"/>
      <c r="B83" s="207" t="s">
        <v>895</v>
      </c>
      <c r="C83" s="547" t="s">
        <v>890</v>
      </c>
      <c r="D83" s="162"/>
      <c r="E83" s="163"/>
      <c r="F83" s="162"/>
      <c r="G83" s="163"/>
      <c r="H83" s="162"/>
      <c r="I83" s="163"/>
      <c r="J83" s="162"/>
      <c r="K83" s="192"/>
      <c r="L83" s="568"/>
      <c r="M83" s="559"/>
      <c r="N83" s="559"/>
      <c r="O83" s="559"/>
      <c r="P83" s="559"/>
      <c r="Q83" s="559"/>
      <c r="R83" s="559"/>
      <c r="S83" s="559"/>
      <c r="T83" s="559"/>
      <c r="U83" s="559"/>
      <c r="V83" s="559"/>
      <c r="W83" s="559"/>
      <c r="X83" s="559"/>
      <c r="Y83" s="559"/>
      <c r="Z83" s="559"/>
      <c r="AA83" s="566"/>
      <c r="AB83" s="558"/>
      <c r="AC83" s="209"/>
      <c r="AD83" s="675"/>
      <c r="AE83" s="171"/>
      <c r="AF83" s="672"/>
      <c r="AG83" s="157">
        <v>161</v>
      </c>
    </row>
    <row r="84" spans="1:33" s="4" customFormat="1" ht="53.25" customHeight="1">
      <c r="A84" s="872"/>
      <c r="B84" s="207" t="s">
        <v>1002</v>
      </c>
      <c r="C84" s="547" t="s">
        <v>897</v>
      </c>
      <c r="D84" s="162"/>
      <c r="E84" s="163"/>
      <c r="F84" s="162"/>
      <c r="G84" s="163"/>
      <c r="H84" s="162"/>
      <c r="I84" s="163"/>
      <c r="J84" s="162"/>
      <c r="K84" s="192"/>
      <c r="L84" s="565"/>
      <c r="M84" s="560"/>
      <c r="N84" s="560"/>
      <c r="O84" s="560"/>
      <c r="P84" s="560"/>
      <c r="Q84" s="560"/>
      <c r="R84" s="560"/>
      <c r="S84" s="560"/>
      <c r="T84" s="560"/>
      <c r="U84" s="560"/>
      <c r="V84" s="560"/>
      <c r="W84" s="560"/>
      <c r="X84" s="560"/>
      <c r="Y84" s="560"/>
      <c r="Z84" s="560"/>
      <c r="AA84" s="567"/>
      <c r="AB84" s="347">
        <f>SUM(D84:AA84)</f>
        <v>0</v>
      </c>
      <c r="AC84" s="209"/>
      <c r="AD84" s="675"/>
      <c r="AE84" s="171"/>
      <c r="AF84" s="672"/>
      <c r="AG84" s="157">
        <v>157</v>
      </c>
    </row>
    <row r="85" spans="1:33" s="4" customFormat="1" ht="53.25" customHeight="1" thickBot="1">
      <c r="A85" s="872"/>
      <c r="B85" s="207" t="s">
        <v>1003</v>
      </c>
      <c r="C85" s="547" t="s">
        <v>898</v>
      </c>
      <c r="D85" s="162"/>
      <c r="E85" s="163"/>
      <c r="F85" s="162"/>
      <c r="G85" s="163"/>
      <c r="H85" s="162"/>
      <c r="I85" s="163"/>
      <c r="J85" s="162"/>
      <c r="K85" s="192"/>
      <c r="L85" s="565"/>
      <c r="M85" s="560"/>
      <c r="N85" s="560"/>
      <c r="O85" s="560"/>
      <c r="P85" s="560"/>
      <c r="Q85" s="560"/>
      <c r="R85" s="560"/>
      <c r="S85" s="560"/>
      <c r="T85" s="560"/>
      <c r="U85" s="560"/>
      <c r="V85" s="560"/>
      <c r="W85" s="560"/>
      <c r="X85" s="560"/>
      <c r="Y85" s="560"/>
      <c r="Z85" s="560"/>
      <c r="AA85" s="567"/>
      <c r="AB85" s="347">
        <f>SUM(D85:AA85)</f>
        <v>0</v>
      </c>
      <c r="AC85" s="209"/>
      <c r="AD85" s="675"/>
      <c r="AE85" s="171"/>
      <c r="AF85" s="672"/>
      <c r="AG85" s="157">
        <v>157</v>
      </c>
    </row>
    <row r="86" spans="1:33" s="4" customFormat="1" ht="53.25" customHeight="1" thickBot="1">
      <c r="A86" s="872"/>
      <c r="B86" s="207" t="s">
        <v>1004</v>
      </c>
      <c r="C86" s="547" t="s">
        <v>899</v>
      </c>
      <c r="D86" s="162"/>
      <c r="E86" s="163"/>
      <c r="F86" s="162"/>
      <c r="G86" s="163"/>
      <c r="H86" s="162"/>
      <c r="I86" s="163"/>
      <c r="J86" s="162"/>
      <c r="K86" s="192"/>
      <c r="L86" s="568"/>
      <c r="M86" s="560"/>
      <c r="N86" s="559"/>
      <c r="O86" s="560"/>
      <c r="P86" s="559"/>
      <c r="Q86" s="560"/>
      <c r="R86" s="559"/>
      <c r="S86" s="560"/>
      <c r="T86" s="559"/>
      <c r="U86" s="560"/>
      <c r="V86" s="559"/>
      <c r="W86" s="560"/>
      <c r="X86" s="559"/>
      <c r="Y86" s="560"/>
      <c r="Z86" s="559"/>
      <c r="AA86" s="567"/>
      <c r="AB86" s="135">
        <f>SUM(D86:AA86)</f>
        <v>0</v>
      </c>
      <c r="AC86" s="206"/>
      <c r="AD86" s="675"/>
      <c r="AE86" s="171"/>
      <c r="AF86" s="672"/>
      <c r="AG86" s="157">
        <v>156</v>
      </c>
    </row>
    <row r="87" spans="1:33" s="4" customFormat="1" ht="53.25" customHeight="1" thickBot="1">
      <c r="A87" s="873"/>
      <c r="B87" s="207" t="s">
        <v>1005</v>
      </c>
      <c r="C87" s="547" t="s">
        <v>900</v>
      </c>
      <c r="D87" s="162"/>
      <c r="E87" s="163"/>
      <c r="F87" s="162"/>
      <c r="G87" s="163"/>
      <c r="H87" s="162"/>
      <c r="I87" s="163"/>
      <c r="J87" s="162"/>
      <c r="K87" s="192"/>
      <c r="L87" s="569"/>
      <c r="M87" s="570"/>
      <c r="N87" s="571"/>
      <c r="O87" s="570"/>
      <c r="P87" s="571"/>
      <c r="Q87" s="570"/>
      <c r="R87" s="571"/>
      <c r="S87" s="570"/>
      <c r="T87" s="571"/>
      <c r="U87" s="570"/>
      <c r="V87" s="571"/>
      <c r="W87" s="570"/>
      <c r="X87" s="571"/>
      <c r="Y87" s="570"/>
      <c r="Z87" s="571"/>
      <c r="AA87" s="572"/>
      <c r="AB87" s="135">
        <f>SUM(D87:AA87)</f>
        <v>0</v>
      </c>
      <c r="AC87" s="206"/>
      <c r="AD87" s="676"/>
      <c r="AE87" s="171"/>
      <c r="AF87" s="673"/>
      <c r="AG87" s="157">
        <v>156</v>
      </c>
    </row>
    <row r="88" spans="1:33" s="4" customFormat="1" ht="59.25" customHeight="1" thickBot="1">
      <c r="A88" s="774" t="s">
        <v>798</v>
      </c>
      <c r="B88" s="689"/>
      <c r="C88" s="690"/>
      <c r="D88" s="689"/>
      <c r="E88" s="689"/>
      <c r="F88" s="689"/>
      <c r="G88" s="689"/>
      <c r="H88" s="689"/>
      <c r="I88" s="689"/>
      <c r="J88" s="689"/>
      <c r="K88" s="689"/>
      <c r="L88" s="692"/>
      <c r="M88" s="692"/>
      <c r="N88" s="692"/>
      <c r="O88" s="692"/>
      <c r="P88" s="692"/>
      <c r="Q88" s="692"/>
      <c r="R88" s="692"/>
      <c r="S88" s="692"/>
      <c r="T88" s="692"/>
      <c r="U88" s="692"/>
      <c r="V88" s="692"/>
      <c r="W88" s="692"/>
      <c r="X88" s="692"/>
      <c r="Y88" s="692"/>
      <c r="Z88" s="692"/>
      <c r="AA88" s="692"/>
      <c r="AB88" s="692"/>
      <c r="AC88" s="689"/>
      <c r="AD88" s="689"/>
      <c r="AE88" s="689"/>
      <c r="AF88" s="848"/>
      <c r="AG88" s="158">
        <v>154</v>
      </c>
    </row>
    <row r="89" spans="1:33" s="6" customFormat="1" ht="53.25" customHeight="1" thickBot="1">
      <c r="A89" s="375" t="s">
        <v>799</v>
      </c>
      <c r="B89" s="159" t="s">
        <v>800</v>
      </c>
      <c r="C89" s="545" t="s">
        <v>801</v>
      </c>
      <c r="D89" s="201">
        <f t="shared" ref="D89:AA89" si="10">SUM(D90,D93,D96,D99,D102)</f>
        <v>0</v>
      </c>
      <c r="E89" s="201">
        <f t="shared" si="10"/>
        <v>0</v>
      </c>
      <c r="F89" s="201">
        <f t="shared" si="10"/>
        <v>0</v>
      </c>
      <c r="G89" s="201">
        <f t="shared" si="10"/>
        <v>0</v>
      </c>
      <c r="H89" s="201">
        <f t="shared" si="10"/>
        <v>0</v>
      </c>
      <c r="I89" s="201">
        <f t="shared" si="10"/>
        <v>0</v>
      </c>
      <c r="J89" s="201">
        <f t="shared" si="10"/>
        <v>0</v>
      </c>
      <c r="K89" s="201">
        <f t="shared" si="10"/>
        <v>0</v>
      </c>
      <c r="L89" s="201">
        <f t="shared" si="10"/>
        <v>0</v>
      </c>
      <c r="M89" s="201">
        <f t="shared" si="10"/>
        <v>0</v>
      </c>
      <c r="N89" s="201">
        <f t="shared" si="10"/>
        <v>0</v>
      </c>
      <c r="O89" s="201">
        <f t="shared" si="10"/>
        <v>0</v>
      </c>
      <c r="P89" s="201">
        <f t="shared" si="10"/>
        <v>0</v>
      </c>
      <c r="Q89" s="201">
        <f t="shared" si="10"/>
        <v>0</v>
      </c>
      <c r="R89" s="201">
        <f t="shared" si="10"/>
        <v>0</v>
      </c>
      <c r="S89" s="201">
        <f t="shared" si="10"/>
        <v>0</v>
      </c>
      <c r="T89" s="201">
        <f t="shared" si="10"/>
        <v>0</v>
      </c>
      <c r="U89" s="201">
        <f t="shared" si="10"/>
        <v>0</v>
      </c>
      <c r="V89" s="201">
        <f t="shared" si="10"/>
        <v>0</v>
      </c>
      <c r="W89" s="201">
        <f t="shared" si="10"/>
        <v>0</v>
      </c>
      <c r="X89" s="201">
        <f t="shared" si="10"/>
        <v>0</v>
      </c>
      <c r="Y89" s="201">
        <f t="shared" si="10"/>
        <v>0</v>
      </c>
      <c r="Z89" s="201">
        <f t="shared" si="10"/>
        <v>0</v>
      </c>
      <c r="AA89" s="201">
        <f t="shared" si="10"/>
        <v>0</v>
      </c>
      <c r="AB89" s="201">
        <f>SUM(AB90,AB93,AB96,AB99,AB102)</f>
        <v>0</v>
      </c>
      <c r="AC89" s="202"/>
      <c r="AD89" s="674" t="str">
        <f>CONCATENATE(AC89,AC90,AC93,AC96,AC99,AC102,AC91,AC92,AC94,AC95,AC97,AC98,AC100,AC101,AC103,AC104)</f>
        <v/>
      </c>
      <c r="AE89" s="203"/>
      <c r="AF89" s="671" t="str">
        <f>CONCATENATE(AE89,AE90,AE93,AE96,AE99,AE102)</f>
        <v/>
      </c>
      <c r="AG89" s="158">
        <v>155</v>
      </c>
    </row>
    <row r="90" spans="1:33" s="4" customFormat="1" ht="53.25" customHeight="1" thickBot="1">
      <c r="A90" s="677" t="s">
        <v>78</v>
      </c>
      <c r="B90" s="307" t="s">
        <v>807</v>
      </c>
      <c r="C90" s="545" t="s">
        <v>802</v>
      </c>
      <c r="D90" s="182"/>
      <c r="E90" s="183"/>
      <c r="F90" s="182"/>
      <c r="G90" s="183"/>
      <c r="H90" s="182"/>
      <c r="I90" s="183"/>
      <c r="J90" s="182"/>
      <c r="K90" s="183"/>
      <c r="L90" s="183"/>
      <c r="M90" s="196"/>
      <c r="N90" s="183"/>
      <c r="O90" s="196"/>
      <c r="P90" s="183"/>
      <c r="Q90" s="196"/>
      <c r="R90" s="183"/>
      <c r="S90" s="196"/>
      <c r="T90" s="183"/>
      <c r="U90" s="196"/>
      <c r="V90" s="183"/>
      <c r="W90" s="196"/>
      <c r="X90" s="183"/>
      <c r="Y90" s="196"/>
      <c r="Z90" s="183"/>
      <c r="AA90" s="196"/>
      <c r="AB90" s="268">
        <f t="shared" ref="AB90:AB100" si="11">SUM(D90:AA90)</f>
        <v>0</v>
      </c>
      <c r="AC90" s="206"/>
      <c r="AD90" s="675"/>
      <c r="AE90" s="171"/>
      <c r="AF90" s="672"/>
      <c r="AG90" s="158">
        <v>156</v>
      </c>
    </row>
    <row r="91" spans="1:33" s="4" customFormat="1" ht="53.25" customHeight="1" thickBot="1">
      <c r="A91" s="678"/>
      <c r="B91" s="204" t="s">
        <v>812</v>
      </c>
      <c r="C91" s="547" t="s">
        <v>817</v>
      </c>
      <c r="D91" s="182"/>
      <c r="E91" s="183"/>
      <c r="F91" s="182"/>
      <c r="G91" s="183"/>
      <c r="H91" s="182"/>
      <c r="I91" s="183"/>
      <c r="J91" s="182"/>
      <c r="K91" s="183"/>
      <c r="L91" s="183"/>
      <c r="M91" s="196"/>
      <c r="N91" s="183"/>
      <c r="O91" s="196"/>
      <c r="P91" s="183"/>
      <c r="Q91" s="196"/>
      <c r="R91" s="183"/>
      <c r="S91" s="196"/>
      <c r="T91" s="183"/>
      <c r="U91" s="196"/>
      <c r="V91" s="183"/>
      <c r="W91" s="196"/>
      <c r="X91" s="183"/>
      <c r="Y91" s="196"/>
      <c r="Z91" s="183"/>
      <c r="AA91" s="196"/>
      <c r="AB91" s="205">
        <f t="shared" si="11"/>
        <v>0</v>
      </c>
      <c r="AC91" s="206"/>
      <c r="AD91" s="675"/>
      <c r="AE91" s="171"/>
      <c r="AF91" s="672"/>
      <c r="AG91" s="158">
        <v>156</v>
      </c>
    </row>
    <row r="92" spans="1:33" s="4" customFormat="1" ht="53.25" customHeight="1" thickBot="1">
      <c r="A92" s="679"/>
      <c r="B92" s="322" t="s">
        <v>813</v>
      </c>
      <c r="C92" s="547" t="s">
        <v>818</v>
      </c>
      <c r="D92" s="177"/>
      <c r="E92" s="178"/>
      <c r="F92" s="177"/>
      <c r="G92" s="178"/>
      <c r="H92" s="177"/>
      <c r="I92" s="178"/>
      <c r="J92" s="177"/>
      <c r="K92" s="178"/>
      <c r="L92" s="178"/>
      <c r="M92" s="323"/>
      <c r="N92" s="178"/>
      <c r="O92" s="323"/>
      <c r="P92" s="178"/>
      <c r="Q92" s="323"/>
      <c r="R92" s="178"/>
      <c r="S92" s="323"/>
      <c r="T92" s="178"/>
      <c r="U92" s="323"/>
      <c r="V92" s="178"/>
      <c r="W92" s="323"/>
      <c r="X92" s="178"/>
      <c r="Y92" s="323"/>
      <c r="Z92" s="178"/>
      <c r="AA92" s="323"/>
      <c r="AB92" s="320"/>
      <c r="AC92" s="206"/>
      <c r="AD92" s="675"/>
      <c r="AE92" s="171"/>
      <c r="AF92" s="672"/>
      <c r="AG92" s="158"/>
    </row>
    <row r="93" spans="1:33" s="4" customFormat="1" ht="53.25" customHeight="1" thickBot="1">
      <c r="A93" s="677" t="s">
        <v>76</v>
      </c>
      <c r="B93" s="307" t="s">
        <v>808</v>
      </c>
      <c r="C93" s="547" t="s">
        <v>803</v>
      </c>
      <c r="D93" s="182"/>
      <c r="E93" s="183"/>
      <c r="F93" s="182"/>
      <c r="G93" s="183"/>
      <c r="H93" s="182"/>
      <c r="I93" s="183"/>
      <c r="J93" s="182"/>
      <c r="K93" s="183"/>
      <c r="L93" s="196"/>
      <c r="M93" s="183"/>
      <c r="N93" s="196"/>
      <c r="O93" s="183"/>
      <c r="P93" s="196"/>
      <c r="Q93" s="183"/>
      <c r="R93" s="196"/>
      <c r="S93" s="183"/>
      <c r="T93" s="196"/>
      <c r="U93" s="183"/>
      <c r="V93" s="196"/>
      <c r="W93" s="183"/>
      <c r="X93" s="196"/>
      <c r="Y93" s="183"/>
      <c r="Z93" s="196"/>
      <c r="AA93" s="183"/>
      <c r="AB93" s="268">
        <f t="shared" si="11"/>
        <v>0</v>
      </c>
      <c r="AC93" s="206"/>
      <c r="AD93" s="675"/>
      <c r="AE93" s="171"/>
      <c r="AF93" s="672"/>
      <c r="AG93" s="158">
        <v>157</v>
      </c>
    </row>
    <row r="94" spans="1:33" s="4" customFormat="1" ht="53.25" customHeight="1" thickBot="1">
      <c r="A94" s="678"/>
      <c r="B94" s="207" t="s">
        <v>814</v>
      </c>
      <c r="C94" s="547" t="s">
        <v>819</v>
      </c>
      <c r="D94" s="162"/>
      <c r="E94" s="163"/>
      <c r="F94" s="162"/>
      <c r="G94" s="163"/>
      <c r="H94" s="162"/>
      <c r="I94" s="163"/>
      <c r="J94" s="162"/>
      <c r="K94" s="163"/>
      <c r="L94" s="197"/>
      <c r="M94" s="183"/>
      <c r="N94" s="197"/>
      <c r="O94" s="183"/>
      <c r="P94" s="197"/>
      <c r="Q94" s="183"/>
      <c r="R94" s="197"/>
      <c r="S94" s="183"/>
      <c r="T94" s="197"/>
      <c r="U94" s="183"/>
      <c r="V94" s="197"/>
      <c r="W94" s="183"/>
      <c r="X94" s="197"/>
      <c r="Y94" s="183"/>
      <c r="Z94" s="197"/>
      <c r="AA94" s="183"/>
      <c r="AB94" s="208">
        <f t="shared" si="11"/>
        <v>0</v>
      </c>
      <c r="AC94" s="206"/>
      <c r="AD94" s="675"/>
      <c r="AE94" s="171"/>
      <c r="AF94" s="672"/>
      <c r="AG94" s="158">
        <v>157</v>
      </c>
    </row>
    <row r="95" spans="1:33" s="4" customFormat="1" ht="53.25" customHeight="1" thickBot="1">
      <c r="A95" s="679"/>
      <c r="B95" s="212" t="s">
        <v>821</v>
      </c>
      <c r="C95" s="547" t="s">
        <v>820</v>
      </c>
      <c r="D95" s="177"/>
      <c r="E95" s="178"/>
      <c r="F95" s="177"/>
      <c r="G95" s="178"/>
      <c r="H95" s="177"/>
      <c r="I95" s="178"/>
      <c r="J95" s="177"/>
      <c r="K95" s="178"/>
      <c r="L95" s="198"/>
      <c r="M95" s="178"/>
      <c r="N95" s="198"/>
      <c r="O95" s="178"/>
      <c r="P95" s="198"/>
      <c r="Q95" s="178"/>
      <c r="R95" s="198"/>
      <c r="S95" s="178"/>
      <c r="T95" s="198"/>
      <c r="U95" s="178"/>
      <c r="V95" s="198"/>
      <c r="W95" s="178"/>
      <c r="X95" s="198"/>
      <c r="Y95" s="178"/>
      <c r="Z95" s="198"/>
      <c r="AA95" s="178"/>
      <c r="AB95" s="210"/>
      <c r="AC95" s="206"/>
      <c r="AD95" s="675"/>
      <c r="AE95" s="171"/>
      <c r="AF95" s="672"/>
      <c r="AG95" s="158"/>
    </row>
    <row r="96" spans="1:33" s="4" customFormat="1" ht="53.25" customHeight="1" thickBot="1">
      <c r="A96" s="677" t="s">
        <v>166</v>
      </c>
      <c r="B96" s="307" t="s">
        <v>809</v>
      </c>
      <c r="C96" s="547" t="s">
        <v>804</v>
      </c>
      <c r="D96" s="182"/>
      <c r="E96" s="183"/>
      <c r="F96" s="182"/>
      <c r="G96" s="183"/>
      <c r="H96" s="182"/>
      <c r="I96" s="183"/>
      <c r="J96" s="182"/>
      <c r="K96" s="183"/>
      <c r="L96" s="196"/>
      <c r="M96" s="196"/>
      <c r="N96" s="196"/>
      <c r="O96" s="196"/>
      <c r="P96" s="196"/>
      <c r="Q96" s="196"/>
      <c r="R96" s="196"/>
      <c r="S96" s="196"/>
      <c r="T96" s="196"/>
      <c r="U96" s="196"/>
      <c r="V96" s="196"/>
      <c r="W96" s="196"/>
      <c r="X96" s="196"/>
      <c r="Y96" s="196"/>
      <c r="Z96" s="196"/>
      <c r="AA96" s="196"/>
      <c r="AB96" s="268">
        <f t="shared" si="11"/>
        <v>0</v>
      </c>
      <c r="AC96" s="206"/>
      <c r="AD96" s="675"/>
      <c r="AE96" s="171"/>
      <c r="AF96" s="672"/>
      <c r="AG96" s="158">
        <v>159</v>
      </c>
    </row>
    <row r="97" spans="1:33" s="4" customFormat="1" ht="53.25" customHeight="1" thickBot="1">
      <c r="A97" s="678"/>
      <c r="B97" s="207" t="s">
        <v>815</v>
      </c>
      <c r="C97" s="547" t="s">
        <v>822</v>
      </c>
      <c r="D97" s="162"/>
      <c r="E97" s="163"/>
      <c r="F97" s="162"/>
      <c r="G97" s="163"/>
      <c r="H97" s="162"/>
      <c r="I97" s="163"/>
      <c r="J97" s="162"/>
      <c r="K97" s="163"/>
      <c r="L97" s="197"/>
      <c r="M97" s="197"/>
      <c r="N97" s="197"/>
      <c r="O97" s="197"/>
      <c r="P97" s="197"/>
      <c r="Q97" s="197"/>
      <c r="R97" s="197"/>
      <c r="S97" s="197"/>
      <c r="T97" s="197"/>
      <c r="U97" s="197"/>
      <c r="V97" s="197"/>
      <c r="W97" s="197"/>
      <c r="X97" s="197"/>
      <c r="Y97" s="197"/>
      <c r="Z97" s="197"/>
      <c r="AA97" s="197"/>
      <c r="AB97" s="208">
        <f t="shared" si="11"/>
        <v>0</v>
      </c>
      <c r="AC97" s="206"/>
      <c r="AD97" s="675"/>
      <c r="AE97" s="171"/>
      <c r="AF97" s="672"/>
      <c r="AG97" s="158">
        <v>159</v>
      </c>
    </row>
    <row r="98" spans="1:33" s="4" customFormat="1" ht="53.25" customHeight="1" thickBot="1">
      <c r="A98" s="679"/>
      <c r="B98" s="212" t="s">
        <v>816</v>
      </c>
      <c r="C98" s="547" t="s">
        <v>823</v>
      </c>
      <c r="D98" s="177"/>
      <c r="E98" s="178"/>
      <c r="F98" s="177"/>
      <c r="G98" s="178"/>
      <c r="H98" s="177"/>
      <c r="I98" s="178"/>
      <c r="J98" s="177"/>
      <c r="K98" s="178"/>
      <c r="L98" s="198"/>
      <c r="M98" s="198"/>
      <c r="N98" s="198"/>
      <c r="O98" s="198"/>
      <c r="P98" s="198"/>
      <c r="Q98" s="198"/>
      <c r="R98" s="198"/>
      <c r="S98" s="198"/>
      <c r="T98" s="198"/>
      <c r="U98" s="198"/>
      <c r="V98" s="198"/>
      <c r="W98" s="198"/>
      <c r="X98" s="198"/>
      <c r="Y98" s="198"/>
      <c r="Z98" s="198"/>
      <c r="AA98" s="198"/>
      <c r="AB98" s="210"/>
      <c r="AC98" s="206"/>
      <c r="AD98" s="675"/>
      <c r="AE98" s="171"/>
      <c r="AF98" s="672"/>
      <c r="AG98" s="158"/>
    </row>
    <row r="99" spans="1:33" s="4" customFormat="1" ht="53.25" customHeight="1" thickBot="1">
      <c r="A99" s="677" t="s">
        <v>75</v>
      </c>
      <c r="B99" s="307" t="s">
        <v>810</v>
      </c>
      <c r="C99" s="547" t="s">
        <v>805</v>
      </c>
      <c r="D99" s="182"/>
      <c r="E99" s="183"/>
      <c r="F99" s="182"/>
      <c r="G99" s="183"/>
      <c r="H99" s="182"/>
      <c r="I99" s="183"/>
      <c r="J99" s="182"/>
      <c r="K99" s="183"/>
      <c r="L99" s="196"/>
      <c r="M99" s="196"/>
      <c r="N99" s="196"/>
      <c r="O99" s="196"/>
      <c r="P99" s="196"/>
      <c r="Q99" s="196"/>
      <c r="R99" s="196"/>
      <c r="S99" s="196"/>
      <c r="T99" s="196"/>
      <c r="U99" s="196"/>
      <c r="V99" s="196"/>
      <c r="W99" s="196"/>
      <c r="X99" s="196"/>
      <c r="Y99" s="196"/>
      <c r="Z99" s="196"/>
      <c r="AA99" s="196"/>
      <c r="AB99" s="325">
        <f t="shared" si="11"/>
        <v>0</v>
      </c>
      <c r="AC99" s="206"/>
      <c r="AD99" s="675"/>
      <c r="AE99" s="171"/>
      <c r="AF99" s="672"/>
      <c r="AG99" s="158">
        <v>160</v>
      </c>
    </row>
    <row r="100" spans="1:33" s="4" customFormat="1" ht="53.25" customHeight="1" thickBot="1">
      <c r="A100" s="678"/>
      <c r="B100" s="207" t="s">
        <v>826</v>
      </c>
      <c r="C100" s="547" t="s">
        <v>824</v>
      </c>
      <c r="D100" s="162"/>
      <c r="E100" s="163"/>
      <c r="F100" s="162"/>
      <c r="G100" s="163"/>
      <c r="H100" s="162"/>
      <c r="I100" s="163"/>
      <c r="J100" s="162"/>
      <c r="K100" s="163"/>
      <c r="L100" s="197"/>
      <c r="M100" s="197"/>
      <c r="N100" s="197"/>
      <c r="O100" s="197"/>
      <c r="P100" s="197"/>
      <c r="Q100" s="197"/>
      <c r="R100" s="197"/>
      <c r="S100" s="197"/>
      <c r="T100" s="197"/>
      <c r="U100" s="197"/>
      <c r="V100" s="197"/>
      <c r="W100" s="197"/>
      <c r="X100" s="197"/>
      <c r="Y100" s="197"/>
      <c r="Z100" s="197"/>
      <c r="AA100" s="197"/>
      <c r="AB100" s="210">
        <f t="shared" si="11"/>
        <v>0</v>
      </c>
      <c r="AC100" s="206"/>
      <c r="AD100" s="675"/>
      <c r="AE100" s="171"/>
      <c r="AF100" s="672"/>
      <c r="AG100" s="158">
        <v>160</v>
      </c>
    </row>
    <row r="101" spans="1:33" s="4" customFormat="1" ht="53.25" customHeight="1" thickBot="1">
      <c r="A101" s="679"/>
      <c r="B101" s="212" t="s">
        <v>827</v>
      </c>
      <c r="C101" s="547" t="s">
        <v>825</v>
      </c>
      <c r="D101" s="177"/>
      <c r="E101" s="178"/>
      <c r="F101" s="177"/>
      <c r="G101" s="178"/>
      <c r="H101" s="177"/>
      <c r="I101" s="178"/>
      <c r="J101" s="177"/>
      <c r="K101" s="178"/>
      <c r="L101" s="326"/>
      <c r="M101" s="326"/>
      <c r="N101" s="326"/>
      <c r="O101" s="326"/>
      <c r="P101" s="326"/>
      <c r="Q101" s="326"/>
      <c r="R101" s="326"/>
      <c r="S101" s="326"/>
      <c r="T101" s="326"/>
      <c r="U101" s="326"/>
      <c r="V101" s="326"/>
      <c r="W101" s="326"/>
      <c r="X101" s="326"/>
      <c r="Y101" s="326"/>
      <c r="Z101" s="326"/>
      <c r="AA101" s="327"/>
      <c r="AB101" s="320"/>
      <c r="AC101" s="321"/>
      <c r="AD101" s="675"/>
      <c r="AE101" s="171"/>
      <c r="AF101" s="672"/>
      <c r="AG101" s="158"/>
    </row>
    <row r="102" spans="1:33" s="4" customFormat="1" ht="53.25" customHeight="1" thickBot="1">
      <c r="A102" s="678" t="s">
        <v>421</v>
      </c>
      <c r="B102" s="207" t="s">
        <v>811</v>
      </c>
      <c r="C102" s="547" t="s">
        <v>806</v>
      </c>
      <c r="D102" s="177"/>
      <c r="E102" s="178"/>
      <c r="F102" s="177"/>
      <c r="G102" s="178"/>
      <c r="H102" s="177"/>
      <c r="I102" s="178"/>
      <c r="J102" s="177"/>
      <c r="K102" s="178"/>
      <c r="L102" s="178"/>
      <c r="M102" s="178"/>
      <c r="N102" s="178"/>
      <c r="O102" s="178"/>
      <c r="P102" s="178"/>
      <c r="Q102" s="178"/>
      <c r="R102" s="178"/>
      <c r="S102" s="178"/>
      <c r="T102" s="178"/>
      <c r="U102" s="178"/>
      <c r="V102" s="178"/>
      <c r="W102" s="178"/>
      <c r="X102" s="178"/>
      <c r="Y102" s="178"/>
      <c r="Z102" s="178"/>
      <c r="AA102" s="213"/>
      <c r="AB102" s="324"/>
      <c r="AC102" s="209"/>
      <c r="AD102" s="675"/>
      <c r="AE102" s="171"/>
      <c r="AF102" s="672"/>
      <c r="AG102" s="158">
        <v>161</v>
      </c>
    </row>
    <row r="103" spans="1:33" s="4" customFormat="1" ht="53.25" customHeight="1" thickBot="1">
      <c r="A103" s="678"/>
      <c r="B103" s="207" t="s">
        <v>829</v>
      </c>
      <c r="C103" s="547" t="s">
        <v>830</v>
      </c>
      <c r="D103" s="177"/>
      <c r="E103" s="178"/>
      <c r="F103" s="177"/>
      <c r="G103" s="178"/>
      <c r="H103" s="177"/>
      <c r="I103" s="178"/>
      <c r="J103" s="177"/>
      <c r="K103" s="178"/>
      <c r="L103" s="178"/>
      <c r="M103" s="178"/>
      <c r="N103" s="178"/>
      <c r="O103" s="178"/>
      <c r="P103" s="178"/>
      <c r="Q103" s="178"/>
      <c r="R103" s="178"/>
      <c r="S103" s="178"/>
      <c r="T103" s="178"/>
      <c r="U103" s="178"/>
      <c r="V103" s="178"/>
      <c r="W103" s="178"/>
      <c r="X103" s="178"/>
      <c r="Y103" s="178"/>
      <c r="Z103" s="178"/>
      <c r="AA103" s="213"/>
      <c r="AB103" s="324"/>
      <c r="AC103" s="206"/>
      <c r="AD103" s="675"/>
      <c r="AE103" s="171"/>
      <c r="AF103" s="672"/>
      <c r="AG103" s="158">
        <v>157</v>
      </c>
    </row>
    <row r="104" spans="1:33" s="4" customFormat="1" ht="53.25" customHeight="1" thickBot="1">
      <c r="A104" s="680"/>
      <c r="B104" s="207" t="s">
        <v>828</v>
      </c>
      <c r="C104" s="546" t="s">
        <v>831</v>
      </c>
      <c r="D104" s="177"/>
      <c r="E104" s="178"/>
      <c r="F104" s="177"/>
      <c r="G104" s="178"/>
      <c r="H104" s="177"/>
      <c r="I104" s="178"/>
      <c r="J104" s="177"/>
      <c r="K104" s="178"/>
      <c r="L104" s="178"/>
      <c r="M104" s="178"/>
      <c r="N104" s="178"/>
      <c r="O104" s="178"/>
      <c r="P104" s="178"/>
      <c r="Q104" s="178"/>
      <c r="R104" s="178"/>
      <c r="S104" s="178"/>
      <c r="T104" s="178"/>
      <c r="U104" s="178"/>
      <c r="V104" s="178"/>
      <c r="W104" s="178"/>
      <c r="X104" s="178"/>
      <c r="Y104" s="178"/>
      <c r="Z104" s="178"/>
      <c r="AA104" s="213"/>
      <c r="AB104" s="324"/>
      <c r="AC104" s="206"/>
      <c r="AD104" s="676"/>
      <c r="AE104" s="171"/>
      <c r="AF104" s="673"/>
      <c r="AG104" s="158"/>
    </row>
    <row r="105" spans="1:33" s="4" customFormat="1" ht="53.25" customHeight="1" thickBot="1">
      <c r="A105" s="688" t="s">
        <v>790</v>
      </c>
      <c r="B105" s="689"/>
      <c r="C105" s="692"/>
      <c r="D105" s="689"/>
      <c r="E105" s="689"/>
      <c r="F105" s="689"/>
      <c r="G105" s="689"/>
      <c r="H105" s="689"/>
      <c r="I105" s="689"/>
      <c r="J105" s="689"/>
      <c r="K105" s="689"/>
      <c r="L105" s="689"/>
      <c r="M105" s="689"/>
      <c r="N105" s="689"/>
      <c r="O105" s="689"/>
      <c r="P105" s="689"/>
      <c r="Q105" s="689"/>
      <c r="R105" s="689"/>
      <c r="S105" s="689"/>
      <c r="T105" s="689"/>
      <c r="U105" s="689"/>
      <c r="V105" s="689"/>
      <c r="W105" s="689"/>
      <c r="X105" s="689"/>
      <c r="Y105" s="689"/>
      <c r="Z105" s="689"/>
      <c r="AA105" s="689"/>
      <c r="AB105" s="689"/>
      <c r="AC105" s="689"/>
      <c r="AD105" s="689"/>
      <c r="AE105" s="689"/>
      <c r="AF105" s="691"/>
      <c r="AG105" s="158">
        <v>41</v>
      </c>
    </row>
    <row r="106" spans="1:33" s="4" customFormat="1" ht="53.25" customHeight="1">
      <c r="A106" s="702" t="s">
        <v>17</v>
      </c>
      <c r="B106" s="702" t="s">
        <v>25</v>
      </c>
      <c r="C106" s="685" t="s">
        <v>24</v>
      </c>
      <c r="D106" s="687" t="s">
        <v>0</v>
      </c>
      <c r="E106" s="687"/>
      <c r="F106" s="687" t="s">
        <v>1</v>
      </c>
      <c r="G106" s="687"/>
      <c r="H106" s="687" t="s">
        <v>2</v>
      </c>
      <c r="I106" s="687"/>
      <c r="J106" s="687" t="s">
        <v>3</v>
      </c>
      <c r="K106" s="687"/>
      <c r="L106" s="699" t="s">
        <v>4</v>
      </c>
      <c r="M106" s="700"/>
      <c r="N106" s="699" t="s">
        <v>5</v>
      </c>
      <c r="O106" s="700"/>
      <c r="P106" s="699" t="s">
        <v>6</v>
      </c>
      <c r="Q106" s="700"/>
      <c r="R106" s="699" t="s">
        <v>7</v>
      </c>
      <c r="S106" s="700"/>
      <c r="T106" s="699" t="s">
        <v>8</v>
      </c>
      <c r="U106" s="700"/>
      <c r="V106" s="699" t="s">
        <v>14</v>
      </c>
      <c r="W106" s="700"/>
      <c r="X106" s="699" t="s">
        <v>15</v>
      </c>
      <c r="Y106" s="700"/>
      <c r="Z106" s="699" t="s">
        <v>9</v>
      </c>
      <c r="AA106" s="700"/>
      <c r="AB106" s="693" t="s">
        <v>12</v>
      </c>
      <c r="AC106" s="695" t="s">
        <v>26</v>
      </c>
      <c r="AD106" s="710" t="s">
        <v>31</v>
      </c>
      <c r="AE106" s="709" t="s">
        <v>32</v>
      </c>
      <c r="AF106" s="709" t="s">
        <v>32</v>
      </c>
      <c r="AG106" s="158">
        <v>42</v>
      </c>
    </row>
    <row r="107" spans="1:33" s="4" customFormat="1" ht="53.25" customHeight="1" thickBot="1">
      <c r="A107" s="703"/>
      <c r="B107" s="703"/>
      <c r="C107" s="686"/>
      <c r="D107" s="95" t="s">
        <v>10</v>
      </c>
      <c r="E107" s="95" t="s">
        <v>11</v>
      </c>
      <c r="F107" s="95" t="s">
        <v>10</v>
      </c>
      <c r="G107" s="95" t="s">
        <v>11</v>
      </c>
      <c r="H107" s="95" t="s">
        <v>10</v>
      </c>
      <c r="I107" s="95" t="s">
        <v>11</v>
      </c>
      <c r="J107" s="95" t="s">
        <v>10</v>
      </c>
      <c r="K107" s="95" t="s">
        <v>11</v>
      </c>
      <c r="L107" s="95" t="s">
        <v>10</v>
      </c>
      <c r="M107" s="95" t="s">
        <v>11</v>
      </c>
      <c r="N107" s="95" t="s">
        <v>10</v>
      </c>
      <c r="O107" s="95" t="s">
        <v>11</v>
      </c>
      <c r="P107" s="95" t="s">
        <v>10</v>
      </c>
      <c r="Q107" s="95" t="s">
        <v>11</v>
      </c>
      <c r="R107" s="95" t="s">
        <v>10</v>
      </c>
      <c r="S107" s="95" t="s">
        <v>11</v>
      </c>
      <c r="T107" s="95" t="s">
        <v>10</v>
      </c>
      <c r="U107" s="95" t="s">
        <v>11</v>
      </c>
      <c r="V107" s="95" t="s">
        <v>10</v>
      </c>
      <c r="W107" s="95" t="s">
        <v>11</v>
      </c>
      <c r="X107" s="95" t="s">
        <v>10</v>
      </c>
      <c r="Y107" s="95" t="s">
        <v>11</v>
      </c>
      <c r="Z107" s="95" t="s">
        <v>10</v>
      </c>
      <c r="AA107" s="95" t="s">
        <v>11</v>
      </c>
      <c r="AB107" s="694"/>
      <c r="AC107" s="696"/>
      <c r="AD107" s="711"/>
      <c r="AE107" s="705"/>
      <c r="AF107" s="712"/>
      <c r="AG107" s="158">
        <v>43</v>
      </c>
    </row>
    <row r="108" spans="1:33" s="4" customFormat="1" ht="53.25" customHeight="1">
      <c r="A108" s="837" t="s">
        <v>99</v>
      </c>
      <c r="B108" s="161" t="s">
        <v>100</v>
      </c>
      <c r="C108" s="545" t="s">
        <v>248</v>
      </c>
      <c r="D108" s="182"/>
      <c r="E108" s="183"/>
      <c r="F108" s="182"/>
      <c r="G108" s="183"/>
      <c r="H108" s="182"/>
      <c r="I108" s="183"/>
      <c r="J108" s="182"/>
      <c r="K108" s="184"/>
      <c r="L108" s="215"/>
      <c r="M108" s="215"/>
      <c r="N108" s="215"/>
      <c r="O108" s="215"/>
      <c r="P108" s="215"/>
      <c r="Q108" s="215"/>
      <c r="R108" s="215"/>
      <c r="S108" s="215"/>
      <c r="T108" s="215"/>
      <c r="U108" s="215"/>
      <c r="V108" s="215"/>
      <c r="W108" s="215"/>
      <c r="X108" s="215"/>
      <c r="Y108" s="215"/>
      <c r="Z108" s="215"/>
      <c r="AA108" s="215"/>
      <c r="AB108" s="205">
        <f>SUM(D108:AA108)</f>
        <v>0</v>
      </c>
      <c r="AC108" s="295" t="str">
        <f>CONCATENATE(IF(D110&gt;D108," * Number Receiving Pep Services "&amp;$D$19&amp;" "&amp;$D$20&amp;" is more than Sexual Violence Cases"&amp;CHAR(10),""),IF(E110&gt;E108," * Number Receiving Pep Services "&amp;$D$19&amp;" "&amp;$E$20&amp;" is more than Sexual Violence Cases"&amp;CHAR(10),""),IF(F110&gt;F108," * Number Receiving Pep Services "&amp;$F$19&amp;" "&amp;$F$20&amp;" is more than Sexual Violence Cases"&amp;CHAR(10),""),IF(G110&gt;G108," * Number Receiving Pep Services "&amp;$F$19&amp;" "&amp;$G$20&amp;" is more than Sexual Violence Cases"&amp;CHAR(10),""),IF(H110&gt;H108," * Number Receiving Pep Services "&amp;$H$19&amp;" "&amp;$H$20&amp;" is more than Sexual Violence Cases"&amp;CHAR(10),""),IF(I110&gt;I108," * Number Receiving Pep Services "&amp;$H$19&amp;" "&amp;$I$20&amp;" is more than Sexual Violence Cases"&amp;CHAR(10),""),IF(J110&gt;J108," * Number Receiving Pep Services "&amp;$J$19&amp;" "&amp;$J$20&amp;" is more than Sexual Violence Cases"&amp;CHAR(10),""),IF(K110&gt;K108," * Number Receiving Pep Services "&amp;$J$19&amp;" "&amp;$K$20&amp;" is more than Sexual Violence Cases"&amp;CHAR(10),""),IF(L110&gt;L108," * Number Receiving Pep Services "&amp;$L$19&amp;" "&amp;$L$20&amp;" is more than Sexual Violence Cases"&amp;CHAR(10),""),IF(M110&gt;M108," * Number Receiving Pep Services "&amp;$L$19&amp;" "&amp;$M$20&amp;" is more than Sexual Violence Cases"&amp;CHAR(10),""),IF(N110&gt;N108," * Number Receiving Pep Services "&amp;$N$19&amp;" "&amp;$N$20&amp;" is more than Sexual Violence Cases"&amp;CHAR(10),""),IF(O110&gt;O108," * Number Receiving Pep Services "&amp;$N$19&amp;" "&amp;$O$20&amp;" is more than Sexual Violence Cases"&amp;CHAR(10),""),IF(P110&gt;P108," * Number Receiving Pep Services "&amp;$P$19&amp;" "&amp;$P$20&amp;" is more than Sexual Violence Cases"&amp;CHAR(10),""),IF(Q110&gt;Q108," * Number Receiving Pep Services "&amp;$P$19&amp;" "&amp;$Q$20&amp;" is more than Sexual Violence Cases"&amp;CHAR(10),""),IF(R110&gt;R108," * Number Receiving Pep Services "&amp;$R$19&amp;" "&amp;$R$20&amp;" is more than Sexual Violence Cases"&amp;CHAR(10),""),IF(S110&gt;S108," * Number Receiving Pep Services "&amp;$R$19&amp;" "&amp;$S$20&amp;" is more than Sexual Violence Cases"&amp;CHAR(10),""),IF(T110&gt;T108," * Number Receiving Pep Services "&amp;$T$19&amp;" "&amp;$T$20&amp;" is more than Sexual Violence Cases"&amp;CHAR(10),""),IF(U110&gt;U108," * Number Receiving Pep Services "&amp;$T$19&amp;" "&amp;$U$20&amp;" is more than Sexual Violence Cases"&amp;CHAR(10),""),IF(V110&gt;V108," * Number Receiving Pep Services "&amp;$V$19&amp;" "&amp;$V$20&amp;" is more than Sexual Violence Cases"&amp;CHAR(10),""),IF(W110&gt;W108," * Number Receiving Pep Services "&amp;$V$19&amp;" "&amp;$W$20&amp;" is more than Sexual Violence Cases"&amp;CHAR(10),""),IF(X110&gt;X108," * Number Receiving Pep Services "&amp;$X$19&amp;" "&amp;$X$20&amp;" is more than Sexual Violence Cases"&amp;CHAR(10),""),IF(Y110&gt;Y108," * Number Receiving Pep Services "&amp;$X$19&amp;" "&amp;$Y$20&amp;" is more than Sexual Violence Cases"&amp;CHAR(10),""),IF(Z110&gt;Z108," * Number Receiving Pep Services "&amp;$Z$19&amp;" "&amp;$Z$20&amp;" is more than Sexual Violence Cases"&amp;CHAR(10),""),IF(AA110&gt;AA108," * Number Receiving Pep Services "&amp;$Z$19&amp;" "&amp;$AA$20&amp;" is more than Sexual Violence Cases"&amp;CHAR(10),""),IF(AB110&gt;AB108," * Number Receiving Pep Services "&amp;$AB$19&amp;" "&amp;$AB$20&amp;" is more than Sexual Violence Cases"&amp;CHAR(10),""))</f>
        <v/>
      </c>
      <c r="AD108" s="869" t="str">
        <f>CONCATENATE(AC108,AC109,AC110)</f>
        <v/>
      </c>
      <c r="AE108" s="171" t="str">
        <f>CONCATENATE(IF(D110&lt;(D108+D109)," * Some GBV Cases have not been started on Pep Service "&amp;$D$19&amp;" "&amp;$D$20&amp;" Please provide explanations below"&amp;CHAR(10),""),IF(E110&lt;(E108+E109)," * Some GBV Cases have not been started on Pep Service "&amp;$D$19&amp;" "&amp;$E$20&amp;" Please provide explanations below"&amp;CHAR(10),""),IF(F110&lt;(F108+F109)," * Some GBV Cases have not been started on Pep Service "&amp;$F$19&amp;" "&amp;$F$20&amp;" Please provide explanations below"&amp;CHAR(10),""),IF(G110&lt;(G108+G109)," * Some GBV Cases have not been started on Pep Service "&amp;$F$19&amp;" "&amp;$G$20&amp;" Please provide explanations below"&amp;CHAR(10),""),IF(H110&lt;(H108+H109)," * Some GBV Cases have not been started on Pep Service "&amp;$H$19&amp;" "&amp;$H$20&amp;" Please provide explanations below"&amp;CHAR(10),""),IF(I110&lt;(I108+I109)," * Some GBV Cases have not been started on Pep Service "&amp;$H$19&amp;" "&amp;$I$20&amp;" Please provide explanations below"&amp;CHAR(10),""),IF(J110&lt;(J108+J109)," * Some GBV Cases have not been started on Pep Service "&amp;$J$19&amp;" "&amp;$J$20&amp;" Please provide explanations below"&amp;CHAR(10),""),IF(K110&lt;(K108+K109)," * Some GBV Cases have not been started on Pep Service "&amp;$J$19&amp;" "&amp;$K$20&amp;" Please provide explanations below"&amp;CHAR(10),""),IF(L110&lt;(L108+L109)," * Some GBV Cases have not been started on Pep Service "&amp;$L$19&amp;" "&amp;$L$20&amp;" Please provide explanations below"&amp;CHAR(10),""),IF(M110&lt;(M108+M109)," * Some GBV Cases have not been started on Pep Service "&amp;$L$19&amp;" "&amp;$M$20&amp;" Please provide explanations below"&amp;CHAR(10),""),IF(N110&lt;(N108+N109)," * Some GBV Cases have not been started on Pep Service "&amp;$N$19&amp;" "&amp;$N$20&amp;" Please provide explanations below"&amp;CHAR(10),""),IF(O110&lt;(O108+O109)," * Some GBV Cases have not been started on Pep Service "&amp;$N$19&amp;" "&amp;$O$20&amp;" Please provide explanations below"&amp;CHAR(10),""),IF(P110&lt;(P108+P109)," * Some GBV Cases have not been started on Pep Service "&amp;$P$19&amp;" "&amp;$P$20&amp;" Please provide explanations below"&amp;CHAR(10),""),IF(Q110&lt;(Q108+Q109)," * Some GBV Cases have not been started on Pep Service "&amp;$P$19&amp;" "&amp;$Q$20&amp;" Please provide explanations below"&amp;CHAR(10),""),IF(R110&lt;(R108+R109)," * Some GBV Cases have not been started on Pep Service "&amp;$R$19&amp;" "&amp;$R$20&amp;" Please provide explanations below"&amp;CHAR(10),""),IF(S110&lt;(S108+S109)," * Some GBV Cases have not been started on Pep Service "&amp;$R$19&amp;" "&amp;$S$20&amp;" Please provide explanations below"&amp;CHAR(10),""),IF(T110&lt;(T108+T109)," * Some GBV Cases have not been started on Pep Service "&amp;$T$19&amp;" "&amp;$T$20&amp;" Please provide explanations below"&amp;CHAR(10),""),IF(U110&lt;(U108+U109)," * Some GBV Cases have not been started on Pep Service "&amp;$T$19&amp;" "&amp;$U$20&amp;" Please provide explanations below"&amp;CHAR(10),""),IF(V110&lt;(V108+V109)," * Some GBV Cases have not been started on Pep Service "&amp;$V$19&amp;" "&amp;$V$20&amp;" Please provide explanations below"&amp;CHAR(10),""),IF(W110&lt;(W108+W109)," * Some GBV Cases have not been started on Pep Service "&amp;$V$19&amp;" "&amp;$W$20&amp;" Please provide explanations below"&amp;CHAR(10),""),IF(X110&lt;(X108+X109)," * Some GBV Cases have not been started on Pep Service "&amp;$X$19&amp;" "&amp;$X$20&amp;" Please provide explanations below"&amp;CHAR(10),""),IF(Y110&lt;(Y108+Y109)," * Some GBV Cases have not been started on Pep Service "&amp;$X$19&amp;" "&amp;$Y$20&amp;" Please provide explanations below"&amp;CHAR(10),""),IF(Z110&lt;(Z108+Z109)," * Some GBV Cases have not been started on Pep Service "&amp;$Z$19&amp;" "&amp;$Z$20&amp;" Please provide explanations below"&amp;CHAR(10),""),IF(AA110&lt;(AA108+AA109)," * Some GBV Cases have not been started on Pep Service "&amp;$Z$19&amp;" "&amp;$AA$20&amp;" Please provide explanations below"&amp;CHAR(10),""))</f>
        <v/>
      </c>
      <c r="AF108" s="849" t="str">
        <f>CONCATENATE(AE108,AE109,AE110)</f>
        <v/>
      </c>
      <c r="AG108" s="158">
        <v>44</v>
      </c>
    </row>
    <row r="109" spans="1:33" s="4" customFormat="1" ht="53.25" customHeight="1">
      <c r="A109" s="837"/>
      <c r="B109" s="169" t="s">
        <v>101</v>
      </c>
      <c r="C109" s="547" t="s">
        <v>249</v>
      </c>
      <c r="D109" s="162"/>
      <c r="E109" s="163"/>
      <c r="F109" s="162"/>
      <c r="G109" s="163"/>
      <c r="H109" s="162"/>
      <c r="I109" s="163"/>
      <c r="J109" s="162"/>
      <c r="K109" s="164"/>
      <c r="L109" s="187"/>
      <c r="M109" s="187"/>
      <c r="N109" s="187"/>
      <c r="O109" s="187"/>
      <c r="P109" s="187"/>
      <c r="Q109" s="187"/>
      <c r="R109" s="187"/>
      <c r="S109" s="187"/>
      <c r="T109" s="187"/>
      <c r="U109" s="187"/>
      <c r="V109" s="187"/>
      <c r="W109" s="187"/>
      <c r="X109" s="187"/>
      <c r="Y109" s="187"/>
      <c r="Z109" s="187"/>
      <c r="AA109" s="187"/>
      <c r="AB109" s="208">
        <f>SUM(D109:AA109)</f>
        <v>0</v>
      </c>
      <c r="AC109" s="216" t="str">
        <f>CONCATENATE(IF(D23&lt;(D108+D109)," * Gend GBV Cases "&amp;$D$19&amp;" "&amp;$D$20&amp;" are more than KP_PREV"&amp;CHAR(10),""),IF(E23&lt;(E108+E109)," * Gend GBV Cases "&amp;$D$19&amp;" "&amp;$E$20&amp;" are more than KP_PREV"&amp;CHAR(10),""),IF(F23&lt;(F108+F109)," * Gend GBV Cases "&amp;$F$19&amp;" "&amp;$F$20&amp;" are more than KP_PREV"&amp;CHAR(10),""),IF(G23&lt;(G108+G109)," * Gend GBV Cases "&amp;$F$19&amp;" "&amp;$G$20&amp;" are more than KP_PREV"&amp;CHAR(10),""),IF(H23&lt;(H108+H109)," * Gend GBV Cases "&amp;$H$19&amp;" "&amp;$H$20&amp;" are more than KP_PREV"&amp;CHAR(10),""),IF(I23&lt;(I108+I109)," * Gend GBV Cases "&amp;$H$19&amp;" "&amp;$I$20&amp;" are more than KP_PREV"&amp;CHAR(10),""),IF(J23&lt;(J108+J109)," * Gend GBV Cases "&amp;$J$19&amp;" "&amp;$J$20&amp;" are more than KP_PREV"&amp;CHAR(10),""),IF(K23&lt;(K108+K109)," * Gend GBV Cases "&amp;$J$19&amp;" "&amp;$K$20&amp;" are more than KP_PREV"&amp;CHAR(10),""),IF(L23&lt;(L108+L109)," * Gend GBV Cases "&amp;$L$19&amp;" "&amp;$L$20&amp;" are more than KP_PREV"&amp;CHAR(10),""),IF(M23&lt;(M108+M109)," * Gend GBV Cases "&amp;$L$19&amp;" "&amp;$M$20&amp;" are more than KP_PREV"&amp;CHAR(10),""),IF(N23&lt;(N108+N109)," * Gend GBV Cases "&amp;$N$19&amp;" "&amp;$N$20&amp;" are more than KP_PREV"&amp;CHAR(10),""),IF(O23&lt;(O108+O109)," * Gend GBV Cases "&amp;$N$19&amp;" "&amp;$O$20&amp;" are more than KP_PREV"&amp;CHAR(10),""),IF(P23&lt;(P108+P109)," * Gend GBV Cases "&amp;$P$19&amp;" "&amp;$P$20&amp;" are more than KP_PREV"&amp;CHAR(10),""),IF(Q23&lt;(Q108+Q109)," * Gend GBV Cases "&amp;$P$19&amp;" "&amp;$Q$20&amp;" are more than KP_PREV"&amp;CHAR(10),""),IF(R23&lt;(R108+R109)," * Gend GBV Cases "&amp;$R$19&amp;" "&amp;$R$20&amp;" are more than KP_PREV"&amp;CHAR(10),""),IF(S23&lt;(S108+S109)," * Gend GBV Cases "&amp;$R$19&amp;" "&amp;$S$20&amp;" are more than KP_PREV"&amp;CHAR(10),""),IF(T23&lt;(T108+T109)," * Gend GBV Cases "&amp;$T$19&amp;" "&amp;$T$20&amp;" are more than KP_PREV"&amp;CHAR(10),""),IF(U23&lt;(U108+U109)," * Gend GBV Cases "&amp;$T$19&amp;" "&amp;$U$20&amp;" are more than KP_PREV"&amp;CHAR(10),""),IF(V23&lt;(V108+V109)," * Gend GBV Cases "&amp;$V$19&amp;" "&amp;$V$20&amp;" are more than KP_PREV"&amp;CHAR(10),""),IF(W23&lt;(W108+W109)," * Gend GBV Cases "&amp;$V$19&amp;" "&amp;$W$20&amp;" are more than KP_PREV"&amp;CHAR(10),""),IF(X23&lt;(X108+X109)," * Gend GBV Cases "&amp;$X$19&amp;" "&amp;$X$20&amp;" are more than KP_PREV"&amp;CHAR(10),""),IF(Y23&lt;(Y108+Y109)," * Gend GBV Cases "&amp;$X$19&amp;" "&amp;$Y$20&amp;" are more than KP_PREV"&amp;CHAR(10),""),IF(Z23&lt;(Z108+Z109)," * Gend GBV Cases "&amp;$Z$19&amp;" "&amp;$Z$20&amp;" are more than KP_PREV"&amp;CHAR(10),""),IF(AA23&lt;(AA108+AA109)," * Gend GBV Cases "&amp;$Z$19&amp;" "&amp;$AA$20&amp;" are more than KP_PREV"&amp;CHAR(10),""))</f>
        <v/>
      </c>
      <c r="AD109" s="870"/>
      <c r="AE109" s="171"/>
      <c r="AF109" s="850"/>
      <c r="AG109" s="158">
        <v>45</v>
      </c>
    </row>
    <row r="110" spans="1:33" s="4" customFormat="1" ht="53.25" customHeight="1" thickBot="1">
      <c r="A110" s="838"/>
      <c r="B110" s="217" t="s">
        <v>102</v>
      </c>
      <c r="C110" s="546" t="s">
        <v>250</v>
      </c>
      <c r="D110" s="177"/>
      <c r="E110" s="178"/>
      <c r="F110" s="177"/>
      <c r="G110" s="178"/>
      <c r="H110" s="177"/>
      <c r="I110" s="178"/>
      <c r="J110" s="177"/>
      <c r="K110" s="179"/>
      <c r="L110" s="190"/>
      <c r="M110" s="190"/>
      <c r="N110" s="190"/>
      <c r="O110" s="190"/>
      <c r="P110" s="190"/>
      <c r="Q110" s="190"/>
      <c r="R110" s="190"/>
      <c r="S110" s="190"/>
      <c r="T110" s="190"/>
      <c r="U110" s="190"/>
      <c r="V110" s="190"/>
      <c r="W110" s="190"/>
      <c r="X110" s="190"/>
      <c r="Y110" s="190"/>
      <c r="Z110" s="190"/>
      <c r="AA110" s="190"/>
      <c r="AB110" s="210">
        <f>SUM(D110:AA110)</f>
        <v>0</v>
      </c>
      <c r="AC110" s="216"/>
      <c r="AD110" s="870"/>
      <c r="AE110" s="171"/>
      <c r="AF110" s="850"/>
      <c r="AG110" s="158">
        <v>46</v>
      </c>
    </row>
    <row r="111" spans="1:33" s="4" customFormat="1" ht="53.25" customHeight="1" thickBot="1">
      <c r="A111" s="774" t="s">
        <v>1031</v>
      </c>
      <c r="B111" s="689"/>
      <c r="C111" s="692"/>
      <c r="D111" s="689"/>
      <c r="E111" s="689"/>
      <c r="F111" s="689"/>
      <c r="G111" s="689"/>
      <c r="H111" s="689"/>
      <c r="I111" s="689"/>
      <c r="J111" s="689"/>
      <c r="K111" s="689"/>
      <c r="L111" s="689"/>
      <c r="M111" s="689"/>
      <c r="N111" s="689"/>
      <c r="O111" s="689"/>
      <c r="P111" s="689"/>
      <c r="Q111" s="689"/>
      <c r="R111" s="689"/>
      <c r="S111" s="689"/>
      <c r="T111" s="689"/>
      <c r="U111" s="689"/>
      <c r="V111" s="689"/>
      <c r="W111" s="689"/>
      <c r="X111" s="689"/>
      <c r="Y111" s="689"/>
      <c r="Z111" s="689"/>
      <c r="AA111" s="689"/>
      <c r="AB111" s="689"/>
      <c r="AC111" s="689"/>
      <c r="AD111" s="689"/>
      <c r="AE111" s="689"/>
      <c r="AF111" s="691"/>
      <c r="AG111" s="158">
        <v>47</v>
      </c>
    </row>
    <row r="112" spans="1:33" s="4" customFormat="1" ht="53.25" customHeight="1">
      <c r="A112" s="702" t="s">
        <v>17</v>
      </c>
      <c r="B112" s="702" t="s">
        <v>25</v>
      </c>
      <c r="C112" s="685" t="s">
        <v>24</v>
      </c>
      <c r="D112" s="687" t="s">
        <v>0</v>
      </c>
      <c r="E112" s="687"/>
      <c r="F112" s="687" t="s">
        <v>1</v>
      </c>
      <c r="G112" s="687"/>
      <c r="H112" s="687" t="s">
        <v>2</v>
      </c>
      <c r="I112" s="687"/>
      <c r="J112" s="687" t="s">
        <v>3</v>
      </c>
      <c r="K112" s="687"/>
      <c r="L112" s="699" t="s">
        <v>4</v>
      </c>
      <c r="M112" s="700"/>
      <c r="N112" s="699" t="s">
        <v>5</v>
      </c>
      <c r="O112" s="700"/>
      <c r="P112" s="699" t="s">
        <v>6</v>
      </c>
      <c r="Q112" s="700"/>
      <c r="R112" s="699" t="s">
        <v>7</v>
      </c>
      <c r="S112" s="700"/>
      <c r="T112" s="699" t="s">
        <v>8</v>
      </c>
      <c r="U112" s="700"/>
      <c r="V112" s="699" t="s">
        <v>14</v>
      </c>
      <c r="W112" s="700"/>
      <c r="X112" s="699" t="s">
        <v>15</v>
      </c>
      <c r="Y112" s="700"/>
      <c r="Z112" s="699" t="s">
        <v>9</v>
      </c>
      <c r="AA112" s="700"/>
      <c r="AB112" s="713" t="s">
        <v>12</v>
      </c>
      <c r="AC112" s="714" t="s">
        <v>26</v>
      </c>
      <c r="AD112" s="710" t="s">
        <v>31</v>
      </c>
      <c r="AE112" s="709" t="s">
        <v>32</v>
      </c>
      <c r="AF112" s="709" t="s">
        <v>32</v>
      </c>
      <c r="AG112" s="158">
        <v>48</v>
      </c>
    </row>
    <row r="113" spans="1:33" s="4" customFormat="1" ht="53.25" customHeight="1" thickBot="1">
      <c r="A113" s="703"/>
      <c r="B113" s="721"/>
      <c r="C113" s="686"/>
      <c r="D113" s="95" t="s">
        <v>10</v>
      </c>
      <c r="E113" s="95" t="s">
        <v>11</v>
      </c>
      <c r="F113" s="95" t="s">
        <v>10</v>
      </c>
      <c r="G113" s="95" t="s">
        <v>11</v>
      </c>
      <c r="H113" s="95" t="s">
        <v>10</v>
      </c>
      <c r="I113" s="95" t="s">
        <v>11</v>
      </c>
      <c r="J113" s="95" t="s">
        <v>10</v>
      </c>
      <c r="K113" s="95" t="s">
        <v>11</v>
      </c>
      <c r="L113" s="95" t="s">
        <v>10</v>
      </c>
      <c r="M113" s="95" t="s">
        <v>11</v>
      </c>
      <c r="N113" s="95" t="s">
        <v>10</v>
      </c>
      <c r="O113" s="95" t="s">
        <v>11</v>
      </c>
      <c r="P113" s="95" t="s">
        <v>10</v>
      </c>
      <c r="Q113" s="95" t="s">
        <v>11</v>
      </c>
      <c r="R113" s="95" t="s">
        <v>10</v>
      </c>
      <c r="S113" s="95" t="s">
        <v>11</v>
      </c>
      <c r="T113" s="95" t="s">
        <v>10</v>
      </c>
      <c r="U113" s="95" t="s">
        <v>11</v>
      </c>
      <c r="V113" s="95" t="s">
        <v>10</v>
      </c>
      <c r="W113" s="95" t="s">
        <v>11</v>
      </c>
      <c r="X113" s="95" t="s">
        <v>10</v>
      </c>
      <c r="Y113" s="95" t="s">
        <v>11</v>
      </c>
      <c r="Z113" s="95" t="s">
        <v>10</v>
      </c>
      <c r="AA113" s="95" t="s">
        <v>11</v>
      </c>
      <c r="AB113" s="684"/>
      <c r="AC113" s="715"/>
      <c r="AD113" s="711"/>
      <c r="AE113" s="705"/>
      <c r="AF113" s="712"/>
      <c r="AG113" s="158">
        <v>49</v>
      </c>
    </row>
    <row r="114" spans="1:33" s="4" customFormat="1" ht="53.25" customHeight="1">
      <c r="A114" s="851" t="s">
        <v>75</v>
      </c>
      <c r="B114" s="169" t="s">
        <v>634</v>
      </c>
      <c r="C114" s="545" t="s">
        <v>251</v>
      </c>
      <c r="D114" s="182"/>
      <c r="E114" s="183"/>
      <c r="F114" s="182"/>
      <c r="G114" s="183"/>
      <c r="H114" s="182"/>
      <c r="I114" s="183"/>
      <c r="J114" s="182"/>
      <c r="K114" s="183"/>
      <c r="L114" s="196"/>
      <c r="M114" s="196"/>
      <c r="N114" s="196"/>
      <c r="O114" s="196"/>
      <c r="P114" s="196"/>
      <c r="Q114" s="196"/>
      <c r="R114" s="196"/>
      <c r="S114" s="196"/>
      <c r="T114" s="196"/>
      <c r="U114" s="196"/>
      <c r="V114" s="196"/>
      <c r="W114" s="196"/>
      <c r="X114" s="196"/>
      <c r="Y114" s="196"/>
      <c r="Z114" s="196"/>
      <c r="AA114" s="196"/>
      <c r="AB114" s="218">
        <f>SUM(D114:AA114)</f>
        <v>0</v>
      </c>
      <c r="AC114" s="219" t="str">
        <f>CONCATENATE(IF(D115&gt;D114," * Initial Test and Turned Positive PWID "&amp;$D$19&amp;" "&amp;$D$20&amp;" is more than Initial Test PWID"&amp;CHAR(10),""),IF(E115&gt;E114," * Initial Test and Turned Positive PWID "&amp;$D$19&amp;" "&amp;$E$20&amp;" is more than Initial Test PWID"&amp;CHAR(10),""),IF(F115&gt;F114," * Initial Test and Turned Positive PWID "&amp;$F$19&amp;" "&amp;$F$20&amp;" is more than Initial Test PWID"&amp;CHAR(10),""),IF(G115&gt;G114," * Initial Test and Turned Positive PWID "&amp;$F$19&amp;" "&amp;$G$20&amp;" is more than Initial Test PWID"&amp;CHAR(10),""),IF(H115&gt;H114," * Initial Test and Turned Positive PWID "&amp;$H$19&amp;" "&amp;$H$20&amp;" is more than Initial Test PWID"&amp;CHAR(10),""),IF(I115&gt;I114," * Initial Test and Turned Positive PWID "&amp;$H$19&amp;" "&amp;$I$20&amp;" is more than Initial Test PWID"&amp;CHAR(10),""),IF(J115&gt;J114," * Initial Test and Turned Positive PWID "&amp;$J$19&amp;" "&amp;$J$20&amp;" is more than Initial Test PWID"&amp;CHAR(10),""),IF(K115&gt;K114," * Initial Test and Turned Positive PWID "&amp;$J$19&amp;" "&amp;$K$20&amp;" is more than Initial Test PWID"&amp;CHAR(10),""),IF(L115&gt;L114," * Initial Test and Turned Positive PWID "&amp;$L$19&amp;" "&amp;$L$20&amp;" is more than Initial Test PWID"&amp;CHAR(10),""),IF(M115&gt;M114," * Initial Test and Turned Positive PWID "&amp;$L$19&amp;" "&amp;$M$20&amp;" is more than Initial Test PWID"&amp;CHAR(10),""),IF(N115&gt;N114," * Initial Test and Turned Positive PWID "&amp;$N$19&amp;" "&amp;$N$20&amp;" is more than Initial Test PWID"&amp;CHAR(10),""),IF(O115&gt;O114," * Initial Test and Turned Positive PWID "&amp;$N$19&amp;" "&amp;$O$20&amp;" is more than Initial Test PWID"&amp;CHAR(10),""),IF(P115&gt;P114," * Initial Test and Turned Positive PWID "&amp;$P$19&amp;" "&amp;$P$20&amp;" is more than Initial Test PWID"&amp;CHAR(10),""),IF(Q115&gt;Q114," * Initial Test and Turned Positive PWID "&amp;$P$19&amp;" "&amp;$Q$20&amp;" is more than Initial Test PWID"&amp;CHAR(10),""),IF(R115&gt;R114," * Initial Test and Turned Positive PWID "&amp;$R$19&amp;" "&amp;$R$20&amp;" is more than Initial Test PWID"&amp;CHAR(10),""),IF(S115&gt;S114," * Initial Test and Turned Positive PWID "&amp;$R$19&amp;" "&amp;$S$20&amp;" is more than Initial Test PWID"&amp;CHAR(10),""),IF(T115&gt;T114," * Initial Test and Turned Positive PWID "&amp;$T$19&amp;" "&amp;$T$20&amp;" is more than Initial Test PWID"&amp;CHAR(10),""),IF(U115&gt;U114," * Initial Test and Turned Positive PWID "&amp;$T$19&amp;" "&amp;$U$20&amp;" is more than Initial Test PWID"&amp;CHAR(10),""),IF(V115&gt;V114," * Initial Test and Turned Positive PWID "&amp;$V$19&amp;" "&amp;$V$20&amp;" is more than Initial Test PWID"&amp;CHAR(10),""),IF(W115&gt;W114," * Initial Test and Turned Positive PWID "&amp;$V$19&amp;" "&amp;$W$20&amp;" is more than Initial Test PWID"&amp;CHAR(10),""),IF(X115&gt;X114," * Initial Test and Turned Positive PWID "&amp;$X$19&amp;" "&amp;$X$20&amp;" is more than Initial Test PWID"&amp;CHAR(10),""),IF(Y115&gt;Y114," * Initial Test and Turned Positive PWID "&amp;$X$19&amp;" "&amp;$Y$20&amp;" is more than Initial Test PWID"&amp;CHAR(10),""),IF(Z115&gt;Z114," * Initial Test and Turned Positive PWID "&amp;$Z$19&amp;" "&amp;$Z$20&amp;" is more than Initial Test PWID"&amp;CHAR(10),""),IF(AA115&gt;AA114," * Initial Test and Turned Positive PWID "&amp;$Z$19&amp;" "&amp;$AA$20&amp;" is more than Initial Test PWID"&amp;CHAR(10),""))</f>
        <v/>
      </c>
      <c r="AD114" s="674" t="str">
        <f>CONCATENATE(AC114,AC115,AC116,AC117,AC118,AC119,AC120,AC121,AC122,AC123,AC124,AC125,AC126,AC127,AC128,AC129,AC130,AC131,AC132,AC133,AC134,AC135,AC136,AC137,AC138,AC139,AC140,AC141,AC146,AC147,AC148,AC149,AC150,AC151,AC152,AC153,AC154,AC155,AC156,AC157,AC142,AC143,AC144,AC145)</f>
        <v/>
      </c>
      <c r="AE114" s="168"/>
      <c r="AF114" s="671" t="str">
        <f>CONCATENATE(AE114,AE115,AE116,AE117,AE118,AE119,AE120,AE121,AE122,AE123,AE124,AE125,AE126,AE127,AE128,AE129,AE130,AE131,AE132,AE133,AE134,AE135,AE136,AE137,AE138,AE139,AE140,AE141,AE146,AE147,AE148,AE149,AE150,AE151,AE152,AE153,AE154,AE155,AE156,AE157)</f>
        <v/>
      </c>
      <c r="AG114" s="158">
        <v>50</v>
      </c>
    </row>
    <row r="115" spans="1:33" s="4" customFormat="1" ht="53.25" customHeight="1" thickBot="1">
      <c r="A115" s="852"/>
      <c r="B115" s="220" t="s">
        <v>635</v>
      </c>
      <c r="C115" s="546" t="s">
        <v>252</v>
      </c>
      <c r="D115" s="177"/>
      <c r="E115" s="178"/>
      <c r="F115" s="177"/>
      <c r="G115" s="178"/>
      <c r="H115" s="177"/>
      <c r="I115" s="178"/>
      <c r="J115" s="177"/>
      <c r="K115" s="178"/>
      <c r="L115" s="221"/>
      <c r="M115" s="221"/>
      <c r="N115" s="221"/>
      <c r="O115" s="221"/>
      <c r="P115" s="221"/>
      <c r="Q115" s="221"/>
      <c r="R115" s="221"/>
      <c r="S115" s="221"/>
      <c r="T115" s="221"/>
      <c r="U115" s="221"/>
      <c r="V115" s="221"/>
      <c r="W115" s="221"/>
      <c r="X115" s="221"/>
      <c r="Y115" s="221"/>
      <c r="Z115" s="221"/>
      <c r="AA115" s="222"/>
      <c r="AB115" s="191">
        <f>SUM(D115:AA115)</f>
        <v>0</v>
      </c>
      <c r="AC115" s="223" t="str">
        <f>CONCATENATE(IF(D30&lt;(D114+D116)," * Initial Tests + Repeat Tests PWID "&amp;$D$19&amp;" "&amp;$D$20&amp;" Is more than Newly Tested and/or referred for testing"&amp;CHAR(10),""),IF(E30&lt;(E114+E116)," * Initial Tests + Repeat Tests PWID "&amp;$D$19&amp;" "&amp;$E$20&amp;" Is more than Newly Tested and/or referred for testing"&amp;CHAR(10),""),IF(F30&lt;(F114+F116)," * Initial Tests + Repeat Tests PWID "&amp;$F$19&amp;" "&amp;$F$20&amp;" Is more than Newly Tested and/or referred for testing"&amp;CHAR(10),""),IF(G30&lt;(G114+G116)," * Initial Tests + Repeat Tests PWID "&amp;$F$19&amp;" "&amp;$G$20&amp;" Is more than Newly Tested and/or referred for testing"&amp;CHAR(10),""),IF(H30&lt;(H114+H116)," * Initial Tests + Repeat Tests PWID "&amp;$H$19&amp;" "&amp;$H$20&amp;" Is more than Newly Tested and/or referred for testing"&amp;CHAR(10),""),IF(I30&lt;(I114+I116)," * Initial Tests + Repeat Tests PWID "&amp;$H$19&amp;" "&amp;$I$20&amp;" Is more than Newly Tested and/or referred for testing"&amp;CHAR(10),""),IF(J30&lt;(J114+J116)," * Initial Tests + Repeat Tests PWID "&amp;$J$19&amp;" "&amp;$J$20&amp;" Is more than Newly Tested and/or referred for testing"&amp;CHAR(10),""),IF(K30&lt;(K114+K116)," * Initial Tests + Repeat Tests PWID "&amp;$J$19&amp;" "&amp;$K$20&amp;" Is more than Newly Tested and/or referred for testing"&amp;CHAR(10),""),IF(L30&lt;(L114+L116)," * Initial Tests + Repeat Tests PWID "&amp;$L$19&amp;" "&amp;$L$20&amp;" Is more than Newly Tested and/or referred for testing"&amp;CHAR(10),""),IF(M30&lt;(M114+M116)," * Initial Tests + Repeat Tests PWID "&amp;$L$19&amp;" "&amp;$M$20&amp;" Is more than Newly Tested and/or referred for testing"&amp;CHAR(10),""),IF(N30&lt;(N114+N116)," * Initial Tests + Repeat Tests PWID "&amp;$N$19&amp;" "&amp;$N$20&amp;" Is more than Newly Tested and/or referred for testing"&amp;CHAR(10),""),IF(O30&lt;(O114+O116)," * Initial Tests + Repeat Tests PWID "&amp;$N$19&amp;" "&amp;$O$20&amp;" Is more than Newly Tested and/or referred for testing"&amp;CHAR(10),""),IF(P30&lt;(P114+P116)," * Initial Tests + Repeat Tests PWID "&amp;$P$19&amp;" "&amp;$P$20&amp;" Is more than Newly Tested and/or referred for testing"&amp;CHAR(10),""),IF(Q30&lt;(Q114+Q116)," * Initial Tests + Repeat Tests PWID "&amp;$P$19&amp;" "&amp;$Q$20&amp;" Is more than Newly Tested and/or referred for testing"&amp;CHAR(10),""),IF(R30&lt;(R114+R116)," * Initial Tests + Repeat Tests PWID "&amp;$R$19&amp;" "&amp;$R$20&amp;" Is more than Newly Tested and/or referred for testing"&amp;CHAR(10),""),IF(S30&lt;(S114+S116)," * Initial Tests + Repeat Tests PWID "&amp;$R$19&amp;" "&amp;$S$20&amp;" Is more than Newly Tested and/or referred for testing"&amp;CHAR(10),""),IF(T30&lt;(T114+T116)," * Initial Tests + Repeat Tests PWID "&amp;$T$19&amp;" "&amp;$T$20&amp;" Is more than Newly Tested and/or referred for testing"&amp;CHAR(10),""),IF(U30&lt;(U114+U116)," * Initial Tests + Repeat Tests PWID "&amp;$T$19&amp;" "&amp;$U$20&amp;" Is more than Newly Tested and/or referred for testing"&amp;CHAR(10),""),IF(V30&lt;(V114+V116)," * Initial Tests + Repeat Tests PWID "&amp;$V$19&amp;" "&amp;$V$20&amp;" Is more than Newly Tested and/or referred for testing"&amp;CHAR(10),""),IF(W30&lt;(W114+W116)," * Initial Tests + Repeat Tests PWID "&amp;$V$19&amp;" "&amp;$W$20&amp;" Is more than Newly Tested and/or referred for testing"&amp;CHAR(10),""),IF(X30&lt;(X114+X116)," * Initial Tests + Repeat Tests PWID "&amp;$X$19&amp;" "&amp;$X$20&amp;" Is more than Newly Tested and/or referred for testing"&amp;CHAR(10),""),IF(Y30&lt;(Y114+Y116)," * Initial Tests + Repeat Tests PWID "&amp;$X$19&amp;" "&amp;$Y$20&amp;" Is more than Newly Tested and/or referred for testing"&amp;CHAR(10),""),IF(Z30&lt;(Z114+Z116)," * Initial Tests + Repeat Tests PWID "&amp;$Z$19&amp;" "&amp;$Z$20&amp;" Is more than Newly Tested and/or referred for testing"&amp;CHAR(10),""),IF(AA30&lt;(AA114+AA116)," * Initial Tests + Repeat Tests PWID "&amp;$Z$19&amp;" "&amp;$AA$20&amp;" Is more than Newly Tested and/or referred for testing"&amp;CHAR(10),""))</f>
        <v/>
      </c>
      <c r="AD115" s="675"/>
      <c r="AE115" s="171"/>
      <c r="AF115" s="672"/>
      <c r="AG115" s="158">
        <v>51</v>
      </c>
    </row>
    <row r="116" spans="1:33" s="4" customFormat="1" ht="53.25" customHeight="1">
      <c r="A116" s="852"/>
      <c r="B116" s="224" t="s">
        <v>633</v>
      </c>
      <c r="C116" s="545" t="s">
        <v>253</v>
      </c>
      <c r="D116" s="182"/>
      <c r="E116" s="183"/>
      <c r="F116" s="182"/>
      <c r="G116" s="183"/>
      <c r="H116" s="182"/>
      <c r="I116" s="183"/>
      <c r="J116" s="182"/>
      <c r="K116" s="183"/>
      <c r="L116" s="196"/>
      <c r="M116" s="196"/>
      <c r="N116" s="196"/>
      <c r="O116" s="196"/>
      <c r="P116" s="196"/>
      <c r="Q116" s="196"/>
      <c r="R116" s="196"/>
      <c r="S116" s="196"/>
      <c r="T116" s="196"/>
      <c r="U116" s="196"/>
      <c r="V116" s="196"/>
      <c r="W116" s="196"/>
      <c r="X116" s="196"/>
      <c r="Y116" s="196"/>
      <c r="Z116" s="196"/>
      <c r="AA116" s="196"/>
      <c r="AB116" s="218">
        <f>SUM(D116:AA116)</f>
        <v>0</v>
      </c>
      <c r="AC116" s="219" t="str">
        <f>CONCATENATE(IF(D117&gt;D116," * Repeat Test and Turned Positive PWID "&amp;$D$19&amp;" "&amp;$D$20&amp;" is more than Repeat Test PWID"&amp;CHAR(10),""),IF(E117&gt;E116," * Repeat Test and Turned Positive PWID "&amp;$D$19&amp;" "&amp;$E$20&amp;" is more than Repeat Test PWID"&amp;CHAR(10),""),IF(F117&gt;F116," * Repeat Test and Turned Positive PWID "&amp;$F$19&amp;" "&amp;$F$20&amp;" is more than Repeat Test PWID"&amp;CHAR(10),""),IF(G117&gt;G116," * Repeat Test and Turned Positive PWID "&amp;$F$19&amp;" "&amp;$G$20&amp;" is more than Repeat Test PWID"&amp;CHAR(10),""),IF(H117&gt;H116," * Repeat Test and Turned Positive PWID "&amp;$H$19&amp;" "&amp;$H$20&amp;" is more than Repeat Test PWID"&amp;CHAR(10),""),IF(I117&gt;I116," * Repeat Test and Turned Positive PWID "&amp;$H$19&amp;" "&amp;$I$20&amp;" is more than Repeat Test PWID"&amp;CHAR(10),""),IF(J117&gt;J116," * Repeat Test and Turned Positive PWID "&amp;$J$19&amp;" "&amp;$J$20&amp;" is more than Repeat Test PWID"&amp;CHAR(10),""),IF(K117&gt;K116," * Repeat Test and Turned Positive PWID "&amp;$J$19&amp;" "&amp;$K$20&amp;" is more than Repeat Test PWID"&amp;CHAR(10),""),IF(L117&gt;L116," * Repeat Test and Turned Positive PWID "&amp;$L$19&amp;" "&amp;$L$20&amp;" is more than Repeat Test PWID"&amp;CHAR(10),""),IF(M117&gt;M116," * Repeat Test and Turned Positive PWID "&amp;$L$19&amp;" "&amp;$M$20&amp;" is more than Repeat Test PWID"&amp;CHAR(10),""),IF(N117&gt;N116," * Repeat Test and Turned Positive PWID "&amp;$N$19&amp;" "&amp;$N$20&amp;" is more than Repeat Test PWID"&amp;CHAR(10),""),IF(O117&gt;O116," * Repeat Test and Turned Positive PWID "&amp;$N$19&amp;" "&amp;$O$20&amp;" is more than Repeat Test PWID"&amp;CHAR(10),""),IF(P117&gt;P116," * Repeat Test and Turned Positive PWID "&amp;$P$19&amp;" "&amp;$P$20&amp;" is more than Repeat Test PWID"&amp;CHAR(10),""),IF(Q117&gt;Q116," * Repeat Test and Turned Positive PWID "&amp;$P$19&amp;" "&amp;$Q$20&amp;" is more than Repeat Test PWID"&amp;CHAR(10),""),IF(R117&gt;R116," * Repeat Test and Turned Positive PWID "&amp;$R$19&amp;" "&amp;$R$20&amp;" is more than Repeat Test PWID"&amp;CHAR(10),""),IF(S117&gt;S116," * Repeat Test and Turned Positive PWID "&amp;$R$19&amp;" "&amp;$S$20&amp;" is more than Repeat Test PWID"&amp;CHAR(10),""),IF(T117&gt;T116," * Repeat Test and Turned Positive PWID "&amp;$T$19&amp;" "&amp;$T$20&amp;" is more than Repeat Test PWID"&amp;CHAR(10),""),IF(U117&gt;U116," * Repeat Test and Turned Positive PWID "&amp;$T$19&amp;" "&amp;$U$20&amp;" is more than Repeat Test PWID"&amp;CHAR(10),""),IF(V117&gt;V116," * Repeat Test and Turned Positive PWID "&amp;$V$19&amp;" "&amp;$V$20&amp;" is more than Repeat Test PWID"&amp;CHAR(10),""),IF(W117&gt;W116," * Repeat Test and Turned Positive PWID "&amp;$V$19&amp;" "&amp;$W$20&amp;" is more than Repeat Test PWID"&amp;CHAR(10),""),IF(X117&gt;X116," * Repeat Test and Turned Positive PWID "&amp;$X$19&amp;" "&amp;$X$20&amp;" is more than Repeat Test PWID"&amp;CHAR(10),""),IF(Y117&gt;Y116," * Repeat Test and Turned Positive PWID "&amp;$X$19&amp;" "&amp;$Y$20&amp;" is more than Repeat Test PWID"&amp;CHAR(10),""),IF(Z117&gt;Z116," * Repeat Test and Turned Positive PWID "&amp;$Z$19&amp;" "&amp;$Z$20&amp;" is more than Repeat Test PWID"&amp;CHAR(10),""),IF(AA117&gt;AA116," * Repeat Test and Turned Positive PWID "&amp;$Z$19&amp;" "&amp;$AA$20&amp;" is more than Repeat Test PWID"&amp;CHAR(10),""))</f>
        <v/>
      </c>
      <c r="AD116" s="675"/>
      <c r="AE116" s="168"/>
      <c r="AF116" s="672"/>
      <c r="AG116" s="158">
        <v>50</v>
      </c>
    </row>
    <row r="117" spans="1:33" s="4" customFormat="1" ht="53.25" customHeight="1" thickBot="1">
      <c r="A117" s="853"/>
      <c r="B117" s="225" t="s">
        <v>636</v>
      </c>
      <c r="C117" s="546" t="s">
        <v>254</v>
      </c>
      <c r="D117" s="177"/>
      <c r="E117" s="178"/>
      <c r="F117" s="177"/>
      <c r="G117" s="178"/>
      <c r="H117" s="177"/>
      <c r="I117" s="178"/>
      <c r="J117" s="177"/>
      <c r="K117" s="178"/>
      <c r="L117" s="221"/>
      <c r="M117" s="221"/>
      <c r="N117" s="221"/>
      <c r="O117" s="221"/>
      <c r="P117" s="221"/>
      <c r="Q117" s="221"/>
      <c r="R117" s="221"/>
      <c r="S117" s="221"/>
      <c r="T117" s="221"/>
      <c r="U117" s="221"/>
      <c r="V117" s="221"/>
      <c r="W117" s="221"/>
      <c r="X117" s="221"/>
      <c r="Y117" s="221"/>
      <c r="Z117" s="221"/>
      <c r="AA117" s="222"/>
      <c r="AB117" s="191">
        <f>SUM(J117:AA117)</f>
        <v>0</v>
      </c>
      <c r="AC117" s="223"/>
      <c r="AD117" s="675"/>
      <c r="AE117" s="171"/>
      <c r="AF117" s="672"/>
      <c r="AG117" s="158">
        <v>51</v>
      </c>
    </row>
    <row r="118" spans="1:33" s="4" customFormat="1" ht="53.25" customHeight="1">
      <c r="A118" s="725" t="s">
        <v>421</v>
      </c>
      <c r="B118" s="226" t="s">
        <v>634</v>
      </c>
      <c r="C118" s="545" t="s">
        <v>255</v>
      </c>
      <c r="D118" s="182"/>
      <c r="E118" s="183"/>
      <c r="F118" s="182"/>
      <c r="G118" s="183"/>
      <c r="H118" s="182"/>
      <c r="I118" s="183"/>
      <c r="J118" s="182"/>
      <c r="K118" s="183"/>
      <c r="L118" s="183"/>
      <c r="M118" s="183"/>
      <c r="N118" s="183"/>
      <c r="O118" s="183"/>
      <c r="P118" s="183"/>
      <c r="Q118" s="183"/>
      <c r="R118" s="183"/>
      <c r="S118" s="183"/>
      <c r="T118" s="183"/>
      <c r="U118" s="183"/>
      <c r="V118" s="183"/>
      <c r="W118" s="183"/>
      <c r="X118" s="183"/>
      <c r="Y118" s="183"/>
      <c r="Z118" s="183"/>
      <c r="AA118" s="227"/>
      <c r="AB118" s="228"/>
      <c r="AC118" s="229" t="str">
        <f>CONCATENATE(IF(D119&gt;D118," * Initial Test and Turned Positive Transgender "&amp;$D$19&amp;" "&amp;$D$20&amp;" is more than Initial Test Transgender"&amp;CHAR(10),""),IF(E119&gt;E118," * Initial Test and Turned Positive Transgender "&amp;$D$19&amp;" "&amp;$E$20&amp;" is more than Initial Test Transgender"&amp;CHAR(10),""),IF(F119&gt;F118," * Initial Test and Turned Positive Transgender "&amp;$F$19&amp;" "&amp;$F$20&amp;" is more than Initial Test Transgender"&amp;CHAR(10),""),IF(G119&gt;G118," * Initial Test and Turned Positive Transgender "&amp;$F$19&amp;" "&amp;$G$20&amp;" is more than Initial Test Transgender"&amp;CHAR(10),""),IF(H119&gt;H118," * Initial Test and Turned Positive Transgender "&amp;$H$19&amp;" "&amp;$H$20&amp;" is more than Initial Test Transgender"&amp;CHAR(10),""),IF(I119&gt;I118," * Initial Test and Turned Positive Transgender "&amp;$H$19&amp;" "&amp;$I$20&amp;" is more than Initial Test Transgender"&amp;CHAR(10),""),IF(J119&gt;J118," * Initial Test and Turned Positive Transgender "&amp;$J$19&amp;" "&amp;$J$20&amp;" is more than Initial Test Transgender"&amp;CHAR(10),""),IF(K119&gt;K118," * Initial Test and Turned Positive Transgender "&amp;$J$19&amp;" "&amp;$K$20&amp;" is more than Initial Test Transgender"&amp;CHAR(10),""),IF(L119&gt;L118," * Initial Test and Turned Positive Transgender "&amp;$L$19&amp;" "&amp;$L$20&amp;" is more than Initial Test Transgender"&amp;CHAR(10),""),IF(M119&gt;M118," * Initial Test and Turned Positive Transgender "&amp;$L$19&amp;" "&amp;$M$20&amp;" is more than Initial Test Transgender"&amp;CHAR(10),""),IF(N119&gt;N118," * Initial Test and Turned Positive Transgender "&amp;$N$19&amp;" "&amp;$N$20&amp;" is more than Initial Test Transgender"&amp;CHAR(10),""),IF(O119&gt;O118," * Initial Test and Turned Positive Transgender "&amp;$N$19&amp;" "&amp;$O$20&amp;" is more than Initial Test Transgender"&amp;CHAR(10),""),IF(P119&gt;P118," * Initial Test and Turned Positive Transgender "&amp;$P$19&amp;" "&amp;$P$20&amp;" is more than Initial Test Transgender"&amp;CHAR(10),""),IF(Q119&gt;Q118," * Initial Test and Turned Positive Transgender "&amp;$P$19&amp;" "&amp;$Q$20&amp;" is more than Initial Test Transgender"&amp;CHAR(10),""),IF(R119&gt;R118," * Initial Test and Turned Positive Transgender "&amp;$R$19&amp;" "&amp;$R$20&amp;" is more than Initial Test Transgender"&amp;CHAR(10),""),IF(S119&gt;S118," * Initial Test and Turned Positive Transgender "&amp;$R$19&amp;" "&amp;$S$20&amp;" is more than Initial Test Transgender"&amp;CHAR(10),""),IF(T119&gt;T118," * Initial Test and Turned Positive Transgender "&amp;$T$19&amp;" "&amp;$T$20&amp;" is more than Initial Test Transgender"&amp;CHAR(10),""),IF(U119&gt;U118," * Initial Test and Turned Positive Transgender "&amp;$T$19&amp;" "&amp;$U$20&amp;" is more than Initial Test Transgender"&amp;CHAR(10),""),IF(V119&gt;V118," * Initial Test and Turned Positive Transgender "&amp;$V$19&amp;" "&amp;$V$20&amp;" is more than Initial Test Transgender"&amp;CHAR(10),""),IF(W119&gt;W118," * Initial Test and Turned Positive Transgender "&amp;$V$19&amp;" "&amp;$W$20&amp;" is more than Initial Test Transgender"&amp;CHAR(10),""),IF(X119&gt;X118," * Initial Test and Turned Positive Transgender "&amp;$X$19&amp;" "&amp;$X$20&amp;" is more than Initial Test Transgender"&amp;CHAR(10),""),IF(Y119&gt;Y118," * Initial Test and Turned Positive Transgender "&amp;$X$19&amp;" "&amp;$Y$20&amp;" is more than Initial Test Transgender"&amp;CHAR(10),""),IF(Z119&gt;Z118," * Initial Test and Turned Positive Transgender "&amp;$Z$19&amp;" "&amp;$Z$20&amp;" is more than Initial Test Transgender"&amp;CHAR(10),""),IF(AA119&gt;AA118," * Initial Test and Turned Positive Transgender "&amp;$Z$19&amp;" "&amp;$AA$20&amp;" is more than Initial Test Transgender"&amp;CHAR(10),""),IF(AB119&gt;AB118," * Initial Test and Turned Positive Transgender "&amp;$Z$19&amp;" "&amp;$AA$20&amp;" is more than Initial Test Transgender"&amp;CHAR(10),""))</f>
        <v/>
      </c>
      <c r="AD118" s="675"/>
      <c r="AE118" s="171"/>
      <c r="AF118" s="672"/>
      <c r="AG118" s="158">
        <v>52</v>
      </c>
    </row>
    <row r="119" spans="1:33" s="4" customFormat="1" ht="53.25" customHeight="1" thickBot="1">
      <c r="A119" s="726"/>
      <c r="B119" s="230" t="s">
        <v>635</v>
      </c>
      <c r="C119" s="546" t="s">
        <v>256</v>
      </c>
      <c r="D119" s="177"/>
      <c r="E119" s="178"/>
      <c r="F119" s="177"/>
      <c r="G119" s="178"/>
      <c r="H119" s="177"/>
      <c r="I119" s="178"/>
      <c r="J119" s="177"/>
      <c r="K119" s="178"/>
      <c r="L119" s="178"/>
      <c r="M119" s="178"/>
      <c r="N119" s="178"/>
      <c r="O119" s="178"/>
      <c r="P119" s="178"/>
      <c r="Q119" s="178"/>
      <c r="R119" s="178"/>
      <c r="S119" s="178"/>
      <c r="T119" s="178"/>
      <c r="U119" s="178"/>
      <c r="V119" s="178"/>
      <c r="W119" s="178"/>
      <c r="X119" s="178"/>
      <c r="Y119" s="178"/>
      <c r="Z119" s="178"/>
      <c r="AA119" s="213"/>
      <c r="AB119" s="231"/>
      <c r="AC119" s="229" t="str">
        <f>CONCATENATE(IF(D36&lt;(D118+D120)," * Initial Tests + Repeat Tests Transgender "&amp;$D$19&amp;" "&amp;$D$20&amp;" Is more than Newly Tested and/or referred for testing"&amp;CHAR(10),""),IF(E36&lt;(E118+E120)," * Initial Tests + Repeat Tests Transgender "&amp;$D$19&amp;" "&amp;$E$20&amp;" Is more than Newly Tested and/or referred for testing"&amp;CHAR(10),""),IF(F36&lt;(F118+F120)," * Initial Tests + Repeat Tests Transgender "&amp;$F$19&amp;" "&amp;$F$20&amp;" Is more than Newly Tested and/or referred for testing"&amp;CHAR(10),""),IF(G36&lt;(G118+G120)," * Initial Tests + Repeat Tests Transgender "&amp;$F$19&amp;" "&amp;$G$20&amp;" Is more than Newly Tested and/or referred for testing"&amp;CHAR(10),""),IF(H36&lt;(H118+H120)," * Initial Tests + Repeat Tests Transgender "&amp;$H$19&amp;" "&amp;$H$20&amp;" Is more than Newly Tested and/or referred for testing"&amp;CHAR(10),""),IF(I36&lt;(I118+I120)," * Initial Tests + Repeat Tests Transgender "&amp;$H$19&amp;" "&amp;$I$20&amp;" Is more than Newly Tested and/or referred for testing"&amp;CHAR(10),""),IF(J36&lt;(J118+J120)," * Initial Tests + Repeat Tests Transgender "&amp;$J$19&amp;" "&amp;$J$20&amp;" Is more than Newly Tested and/or referred for testing"&amp;CHAR(10),""),IF(K36&lt;(K118+K120)," * Initial Tests + Repeat Tests Transgender "&amp;$J$19&amp;" "&amp;$K$20&amp;" Is more than Newly Tested and/or referred for testing"&amp;CHAR(10),""),IF(L36&lt;(L118+L120)," * Initial Tests + Repeat Tests Transgender "&amp;$L$19&amp;" "&amp;$L$20&amp;" Is more than Newly Tested and/or referred for testing"&amp;CHAR(10),""),IF(M36&lt;(M118+M120)," * Initial Tests + Repeat Tests Transgender "&amp;$L$19&amp;" "&amp;$M$20&amp;" Is more than Newly Tested and/or referred for testing"&amp;CHAR(10),""),IF(N36&lt;(N118+N120)," * Initial Tests + Repeat Tests Transgender "&amp;$N$19&amp;" "&amp;$N$20&amp;" Is more than Newly Tested and/or referred for testing"&amp;CHAR(10),""),IF(O36&lt;(O118+O120)," * Initial Tests + Repeat Tests Transgender "&amp;$N$19&amp;" "&amp;$O$20&amp;" Is more than Newly Tested and/or referred for testing"&amp;CHAR(10),""),IF(P36&lt;(P118+P120)," * Initial Tests + Repeat Tests Transgender "&amp;$P$19&amp;" "&amp;$P$20&amp;" Is more than Newly Tested and/or referred for testing"&amp;CHAR(10),""),IF(Q36&lt;(Q118+Q120)," * Initial Tests + Repeat Tests Transgender "&amp;$P$19&amp;" "&amp;$Q$20&amp;" Is more than Newly Tested and/or referred for testing"&amp;CHAR(10),""),IF(R36&lt;(R118+R120)," * Initial Tests + Repeat Tests Transgender "&amp;$R$19&amp;" "&amp;$R$20&amp;" Is more than Newly Tested and/or referred for testing"&amp;CHAR(10),""),IF(S36&lt;(S118+S120)," * Initial Tests + Repeat Tests Transgender "&amp;$R$19&amp;" "&amp;$S$20&amp;" Is more than Newly Tested and/or referred for testing"&amp;CHAR(10),""),IF(T36&lt;(T118+T120)," * Initial Tests + Repeat Tests Transgender "&amp;$T$19&amp;" "&amp;$T$20&amp;" Is more than Newly Tested and/or referred for testing"&amp;CHAR(10),""),IF(U36&lt;(U118+U120)," * Initial Tests + Repeat Tests Transgender "&amp;$T$19&amp;" "&amp;$U$20&amp;" Is more than Newly Tested and/or referred for testing"&amp;CHAR(10),""),IF(V36&lt;(V118+V120)," * Initial Tests + Repeat Tests Transgender "&amp;$V$19&amp;" "&amp;$V$20&amp;" Is more than Newly Tested and/or referred for testing"&amp;CHAR(10),""),IF(W36&lt;(W118+W120)," * Initial Tests + Repeat Tests Transgender "&amp;$V$19&amp;" "&amp;$W$20&amp;" Is more than Newly Tested and/or referred for testing"&amp;CHAR(10),""),IF(X36&lt;(X118+X120)," * Initial Tests + Repeat Tests Transgender "&amp;$X$19&amp;" "&amp;$X$20&amp;" Is more than Newly Tested and/or referred for testing"&amp;CHAR(10),""),IF(Y36&lt;(Y118+Y120)," * Initial Tests + Repeat Tests Transgender "&amp;$X$19&amp;" "&amp;$Y$20&amp;" Is more than Newly Tested and/or referred for testing"&amp;CHAR(10),""),IF(Z36&lt;(Z118+Z120)," * Initial Tests + Repeat Tests Transgender "&amp;$Z$19&amp;" "&amp;$Z$20&amp;" Is more than Newly Tested and/or referred for testing"&amp;CHAR(10),""),IF(AA36&lt;(AA118+AA120)," * Initial Tests + Repeat Tests Transgender "&amp;$Z$19&amp;" "&amp;$AA$20&amp;" Is more than Newly Tested and/or referred for testing"&amp;CHAR(10),""),IF(AB36&lt;(AB118+AB120)," * Initial Tests + Repeat Tests Trans-gender "&amp;$AB$19&amp;" "&amp;$AB$20&amp;" Is more than Newly Tested and/or referred for testing"&amp;CHAR(10),""))</f>
        <v/>
      </c>
      <c r="AD119" s="675"/>
      <c r="AE119" s="171"/>
      <c r="AF119" s="672"/>
      <c r="AG119" s="158">
        <v>53</v>
      </c>
    </row>
    <row r="120" spans="1:33" s="4" customFormat="1" ht="53.25" customHeight="1">
      <c r="A120" s="726"/>
      <c r="B120" s="224" t="s">
        <v>633</v>
      </c>
      <c r="C120" s="545" t="s">
        <v>257</v>
      </c>
      <c r="D120" s="182"/>
      <c r="E120" s="183"/>
      <c r="F120" s="182"/>
      <c r="G120" s="183"/>
      <c r="H120" s="182"/>
      <c r="I120" s="183"/>
      <c r="J120" s="182"/>
      <c r="K120" s="183"/>
      <c r="L120" s="183"/>
      <c r="M120" s="183"/>
      <c r="N120" s="183"/>
      <c r="O120" s="183"/>
      <c r="P120" s="183"/>
      <c r="Q120" s="183"/>
      <c r="R120" s="183"/>
      <c r="S120" s="183"/>
      <c r="T120" s="183"/>
      <c r="U120" s="183"/>
      <c r="V120" s="183"/>
      <c r="W120" s="183"/>
      <c r="X120" s="183"/>
      <c r="Y120" s="183"/>
      <c r="Z120" s="183"/>
      <c r="AA120" s="227"/>
      <c r="AB120" s="228"/>
      <c r="AC120" s="229" t="str">
        <f>CONCATENATE(IF(D121&gt;D120," * Repeat Test and Turned Positive Transgender "&amp;$D$19&amp;" "&amp;$D$20&amp;" is more than Repeat Test Transgender"&amp;CHAR(10),""),IF(E121&gt;E120," * Repeat Test and Turned Positive Transgender "&amp;$D$19&amp;" "&amp;$E$20&amp;" is more than Repeat Test Transgender"&amp;CHAR(10),""),IF(F121&gt;F120," * Repeat Test and Turned Positive Transgender "&amp;$F$19&amp;" "&amp;$F$20&amp;" is more than Repeat Test Transgender"&amp;CHAR(10),""),IF(G121&gt;G120," * Repeat Test and Turned Positive Transgender "&amp;$F$19&amp;" "&amp;$G$20&amp;" is more than Repeat Test Transgender"&amp;CHAR(10),""),IF(H121&gt;H120," * Repeat Test and Turned Positive Transgender "&amp;$H$19&amp;" "&amp;$H$20&amp;" is more than Repeat Test Transgender"&amp;CHAR(10),""),IF(I121&gt;I120," * Repeat Test and Turned Positive Transgender "&amp;$H$19&amp;" "&amp;$I$20&amp;" is more than Repeat Test Transgender"&amp;CHAR(10),""),IF(J121&gt;J120," * Repeat Test and Turned Positive Transgender "&amp;$J$19&amp;" "&amp;$J$20&amp;" is more than Repeat Test Transgender"&amp;CHAR(10),""),IF(K121&gt;K120," * Repeat Test and Turned Positive Transgender "&amp;$J$19&amp;" "&amp;$K$20&amp;" is more than Repeat Test Transgender"&amp;CHAR(10),""),IF(L121&gt;L120," * Repeat Test and Turned Positive Transgender "&amp;$L$19&amp;" "&amp;$L$20&amp;" is more than Repeat Test Transgender"&amp;CHAR(10),""),IF(M121&gt;M120," * Repeat Test and Turned Positive Transgender "&amp;$L$19&amp;" "&amp;$M$20&amp;" is more than Repeat Test Transgender"&amp;CHAR(10),""),IF(N121&gt;N120," * Repeat Test and Turned Positive Transgender "&amp;$N$19&amp;" "&amp;$N$20&amp;" is more than Repeat Test Transgender"&amp;CHAR(10),""),IF(O121&gt;O120," * Repeat Test and Turned Positive Transgender "&amp;$N$19&amp;" "&amp;$O$20&amp;" is more than Repeat Test Transgender"&amp;CHAR(10),""),IF(P121&gt;P120," * Repeat Test and Turned Positive Transgender "&amp;$P$19&amp;" "&amp;$P$20&amp;" is more than Repeat Test Transgender"&amp;CHAR(10),""),IF(Q121&gt;Q120," * Repeat Test and Turned Positive Transgender "&amp;$P$19&amp;" "&amp;$Q$20&amp;" is more than Repeat Test Transgender"&amp;CHAR(10),""),IF(R121&gt;R120," * Repeat Test and Turned Positive Transgender "&amp;$R$19&amp;" "&amp;$R$20&amp;" is more than Repeat Test Transgender"&amp;CHAR(10),""),IF(S121&gt;S120," * Repeat Test and Turned Positive Transgender "&amp;$R$19&amp;" "&amp;$S$20&amp;" is more than Repeat Test Transgender"&amp;CHAR(10),""),IF(T121&gt;T120," * Repeat Test and Turned Positive Transgender "&amp;$T$19&amp;" "&amp;$T$20&amp;" is more than Repeat Test Transgender"&amp;CHAR(10),""),IF(U121&gt;U120," * Repeat Test and Turned Positive Transgender "&amp;$T$19&amp;" "&amp;$U$20&amp;" is more than Repeat Test Transgender"&amp;CHAR(10),""),IF(V121&gt;V120," * Repeat Test and Turned Positive Transgender "&amp;$V$19&amp;" "&amp;$V$20&amp;" is more than Repeat Test Transgender"&amp;CHAR(10),""),IF(W121&gt;W120," * Repeat Test and Turned Positive Transgender "&amp;$V$19&amp;" "&amp;$W$20&amp;" is more than Repeat Test Transgender"&amp;CHAR(10),""),IF(X121&gt;X120," * Repeat Test and Turned Positive Transgender "&amp;$X$19&amp;" "&amp;$X$20&amp;" is more than Repeat Test Transgender"&amp;CHAR(10),""),IF(Y121&gt;Y120," * Repeat Test and Turned Positive Transgender "&amp;$X$19&amp;" "&amp;$Y$20&amp;" is more than Repeat Test Transgender"&amp;CHAR(10),""),IF(Z121&gt;Z120," * Repeat Test and Turned Positive Transgender "&amp;$Z$19&amp;" "&amp;$Z$20&amp;" is more than Repeat Test Transgender"&amp;CHAR(10),""),IF(AA121&gt;AA120," * Repeat Test and Turned Positive Transgender "&amp;$Z$19&amp;" "&amp;$AA$20&amp;" is more than Repeat Test Transgender"&amp;CHAR(10),""),IF(AB121&gt;AB120," * Repeat Test and Turned Positive Transgender "&amp;$Z$19&amp;" "&amp;$AA$20&amp;" is more than Repeat Test Transgender"&amp;CHAR(10),""))</f>
        <v/>
      </c>
      <c r="AD120" s="675"/>
      <c r="AE120" s="171"/>
      <c r="AF120" s="672"/>
      <c r="AG120" s="158">
        <v>52</v>
      </c>
    </row>
    <row r="121" spans="1:33" s="4" customFormat="1" ht="53.25" customHeight="1" thickBot="1">
      <c r="A121" s="727"/>
      <c r="B121" s="225" t="s">
        <v>636</v>
      </c>
      <c r="C121" s="546" t="s">
        <v>258</v>
      </c>
      <c r="D121" s="177"/>
      <c r="E121" s="178"/>
      <c r="F121" s="177"/>
      <c r="G121" s="178"/>
      <c r="H121" s="177"/>
      <c r="I121" s="178"/>
      <c r="J121" s="177"/>
      <c r="K121" s="178"/>
      <c r="L121" s="178"/>
      <c r="M121" s="178"/>
      <c r="N121" s="178"/>
      <c r="O121" s="178"/>
      <c r="P121" s="178"/>
      <c r="Q121" s="178"/>
      <c r="R121" s="178"/>
      <c r="S121" s="178"/>
      <c r="T121" s="178"/>
      <c r="U121" s="178"/>
      <c r="V121" s="178"/>
      <c r="W121" s="178"/>
      <c r="X121" s="178"/>
      <c r="Y121" s="178"/>
      <c r="Z121" s="178"/>
      <c r="AA121" s="213"/>
      <c r="AB121" s="231"/>
      <c r="AC121" s="229"/>
      <c r="AD121" s="675"/>
      <c r="AE121" s="171"/>
      <c r="AF121" s="672"/>
      <c r="AG121" s="158">
        <v>53</v>
      </c>
    </row>
    <row r="122" spans="1:33" s="4" customFormat="1" ht="53.25" customHeight="1">
      <c r="A122" s="851" t="s">
        <v>78</v>
      </c>
      <c r="B122" s="226" t="s">
        <v>634</v>
      </c>
      <c r="C122" s="545" t="s">
        <v>259</v>
      </c>
      <c r="D122" s="182"/>
      <c r="E122" s="183"/>
      <c r="F122" s="182"/>
      <c r="G122" s="183"/>
      <c r="H122" s="182"/>
      <c r="I122" s="183"/>
      <c r="J122" s="182"/>
      <c r="K122" s="183"/>
      <c r="L122" s="183"/>
      <c r="M122" s="196"/>
      <c r="N122" s="183"/>
      <c r="O122" s="196"/>
      <c r="P122" s="183"/>
      <c r="Q122" s="196"/>
      <c r="R122" s="183"/>
      <c r="S122" s="196"/>
      <c r="T122" s="183"/>
      <c r="U122" s="196"/>
      <c r="V122" s="183"/>
      <c r="W122" s="196"/>
      <c r="X122" s="183"/>
      <c r="Y122" s="196"/>
      <c r="Z122" s="183"/>
      <c r="AA122" s="196"/>
      <c r="AB122" s="218">
        <f t="shared" ref="AB122:AB127" si="12">SUM(J122:AA122)</f>
        <v>0</v>
      </c>
      <c r="AC122" s="232" t="str">
        <f>CONCATENATE(IF(D123&gt;D122," * Initial Test and Turned Positive FSW "&amp;$D$19&amp;" "&amp;$D$20&amp;" is more than Initial Test FSW"&amp;CHAR(10),""),IF(E123&gt;E122," * Initial Test and Turned Positive FSW "&amp;$D$19&amp;" "&amp;$E$20&amp;" is more than Initial Test FSW"&amp;CHAR(10),""),IF(F123&gt;F122," * Initial Test and Turned Positive FSW "&amp;$F$19&amp;" "&amp;$F$20&amp;" is more than Initial Test FSW"&amp;CHAR(10),""),IF(G123&gt;G122," * Initial Test and Turned Positive FSW "&amp;$F$19&amp;" "&amp;$G$20&amp;" is more than Initial Test FSW"&amp;CHAR(10),""),IF(H123&gt;H122," * Initial Test and Turned Positive FSW "&amp;$H$19&amp;" "&amp;$H$20&amp;" is more than Initial Test FSW"&amp;CHAR(10),""),IF(I123&gt;I122," * Initial Test and Turned Positive FSW "&amp;$H$19&amp;" "&amp;$I$20&amp;" is more than Initial Test FSW"&amp;CHAR(10),""),IF(J123&gt;J122," * Initial Test and Turned Positive FSW "&amp;$J$19&amp;" "&amp;$J$20&amp;" is more than Initial Test FSW"&amp;CHAR(10),""),IF(K123&gt;K122," * Initial Test and Turned Positive FSW "&amp;$J$19&amp;" "&amp;$K$20&amp;" is more than Initial Test FSW"&amp;CHAR(10),""),IF(L123&gt;L122," * Initial Test and Turned Positive FSW "&amp;$L$19&amp;" "&amp;$L$20&amp;" is more than Initial Test FSW"&amp;CHAR(10),""),IF(M123&gt;M122," * Initial Test and Turned Positive FSW "&amp;$L$19&amp;" "&amp;$M$20&amp;" is more than Initial Test FSW"&amp;CHAR(10),""),IF(N123&gt;N122," * Initial Test and Turned Positive FSW "&amp;$N$19&amp;" "&amp;$N$20&amp;" is more than Initial Test FSW"&amp;CHAR(10),""),IF(O123&gt;O122," * Initial Test and Turned Positive FSW "&amp;$N$19&amp;" "&amp;$O$20&amp;" is more than Initial Test FSW"&amp;CHAR(10),""),IF(P123&gt;P122," * Initial Test and Turned Positive FSW "&amp;$P$19&amp;" "&amp;$P$20&amp;" is more than Initial Test FSW"&amp;CHAR(10),""),IF(Q123&gt;Q122," * Initial Test and Turned Positive FSW "&amp;$P$19&amp;" "&amp;$Q$20&amp;" is more than Initial Test FSW"&amp;CHAR(10),""),IF(R123&gt;R122," * Initial Test and Turned Positive FSW "&amp;$R$19&amp;" "&amp;$R$20&amp;" is more than Initial Test FSW"&amp;CHAR(10),""),IF(S123&gt;S122," * Initial Test and Turned Positive FSW "&amp;$R$19&amp;" "&amp;$S$20&amp;" is more than Initial Test FSW"&amp;CHAR(10),""),IF(T123&gt;T122," * Initial Test and Turned Positive FSW "&amp;$T$19&amp;" "&amp;$T$20&amp;" is more than Initial Test FSW"&amp;CHAR(10),""),IF(U123&gt;U122," * Initial Test and Turned Positive FSW "&amp;$T$19&amp;" "&amp;$U$20&amp;" is more than Initial Test FSW"&amp;CHAR(10),""),IF(V123&gt;V122," * Initial Test and Turned Positive FSW "&amp;$V$19&amp;" "&amp;$V$20&amp;" is more than Initial Test FSW"&amp;CHAR(10),""),IF(W123&gt;W122," * Initial Test and Turned Positive FSW "&amp;$V$19&amp;" "&amp;$W$20&amp;" is more than Initial Test FSW"&amp;CHAR(10),""),IF(X123&gt;X122," * Initial Test and Turned Positive FSW "&amp;$X$19&amp;" "&amp;$X$20&amp;" is more than Initial Test FSW"&amp;CHAR(10),""),IF(Y123&gt;Y122," * Initial Test and Turned Positive FSW "&amp;$X$19&amp;" "&amp;$Y$20&amp;" is more than Initial Test FSW"&amp;CHAR(10),""),IF(Z123&gt;Z122," * Initial Test and Turned Positive FSW "&amp;$Z$19&amp;" "&amp;$Z$20&amp;" is more than Initial Test FSW"&amp;CHAR(10),""),IF(AA123&gt;AA122," * Initial Test and Turned Positive FSW "&amp;$Z$19&amp;" "&amp;$AA$20&amp;" is more than Initial Test FSW"&amp;CHAR(10),""))</f>
        <v/>
      </c>
      <c r="AD122" s="675"/>
      <c r="AE122" s="171"/>
      <c r="AF122" s="672"/>
      <c r="AG122" s="158">
        <v>54</v>
      </c>
    </row>
    <row r="123" spans="1:33" s="4" customFormat="1" ht="53.25" customHeight="1" thickBot="1">
      <c r="A123" s="852"/>
      <c r="B123" s="230" t="s">
        <v>635</v>
      </c>
      <c r="C123" s="546" t="s">
        <v>260</v>
      </c>
      <c r="D123" s="177"/>
      <c r="E123" s="178"/>
      <c r="F123" s="177"/>
      <c r="G123" s="178"/>
      <c r="H123" s="177"/>
      <c r="I123" s="178"/>
      <c r="J123" s="177"/>
      <c r="K123" s="178"/>
      <c r="L123" s="178"/>
      <c r="M123" s="221"/>
      <c r="N123" s="178"/>
      <c r="O123" s="221"/>
      <c r="P123" s="178"/>
      <c r="Q123" s="221"/>
      <c r="R123" s="178"/>
      <c r="S123" s="221"/>
      <c r="T123" s="178"/>
      <c r="U123" s="221"/>
      <c r="V123" s="178"/>
      <c r="W123" s="221"/>
      <c r="X123" s="178"/>
      <c r="Y123" s="221"/>
      <c r="Z123" s="178"/>
      <c r="AA123" s="222"/>
      <c r="AB123" s="191">
        <f t="shared" si="12"/>
        <v>0</v>
      </c>
      <c r="AC123" s="232" t="str">
        <f>CONCATENATE(IF(D39&lt;(D122+D124)," * Initial Tests + Repeat Tests  FSW "&amp;$D$19&amp;" "&amp;$D$20&amp;" Is more than Newly Tested and/or referred for testing"&amp;CHAR(10),""),IF(E39&lt;(E122+E124)," * Initial Tests + Repeat Tests  FSW "&amp;$D$19&amp;" "&amp;$E$20&amp;" Is more than Newly Tested and/or referred for testing"&amp;CHAR(10),""),IF(F39&lt;(F122+F124)," * Initial Tests + Repeat Tests  FSW "&amp;$F$19&amp;" "&amp;$F$20&amp;" Is more than Newly Tested and/or referred for testing"&amp;CHAR(10),""),IF(G39&lt;(G122+G124)," * Initial Tests + Repeat Tests  FSW "&amp;$F$19&amp;" "&amp;$G$20&amp;" Is more than Newly Tested and/or referred for testing"&amp;CHAR(10),""),IF(H39&lt;(H122+H124)," * Initial Tests + Repeat Tests  FSW "&amp;$H$19&amp;" "&amp;$H$20&amp;" Is more than Newly Tested and/or referred for testing"&amp;CHAR(10),""),IF(I39&lt;(I122+I124)," * Initial Tests + Repeat Tests  FSW "&amp;$H$19&amp;" "&amp;$I$20&amp;" Is more than Newly Tested and/or referred for testing"&amp;CHAR(10),""),IF(J39&lt;(J122+J124)," * Initial Tests + Repeat Tests  FSW "&amp;$J$19&amp;" "&amp;$J$20&amp;" Is more than Newly Tested and/or referred for testing"&amp;CHAR(10),""),IF(K39&lt;(K122+K124)," * Initial Tests + Repeat Tests  FSW "&amp;$J$19&amp;" "&amp;$K$20&amp;" Is more than Newly Tested and/or referred for testing"&amp;CHAR(10),""),IF(L39&lt;(L122+L124)," * Initial Tests + Repeat Tests  FSW "&amp;$L$19&amp;" "&amp;$L$20&amp;" Is more than Newly Tested and/or referred for testing"&amp;CHAR(10),""),IF(M39&lt;(M122+M124)," * Initial Tests + Repeat Tests  FSW "&amp;$L$19&amp;" "&amp;$M$20&amp;" Is more than Newly Tested and/or referred for testing"&amp;CHAR(10),""),IF(N39&lt;(N122+N124)," * Initial Tests + Repeat Tests  FSW "&amp;$N$19&amp;" "&amp;$N$20&amp;" Is more than Newly Tested and/or referred for testing"&amp;CHAR(10),""),IF(O39&lt;(O122+O124)," * Initial Tests + Repeat Tests  FSW "&amp;$N$19&amp;" "&amp;$O$20&amp;" Is more than Newly Tested and/or referred for testing"&amp;CHAR(10),""),IF(P39&lt;(P122+P124)," * Initial Tests + Repeat Tests  FSW "&amp;$P$19&amp;" "&amp;$P$20&amp;" Is more than Newly Tested and/or referred for testing"&amp;CHAR(10),""),IF(Q39&lt;(Q122+Q124)," * Initial Tests + Repeat Tests  FSW "&amp;$P$19&amp;" "&amp;$Q$20&amp;" Is more than Newly Tested and/or referred for testing"&amp;CHAR(10),""),IF(R39&lt;(R122+R124)," * Initial Tests + Repeat Tests  FSW "&amp;$R$19&amp;" "&amp;$R$20&amp;" Is more than Newly Tested and/or referred for testing"&amp;CHAR(10),""),IF(S39&lt;(S122+S124)," * Initial Tests + Repeat Tests  FSW "&amp;$R$19&amp;" "&amp;$S$20&amp;" Is more than Newly Tested and/or referred for testing"&amp;CHAR(10),""),IF(T39&lt;(T122+T124)," * Initial Tests + Repeat Tests  FSW "&amp;$T$19&amp;" "&amp;$T$20&amp;" Is more than Newly Tested and/or referred for testing"&amp;CHAR(10),""),IF(U39&lt;(U122+U124)," * Initial Tests + Repeat Tests  FSW "&amp;$T$19&amp;" "&amp;$U$20&amp;" Is more than Newly Tested and/or referred for testing"&amp;CHAR(10),""),IF(V39&lt;(V122+V124)," * Initial Tests + Repeat Tests  FSW "&amp;$V$19&amp;" "&amp;$V$20&amp;" Is more than Newly Tested and/or referred for testing"&amp;CHAR(10),""),IF(W39&lt;(W122+W124)," * Initial Tests + Repeat Tests  FSW "&amp;$V$19&amp;" "&amp;$W$20&amp;" Is more than Newly Tested and/or referred for testing"&amp;CHAR(10),""),IF(X39&lt;(X122+X124)," * Initial Tests + Repeat Tests  FSW "&amp;$X$19&amp;" "&amp;$X$20&amp;" Is more than Newly Tested and/or referred for testing"&amp;CHAR(10),""),IF(Y39&lt;(Y122+Y124)," * Initial Tests + Repeat Tests  FSW "&amp;$X$19&amp;" "&amp;$Y$20&amp;" Is more than Newly Tested and/or referred for testing"&amp;CHAR(10),""),IF(Z39&lt;(Z122+Z124)," * Initial Tests + Repeat Tests  FSW "&amp;$Z$19&amp;" "&amp;$Z$20&amp;" Is more than Newly Tested and/or referred for testing"&amp;CHAR(10),""),IF(AA39&lt;(AA122+AA124)," * Initial Tests + Repeat Tests  FSW "&amp;$Z$19&amp;" "&amp;$AA$20&amp;" Is more than Newly Tested and/or referred for testing"&amp;CHAR(10),""))</f>
        <v/>
      </c>
      <c r="AD123" s="675"/>
      <c r="AE123" s="171"/>
      <c r="AF123" s="672"/>
      <c r="AG123" s="158">
        <v>55</v>
      </c>
    </row>
    <row r="124" spans="1:33" s="4" customFormat="1" ht="53.25" customHeight="1">
      <c r="A124" s="852"/>
      <c r="B124" s="224" t="s">
        <v>633</v>
      </c>
      <c r="C124" s="545" t="s">
        <v>261</v>
      </c>
      <c r="D124" s="182"/>
      <c r="E124" s="183"/>
      <c r="F124" s="182"/>
      <c r="G124" s="183"/>
      <c r="H124" s="182"/>
      <c r="I124" s="183"/>
      <c r="J124" s="182"/>
      <c r="K124" s="183"/>
      <c r="L124" s="183"/>
      <c r="M124" s="196"/>
      <c r="N124" s="183"/>
      <c r="O124" s="196"/>
      <c r="P124" s="183"/>
      <c r="Q124" s="196"/>
      <c r="R124" s="183"/>
      <c r="S124" s="196"/>
      <c r="T124" s="183"/>
      <c r="U124" s="196"/>
      <c r="V124" s="183"/>
      <c r="W124" s="196"/>
      <c r="X124" s="183"/>
      <c r="Y124" s="196"/>
      <c r="Z124" s="183"/>
      <c r="AA124" s="196"/>
      <c r="AB124" s="218">
        <f>SUM(J124:AA124)</f>
        <v>0</v>
      </c>
      <c r="AC124" s="232" t="str">
        <f>CONCATENATE(IF(D125&gt;D124," * Repeat Test and Turned Positive FSW "&amp;$D$19&amp;" "&amp;$D$20&amp;" is more than Repeat Test FSW"&amp;CHAR(10),""),IF(E125&gt;E124," * Repeat Test and Turned Positive FSW "&amp;$D$19&amp;" "&amp;$E$20&amp;" is more than Repeat Test FSW"&amp;CHAR(10),""),IF(F125&gt;F124," * Repeat Test and Turned Positive FSW "&amp;$F$19&amp;" "&amp;$F$20&amp;" is more than Repeat Test FSW"&amp;CHAR(10),""),IF(G125&gt;G124," * Repeat Test and Turned Positive FSW "&amp;$F$19&amp;" "&amp;$G$20&amp;" is more than Repeat Test FSW"&amp;CHAR(10),""),IF(H125&gt;H124," * Repeat Test and Turned Positive FSW "&amp;$H$19&amp;" "&amp;$H$20&amp;" is more than Repeat Test FSW"&amp;CHAR(10),""),IF(I125&gt;I124," * Repeat Test and Turned Positive FSW "&amp;$H$19&amp;" "&amp;$I$20&amp;" is more than Repeat Test FSW"&amp;CHAR(10),""),IF(J125&gt;J124," * Repeat Test and Turned Positive FSW "&amp;$J$19&amp;" "&amp;$J$20&amp;" is more than Repeat Test FSW"&amp;CHAR(10),""),IF(K125&gt;K124," * Repeat Test and Turned Positive FSW "&amp;$J$19&amp;" "&amp;$K$20&amp;" is more than Repeat Test FSW"&amp;CHAR(10),""),IF(L125&gt;L124," * Repeat Test and Turned Positive FSW "&amp;$L$19&amp;" "&amp;$L$20&amp;" is more than Repeat Test FSW"&amp;CHAR(10),""),IF(M125&gt;M124," * Repeat Test and Turned Positive FSW "&amp;$L$19&amp;" "&amp;$M$20&amp;" is more than Repeat Test FSW"&amp;CHAR(10),""),IF(N125&gt;N124," * Repeat Test and Turned Positive FSW "&amp;$N$19&amp;" "&amp;$N$20&amp;" is more than Repeat Test FSW"&amp;CHAR(10),""),IF(O125&gt;O124," * Repeat Test and Turned Positive FSW "&amp;$N$19&amp;" "&amp;$O$20&amp;" is more than Repeat Test FSW"&amp;CHAR(10),""),IF(P125&gt;P124," * Repeat Test and Turned Positive FSW "&amp;$P$19&amp;" "&amp;$P$20&amp;" is more than Repeat Test FSW"&amp;CHAR(10),""),IF(Q125&gt;Q124," * Repeat Test and Turned Positive FSW "&amp;$P$19&amp;" "&amp;$Q$20&amp;" is more than Repeat Test FSW"&amp;CHAR(10),""),IF(R125&gt;R124," * Repeat Test and Turned Positive FSW "&amp;$R$19&amp;" "&amp;$R$20&amp;" is more than Repeat Test FSW"&amp;CHAR(10),""),IF(S125&gt;S124," * Repeat Test and Turned Positive FSW "&amp;$R$19&amp;" "&amp;$S$20&amp;" is more than Repeat Test FSW"&amp;CHAR(10),""),IF(T125&gt;T124," * Repeat Test and Turned Positive FSW "&amp;$T$19&amp;" "&amp;$T$20&amp;" is more than Repeat Test FSW"&amp;CHAR(10),""),IF(U125&gt;U124," * Repeat Test and Turned Positive FSW "&amp;$T$19&amp;" "&amp;$U$20&amp;" is more than Repeat Test FSW"&amp;CHAR(10),""),IF(V125&gt;V124," * Repeat Test and Turned Positive FSW "&amp;$V$19&amp;" "&amp;$V$20&amp;" is more than Repeat Test FSW"&amp;CHAR(10),""),IF(W125&gt;W124," * Repeat Test and Turned Positive FSW "&amp;$V$19&amp;" "&amp;$W$20&amp;" is more than Repeat Test FSW"&amp;CHAR(10),""),IF(X125&gt;X124," * Repeat Test and Turned Positive FSW "&amp;$X$19&amp;" "&amp;$X$20&amp;" is more than Repeat Test FSW"&amp;CHAR(10),""),IF(Y125&gt;Y124," * Repeat Test and Turned Positive FSW "&amp;$X$19&amp;" "&amp;$Y$20&amp;" is more than Repeat Test FSW"&amp;CHAR(10),""),IF(Z125&gt;Z124," * Repeat Test and Turned Positive FSW "&amp;$Z$19&amp;" "&amp;$Z$20&amp;" is more than Repeat Test FSW"&amp;CHAR(10),""),IF(AA125&gt;AA124," * Repeat Test and Turned Positive FSW "&amp;$Z$19&amp;" "&amp;$AA$20&amp;" is more than Repeat Test FSW"&amp;CHAR(10),""))</f>
        <v/>
      </c>
      <c r="AD124" s="675"/>
      <c r="AE124" s="171"/>
      <c r="AF124" s="672"/>
      <c r="AG124" s="158">
        <v>54</v>
      </c>
    </row>
    <row r="125" spans="1:33" s="4" customFormat="1" ht="53.25" customHeight="1" thickBot="1">
      <c r="A125" s="853"/>
      <c r="B125" s="225" t="s">
        <v>636</v>
      </c>
      <c r="C125" s="546" t="s">
        <v>262</v>
      </c>
      <c r="D125" s="177"/>
      <c r="E125" s="178"/>
      <c r="F125" s="177"/>
      <c r="G125" s="178"/>
      <c r="H125" s="177"/>
      <c r="I125" s="178"/>
      <c r="J125" s="177"/>
      <c r="K125" s="178"/>
      <c r="L125" s="178"/>
      <c r="M125" s="221"/>
      <c r="N125" s="178"/>
      <c r="O125" s="221"/>
      <c r="P125" s="178"/>
      <c r="Q125" s="221"/>
      <c r="R125" s="178"/>
      <c r="S125" s="221"/>
      <c r="T125" s="178"/>
      <c r="U125" s="221"/>
      <c r="V125" s="178"/>
      <c r="W125" s="221"/>
      <c r="X125" s="178"/>
      <c r="Y125" s="221"/>
      <c r="Z125" s="178"/>
      <c r="AA125" s="222"/>
      <c r="AB125" s="191">
        <f>SUM(J125:AA125)</f>
        <v>0</v>
      </c>
      <c r="AC125" s="232"/>
      <c r="AD125" s="675"/>
      <c r="AE125" s="171"/>
      <c r="AF125" s="672"/>
      <c r="AG125" s="158">
        <v>55</v>
      </c>
    </row>
    <row r="126" spans="1:33" s="4" customFormat="1" ht="53.25" customHeight="1">
      <c r="A126" s="725" t="s">
        <v>166</v>
      </c>
      <c r="B126" s="226" t="s">
        <v>634</v>
      </c>
      <c r="C126" s="545" t="s">
        <v>263</v>
      </c>
      <c r="D126" s="182"/>
      <c r="E126" s="183"/>
      <c r="F126" s="182"/>
      <c r="G126" s="183"/>
      <c r="H126" s="182"/>
      <c r="I126" s="183"/>
      <c r="J126" s="182"/>
      <c r="K126" s="183"/>
      <c r="L126" s="196"/>
      <c r="M126" s="196"/>
      <c r="N126" s="196"/>
      <c r="O126" s="196"/>
      <c r="P126" s="196"/>
      <c r="Q126" s="196"/>
      <c r="R126" s="196"/>
      <c r="S126" s="196"/>
      <c r="T126" s="196"/>
      <c r="U126" s="196"/>
      <c r="V126" s="196"/>
      <c r="W126" s="196"/>
      <c r="X126" s="196"/>
      <c r="Y126" s="196"/>
      <c r="Z126" s="196"/>
      <c r="AA126" s="196"/>
      <c r="AB126" s="218">
        <f t="shared" si="12"/>
        <v>0</v>
      </c>
      <c r="AC126" s="232" t="str">
        <f>CONCATENATE(IF(D127&gt;D126," * Initial Test and Turned Positive People in prison and other closed settings "&amp;$D$19&amp;" "&amp;$D$20&amp;" is more than Initial Test People in prison and other closed settings"&amp;CHAR(10),""),IF(E127&gt;E126," * Initial Test and Turned Positive People in prison and other closed settings "&amp;$D$19&amp;" "&amp;$E$20&amp;" is more than Initial Test People in prison and other closed settings"&amp;CHAR(10),""),IF(F127&gt;F126," * Initial Test and Turned Positive People in prison and other closed settings "&amp;$F$19&amp;" "&amp;$F$20&amp;" is more than Initial Test People in prison and other closed settings"&amp;CHAR(10),""),IF(G127&gt;G126," * Initial Test and Turned Positive People in prison and other closed settings "&amp;$F$19&amp;" "&amp;$G$20&amp;" is more than Initial Test People in prison and other closed settings"&amp;CHAR(10),""),IF(H127&gt;H126," * Initial Test and Turned Positive People in prison and other closed settings "&amp;$H$19&amp;" "&amp;$H$20&amp;" is more than Initial Test People in prison and other closed settings"&amp;CHAR(10),""),IF(I127&gt;I126," * Initial Test and Turned Positive People in prison and other closed settings "&amp;$H$19&amp;" "&amp;$I$20&amp;" is more than Initial Test People in prison and other closed settings"&amp;CHAR(10),""),IF(J127&gt;J126," * Initial Test and Turned Positive People in prison and other closed settings "&amp;$J$19&amp;" "&amp;$J$20&amp;" is more than Initial Test People in prison and other closed settings"&amp;CHAR(10),""),IF(K127&gt;K126," * Initial Test and Turned Positive People in prison and other closed settings "&amp;$J$19&amp;" "&amp;$K$20&amp;" is more than Initial Test People in prison and other closed settings"&amp;CHAR(10),""),IF(L127&gt;L126," * Initial Test and Turned Positive People in prison and other closed settings "&amp;$L$19&amp;" "&amp;$L$20&amp;" is more than Initial Test People in prison and other closed settings"&amp;CHAR(10),""),IF(M127&gt;M126," * Initial Test and Turned Positive People in prison and other closed settings "&amp;$L$19&amp;" "&amp;$M$20&amp;" is more than Initial Test People in prison and other closed settings"&amp;CHAR(10),""),IF(N127&gt;N126," * Initial Test and Turned Positive People in prison and other closed settings "&amp;$N$19&amp;" "&amp;$N$20&amp;" is more than Initial Test People in prison and other closed settings"&amp;CHAR(10),""),IF(O127&gt;O126," * Initial Test and Turned Positive People in prison and other closed settings "&amp;$N$19&amp;" "&amp;$O$20&amp;" is more than Initial Test People in prison and other closed settings"&amp;CHAR(10),""),IF(P127&gt;P126," * Initial Test and Turned Positive People in prison and other closed settings "&amp;$P$19&amp;" "&amp;$P$20&amp;" is more than Initial Test People in prison and other closed settings"&amp;CHAR(10),""),IF(Q127&gt;Q126," * Initial Test and Turned Positive People in prison and other closed settings "&amp;$P$19&amp;" "&amp;$Q$20&amp;" is more than Initial Test People in prison and other closed settings"&amp;CHAR(10),""),IF(R127&gt;R126," * Initial Test and Turned Positive People in prison and other closed settings "&amp;$R$19&amp;" "&amp;$R$20&amp;" is more than Initial Test People in prison and other closed settings"&amp;CHAR(10),""),IF(S127&gt;S126," * Initial Test and Turned Positive People in prison and other closed settings "&amp;$R$19&amp;" "&amp;$S$20&amp;" is more than Initial Test People in prison and other closed settings"&amp;CHAR(10),""),IF(T127&gt;T126," * Initial Test and Turned Positive People in prison and other closed settings "&amp;$T$19&amp;" "&amp;$T$20&amp;" is more than Initial Test People in prison and other closed settings"&amp;CHAR(10),""),IF(U127&gt;U126," * Initial Test and Turned Positive People in prison and other closed settings "&amp;$T$19&amp;" "&amp;$U$20&amp;" is more than Initial Test People in prison and other closed settings"&amp;CHAR(10),""),IF(V127&gt;V126," * Initial Test and Turned Positive People in prison and other closed settings "&amp;$V$19&amp;" "&amp;$V$20&amp;" is more than Initial Test People in prison and other closed settings"&amp;CHAR(10),""),IF(W127&gt;W126," * Initial Test and Turned Positive People in prison and other closed settings "&amp;$V$19&amp;" "&amp;$W$20&amp;" is more than Initial Test People in prison and other closed settings"&amp;CHAR(10),""),IF(X127&gt;X126," * Initial Test and Turned Positive People in prison and other closed settings "&amp;$X$19&amp;" "&amp;$X$20&amp;" is more than Initial Test People in prison and other closed settings"&amp;CHAR(10),""),IF(Y127&gt;Y126," * Initial Test and Turned Positive People in prison and other closed settings "&amp;$X$19&amp;" "&amp;$Y$20&amp;" is more than Initial Test People in prison and other closed settings"&amp;CHAR(10),""),IF(Z127&gt;Z126," * Initial Test and Turned Positive People in prison and other closed settings "&amp;$Z$19&amp;" "&amp;$Z$20&amp;" is more than Initial Test People in prison and other closed settings"&amp;CHAR(10),""),IF(AA127&gt;AA126," * Initial Test and Turned Positive People in prison and other closed settings "&amp;$Z$19&amp;" "&amp;$AA$20&amp;" is more than Initial Test People in prison and other closed settings"&amp;CHAR(10),""))</f>
        <v/>
      </c>
      <c r="AD126" s="675"/>
      <c r="AE126" s="171"/>
      <c r="AF126" s="672"/>
      <c r="AG126" s="158">
        <v>56</v>
      </c>
    </row>
    <row r="127" spans="1:33" s="4" customFormat="1" ht="53.25" customHeight="1" thickBot="1">
      <c r="A127" s="726"/>
      <c r="B127" s="230" t="s">
        <v>635</v>
      </c>
      <c r="C127" s="546" t="s">
        <v>264</v>
      </c>
      <c r="D127" s="177"/>
      <c r="E127" s="178"/>
      <c r="F127" s="177"/>
      <c r="G127" s="178"/>
      <c r="H127" s="177"/>
      <c r="I127" s="178"/>
      <c r="J127" s="177"/>
      <c r="K127" s="178"/>
      <c r="L127" s="221"/>
      <c r="M127" s="221"/>
      <c r="N127" s="221"/>
      <c r="O127" s="221"/>
      <c r="P127" s="221"/>
      <c r="Q127" s="221"/>
      <c r="R127" s="221"/>
      <c r="S127" s="221"/>
      <c r="T127" s="221"/>
      <c r="U127" s="221"/>
      <c r="V127" s="221"/>
      <c r="W127" s="221"/>
      <c r="X127" s="221"/>
      <c r="Y127" s="221"/>
      <c r="Z127" s="221"/>
      <c r="AA127" s="222"/>
      <c r="AB127" s="191">
        <f t="shared" si="12"/>
        <v>0</v>
      </c>
      <c r="AC127" s="232" t="str">
        <f>CONCATENATE(IF(D42&lt;(D126+D128)," * Initial Tests + Repeat Tests Transgender "&amp;$D$19&amp;" "&amp;$D$20&amp;" Is more than Newly Tested and/or referred for testing"&amp;CHAR(10),""),IF(E42&lt;(E126+E128)," * Initial Tests + Repeat Tests Transgender "&amp;$D$19&amp;" "&amp;$E$20&amp;" Is more than Newly Tested and/or referred for testing"&amp;CHAR(10),""),IF(F42&lt;(F126+F128)," * Initial Tests + Repeat Tests Transgender "&amp;$F$19&amp;" "&amp;$F$20&amp;" Is more than Newly Tested and/or referred for testing"&amp;CHAR(10),""),IF(G42&lt;(G126+G128)," * Initial Tests + Repeat Tests Transgender "&amp;$F$19&amp;" "&amp;$G$20&amp;" Is more than Newly Tested and/or referred for testing"&amp;CHAR(10),""),IF(H42&lt;(H126+H128)," * Initial Tests + Repeat Tests Transgender "&amp;$H$19&amp;" "&amp;$H$20&amp;" Is more than Newly Tested and/or referred for testing"&amp;CHAR(10),""),IF(I42&lt;(I126+I128)," * Initial Tests + Repeat Tests Transgender "&amp;$H$19&amp;" "&amp;$I$20&amp;" Is more than Newly Tested and/or referred for testing"&amp;CHAR(10),""),IF(J42&lt;(J126+J128)," * Initial Tests + Repeat Tests Transgender "&amp;$J$19&amp;" "&amp;$J$20&amp;" Is more than Newly Tested and/or referred for testing"&amp;CHAR(10),""),IF(K42&lt;(K126+K128)," * Initial Tests + Repeat Tests Transgender "&amp;$J$19&amp;" "&amp;$K$20&amp;" Is more than Newly Tested and/or referred for testing"&amp;CHAR(10),""),IF(L42&lt;(L126+L128)," * Initial Tests + Repeat Tests Transgender "&amp;$L$19&amp;" "&amp;$L$20&amp;" Is more than Newly Tested and/or referred for testing"&amp;CHAR(10),""),IF(M42&lt;(M126+M128)," * Initial Tests + Repeat Tests Transgender "&amp;$L$19&amp;" "&amp;$M$20&amp;" Is more than Newly Tested and/or referred for testing"&amp;CHAR(10),""),IF(N42&lt;(N126+N128)," * Initial Tests + Repeat Tests Transgender "&amp;$N$19&amp;" "&amp;$N$20&amp;" Is more than Newly Tested and/or referred for testing"&amp;CHAR(10),""),IF(O42&lt;(O126+O128)," * Initial Tests + Repeat Tests Transgender "&amp;$N$19&amp;" "&amp;$O$20&amp;" Is more than Newly Tested and/or referred for testing"&amp;CHAR(10),""),IF(P42&lt;(P126+P128)," * Initial Tests + Repeat Tests Transgender "&amp;$P$19&amp;" "&amp;$P$20&amp;" Is more than Newly Tested and/or referred for testing"&amp;CHAR(10),""),IF(Q42&lt;(Q126+Q128)," * Initial Tests + Repeat Tests Transgender "&amp;$P$19&amp;" "&amp;$Q$20&amp;" Is more than Newly Tested and/or referred for testing"&amp;CHAR(10),""),IF(R42&lt;(R126+R128)," * Initial Tests + Repeat Tests Transgender "&amp;$R$19&amp;" "&amp;$R$20&amp;" Is more than Newly Tested and/or referred for testing"&amp;CHAR(10),""),IF(S42&lt;(S126+S128)," * Initial Tests + Repeat Tests Transgender "&amp;$R$19&amp;" "&amp;$S$20&amp;" Is more than Newly Tested and/or referred for testing"&amp;CHAR(10),""),IF(T42&lt;(T126+T128)," * Initial Tests + Repeat Tests Transgender "&amp;$T$19&amp;" "&amp;$T$20&amp;" Is more than Newly Tested and/or referred for testing"&amp;CHAR(10),""),IF(U42&lt;(U126+U128)," * Initial Tests + Repeat Tests Transgender "&amp;$T$19&amp;" "&amp;$U$20&amp;" Is more than Newly Tested and/or referred for testing"&amp;CHAR(10),""),IF(V42&lt;(V126+V128)," * Initial Tests + Repeat Tests Transgender "&amp;$V$19&amp;" "&amp;$V$20&amp;" Is more than Newly Tested and/or referred for testing"&amp;CHAR(10),""),IF(W42&lt;(W126+W128)," * Initial Tests + Repeat Tests Transgender "&amp;$V$19&amp;" "&amp;$W$20&amp;" Is more than Newly Tested and/or referred for testing"&amp;CHAR(10),""),IF(X42&lt;(X126+X128)," * Initial Tests + Repeat Tests Transgender "&amp;$X$19&amp;" "&amp;$X$20&amp;" Is more than Newly Tested and/or referred for testing"&amp;CHAR(10),""),IF(Y42&lt;(Y126+Y128)," * Initial Tests + Repeat Tests Transgender "&amp;$X$19&amp;" "&amp;$Y$20&amp;" Is more than Newly Tested and/or referred for testing"&amp;CHAR(10),""),IF(Z42&lt;(Z126+Z128)," * Initial Tests + Repeat Tests Transgender "&amp;$Z$19&amp;" "&amp;$Z$20&amp;" Is more than Newly Tested and/or referred for testing"&amp;CHAR(10),""),IF(AA42&lt;(AA126+AA128)," * Initial Tests + Repeat Tests Transgender "&amp;$Z$19&amp;" "&amp;$AA$20&amp;" Is more than Newly Tested and/or referred for testing"&amp;CHAR(10),""),IF(AB42&lt;(AB126+AB128)," * Initial Tests + Repeat Tests People in Prison &amp; other clossed settings "&amp;$AB$19&amp;" "&amp;$AB$20&amp;" Is more than Newly Tested and/or referred for testing"&amp;CHAR(10),""))</f>
        <v/>
      </c>
      <c r="AD127" s="675"/>
      <c r="AE127" s="171"/>
      <c r="AF127" s="672"/>
      <c r="AG127" s="158">
        <v>57</v>
      </c>
    </row>
    <row r="128" spans="1:33" s="4" customFormat="1" ht="53.25" customHeight="1">
      <c r="A128" s="726"/>
      <c r="B128" s="224" t="s">
        <v>633</v>
      </c>
      <c r="C128" s="545" t="s">
        <v>265</v>
      </c>
      <c r="D128" s="182"/>
      <c r="E128" s="183"/>
      <c r="F128" s="182"/>
      <c r="G128" s="183"/>
      <c r="H128" s="182"/>
      <c r="I128" s="183"/>
      <c r="J128" s="182"/>
      <c r="K128" s="183"/>
      <c r="L128" s="196"/>
      <c r="M128" s="196"/>
      <c r="N128" s="196"/>
      <c r="O128" s="196"/>
      <c r="P128" s="196"/>
      <c r="Q128" s="196"/>
      <c r="R128" s="196"/>
      <c r="S128" s="196"/>
      <c r="T128" s="196"/>
      <c r="U128" s="196"/>
      <c r="V128" s="196"/>
      <c r="W128" s="196"/>
      <c r="X128" s="196"/>
      <c r="Y128" s="196"/>
      <c r="Z128" s="196"/>
      <c r="AA128" s="196"/>
      <c r="AB128" s="218">
        <f t="shared" ref="AB128:AB133" si="13">SUM(J128:AA128)</f>
        <v>0</v>
      </c>
      <c r="AC128" s="232" t="str">
        <f>CONCATENATE(IF(D129&gt;D128," * Repeat Test and Turned Positive People in prison and other closed settings "&amp;$D$19&amp;" "&amp;$D$20&amp;" is more than Repeat Test People in prison and other closed settings"&amp;CHAR(10),""),IF(E129&gt;E128," * Repeat Test and Turned Positive People in prison and other closed settings "&amp;$D$19&amp;" "&amp;$E$20&amp;" is more than Repeat Test People in prison and other closed settings"&amp;CHAR(10),""),IF(F129&gt;F128," * Repeat Test and Turned Positive People in prison and other closed settings "&amp;$F$19&amp;" "&amp;$F$20&amp;" is more than Repeat Test People in prison and other closed settings"&amp;CHAR(10),""),IF(G129&gt;G128," * Repeat Test and Turned Positive People in prison and other closed settings "&amp;$F$19&amp;" "&amp;$G$20&amp;" is more than Repeat Test People in prison and other closed settings"&amp;CHAR(10),""),IF(H129&gt;H128," * Repeat Test and Turned Positive People in prison and other closed settings "&amp;$H$19&amp;" "&amp;$H$20&amp;" is more than Repeat Test People in prison and other closed settings"&amp;CHAR(10),""),IF(I129&gt;I128," * Repeat Test and Turned Positive People in prison and other closed settings "&amp;$H$19&amp;" "&amp;$I$20&amp;" is more than Repeat Test People in prison and other closed settings"&amp;CHAR(10),""),IF(J129&gt;J128," * Repeat Test and Turned Positive People in prison and other closed settings "&amp;$J$19&amp;" "&amp;$J$20&amp;" is more than Repeat Test People in prison and other closed settings"&amp;CHAR(10),""),IF(K129&gt;K128," * Repeat Test and Turned Positive People in prison and other closed settings "&amp;$J$19&amp;" "&amp;$K$20&amp;" is more than Repeat Test People in prison and other closed settings"&amp;CHAR(10),""),IF(L129&gt;L128," * Repeat Test and Turned Positive People in prison and other closed settings "&amp;$L$19&amp;" "&amp;$L$20&amp;" is more than Repeat Test People in prison and other closed settings"&amp;CHAR(10),""),IF(M129&gt;M128," * Repeat Test and Turned Positive People in prison and other closed settings "&amp;$L$19&amp;" "&amp;$M$20&amp;" is more than Repeat Test People in prison and other closed settings"&amp;CHAR(10),""),IF(N129&gt;N128," * Repeat Test and Turned Positive People in prison and other closed settings "&amp;$N$19&amp;" "&amp;$N$20&amp;" is more than Repeat Test People in prison and other closed settings"&amp;CHAR(10),""),IF(O129&gt;O128," * Repeat Test and Turned Positive People in prison and other closed settings "&amp;$N$19&amp;" "&amp;$O$20&amp;" is more than Repeat Test People in prison and other closed settings"&amp;CHAR(10),""),IF(P129&gt;P128," * Repeat Test and Turned Positive People in prison and other closed settings "&amp;$P$19&amp;" "&amp;$P$20&amp;" is more than Repeat Test People in prison and other closed settings"&amp;CHAR(10),""),IF(Q129&gt;Q128," * Repeat Test and Turned Positive People in prison and other closed settings "&amp;$P$19&amp;" "&amp;$Q$20&amp;" is more than Repeat Test People in prison and other closed settings"&amp;CHAR(10),""),IF(R129&gt;R128," * Repeat Test and Turned Positive People in prison and other closed settings "&amp;$R$19&amp;" "&amp;$R$20&amp;" is more than Repeat Test People in prison and other closed settings"&amp;CHAR(10),""),IF(S129&gt;S128," * Repeat Test and Turned Positive People in prison and other closed settings "&amp;$R$19&amp;" "&amp;$S$20&amp;" is more than Repeat Test People in prison and other closed settings"&amp;CHAR(10),""),IF(T129&gt;T128," * Repeat Test and Turned Positive People in prison and other closed settings "&amp;$T$19&amp;" "&amp;$T$20&amp;" is more than Repeat Test People in prison and other closed settings"&amp;CHAR(10),""),IF(U129&gt;U128," * Repeat Test and Turned Positive People in prison and other closed settings "&amp;$T$19&amp;" "&amp;$U$20&amp;" is more than Repeat Test People in prison and other closed settings"&amp;CHAR(10),""),IF(V129&gt;V128," * Repeat Test and Turned Positive People in prison and other closed settings "&amp;$V$19&amp;" "&amp;$V$20&amp;" is more than Repeat Test People in prison and other closed settings"&amp;CHAR(10),""),IF(W129&gt;W128," * Repeat Test and Turned Positive People in prison and other closed settings "&amp;$V$19&amp;" "&amp;$W$20&amp;" is more than Repeat Test People in prison and other closed settings"&amp;CHAR(10),""),IF(X129&gt;X128," * Repeat Test and Turned Positive People in prison and other closed settings "&amp;$X$19&amp;" "&amp;$X$20&amp;" is more than Repeat Test People in prison and other closed settings"&amp;CHAR(10),""),IF(Y129&gt;Y128," * Repeat Test and Turned Positive People in prison and other closed settings "&amp;$X$19&amp;" "&amp;$Y$20&amp;" is more than Repeat Test People in prison and other closed settings"&amp;CHAR(10),""),IF(Z129&gt;Z128," * Repeat Test and Turned Positive People in prison and other closed settings "&amp;$Z$19&amp;" "&amp;$Z$20&amp;" is more than Repeat Test People in prison and other closed settings"&amp;CHAR(10),""),IF(AA129&gt;AA128," * Repeat Test and Turned Positive People in prison and other closed settings "&amp;$Z$19&amp;" "&amp;$AA$20&amp;" is more than Repeat Test People in prison and other closed settings"&amp;CHAR(10),""))</f>
        <v/>
      </c>
      <c r="AD128" s="675"/>
      <c r="AE128" s="171"/>
      <c r="AF128" s="672"/>
      <c r="AG128" s="158">
        <v>56</v>
      </c>
    </row>
    <row r="129" spans="1:47" s="4" customFormat="1" ht="53.25" customHeight="1" thickBot="1">
      <c r="A129" s="727"/>
      <c r="B129" s="225" t="s">
        <v>636</v>
      </c>
      <c r="C129" s="546" t="s">
        <v>266</v>
      </c>
      <c r="D129" s="177"/>
      <c r="E129" s="178"/>
      <c r="F129" s="177"/>
      <c r="G129" s="178"/>
      <c r="H129" s="177"/>
      <c r="I129" s="178"/>
      <c r="J129" s="177"/>
      <c r="K129" s="178"/>
      <c r="L129" s="221"/>
      <c r="M129" s="221"/>
      <c r="N129" s="221"/>
      <c r="O129" s="221"/>
      <c r="P129" s="221"/>
      <c r="Q129" s="221"/>
      <c r="R129" s="221"/>
      <c r="S129" s="221"/>
      <c r="T129" s="221"/>
      <c r="U129" s="221"/>
      <c r="V129" s="221"/>
      <c r="W129" s="221"/>
      <c r="X129" s="221"/>
      <c r="Y129" s="221"/>
      <c r="Z129" s="221"/>
      <c r="AA129" s="222"/>
      <c r="AB129" s="191">
        <f t="shared" si="13"/>
        <v>0</v>
      </c>
      <c r="AC129" s="232"/>
      <c r="AD129" s="675"/>
      <c r="AE129" s="171"/>
      <c r="AF129" s="672"/>
      <c r="AG129" s="158">
        <v>57</v>
      </c>
    </row>
    <row r="130" spans="1:47" s="4" customFormat="1" ht="53.25" customHeight="1">
      <c r="A130" s="725" t="s">
        <v>76</v>
      </c>
      <c r="B130" s="226" t="s">
        <v>634</v>
      </c>
      <c r="C130" s="545" t="s">
        <v>267</v>
      </c>
      <c r="D130" s="182"/>
      <c r="E130" s="183"/>
      <c r="F130" s="182"/>
      <c r="G130" s="183"/>
      <c r="H130" s="182"/>
      <c r="I130" s="183"/>
      <c r="J130" s="182"/>
      <c r="K130" s="183"/>
      <c r="L130" s="196"/>
      <c r="M130" s="183"/>
      <c r="N130" s="196"/>
      <c r="O130" s="183"/>
      <c r="P130" s="196"/>
      <c r="Q130" s="183"/>
      <c r="R130" s="196"/>
      <c r="S130" s="183"/>
      <c r="T130" s="196"/>
      <c r="U130" s="183"/>
      <c r="V130" s="196"/>
      <c r="W130" s="183"/>
      <c r="X130" s="196"/>
      <c r="Y130" s="183"/>
      <c r="Z130" s="196"/>
      <c r="AA130" s="183"/>
      <c r="AB130" s="218">
        <f t="shared" si="13"/>
        <v>0</v>
      </c>
      <c r="AC130" s="232" t="str">
        <f>CONCATENATE(IF(D131&gt;D130," * Initial Test and Turned Positive MSM "&amp;$D$19&amp;" "&amp;$D$20&amp;" is more than Initial Test MSM"&amp;CHAR(10),""),IF(E131&gt;E130," * Initial Test and Turned Positive MSM "&amp;$D$19&amp;" "&amp;$E$20&amp;" is more than Initial Test MSM"&amp;CHAR(10),""),IF(F131&gt;F130," * Initial Test and Turned Positive MSM "&amp;$F$19&amp;" "&amp;$F$20&amp;" is more than Initial Test MSM"&amp;CHAR(10),""),IF(G131&gt;G130," * Initial Test and Turned Positive MSM "&amp;$F$19&amp;" "&amp;$G$20&amp;" is more than Initial Test MSM"&amp;CHAR(10),""),IF(H131&gt;H130," * Initial Test and Turned Positive MSM "&amp;$H$19&amp;" "&amp;$H$20&amp;" is more than Initial Test MSM"&amp;CHAR(10),""),IF(I131&gt;I130," * Initial Test and Turned Positive MSM "&amp;$H$19&amp;" "&amp;$I$20&amp;" is more than Initial Test MSM"&amp;CHAR(10),""),IF(J131&gt;J130," * Initial Test and Turned Positive MSM "&amp;$J$19&amp;" "&amp;$J$20&amp;" is more than Initial Test MSM"&amp;CHAR(10),""),IF(K131&gt;K130," * Initial Test and Turned Positive MSM "&amp;$J$19&amp;" "&amp;$K$20&amp;" is more than Initial Test MSM"&amp;CHAR(10),""),IF(L131&gt;L130," * Initial Test and Turned Positive MSM "&amp;$L$19&amp;" "&amp;$L$20&amp;" is more than Initial Test MSM"&amp;CHAR(10),""),IF(M131&gt;M130," * Initial Test and Turned Positive MSM "&amp;$L$19&amp;" "&amp;$M$20&amp;" is more than Initial Test MSM"&amp;CHAR(10),""),IF(N131&gt;N130," * Initial Test and Turned Positive MSM "&amp;$N$19&amp;" "&amp;$N$20&amp;" is more than Initial Test MSM"&amp;CHAR(10),""),IF(O131&gt;O130," * Initial Test and Turned Positive MSM "&amp;$N$19&amp;" "&amp;$O$20&amp;" is more than Initial Test MSM"&amp;CHAR(10),""),IF(P131&gt;P130," * Initial Test and Turned Positive MSM "&amp;$P$19&amp;" "&amp;$P$20&amp;" is more than Initial Test MSM"&amp;CHAR(10),""),IF(Q131&gt;Q130," * Initial Test and Turned Positive MSM "&amp;$P$19&amp;" "&amp;$Q$20&amp;" is more than Initial Test MSM"&amp;CHAR(10),""),IF(R131&gt;R130," * Initial Test and Turned Positive MSM "&amp;$R$19&amp;" "&amp;$R$20&amp;" is more than Initial Test MSM"&amp;CHAR(10),""),IF(S131&gt;S130," * Initial Test and Turned Positive MSM "&amp;$R$19&amp;" "&amp;$S$20&amp;" is more than Initial Test MSM"&amp;CHAR(10),""),IF(T131&gt;T130," * Initial Test and Turned Positive MSM "&amp;$T$19&amp;" "&amp;$T$20&amp;" is more than Initial Test MSM"&amp;CHAR(10),""),IF(U131&gt;U130," * Initial Test and Turned Positive MSM "&amp;$T$19&amp;" "&amp;$U$20&amp;" is more than Initial Test MSM"&amp;CHAR(10),""),IF(V131&gt;V130," * Initial Test and Turned Positive MSM "&amp;$V$19&amp;" "&amp;$V$20&amp;" is more than Initial Test MSM"&amp;CHAR(10),""),IF(W131&gt;W130," * Initial Test and Turned Positive MSM "&amp;$V$19&amp;" "&amp;$W$20&amp;" is more than Initial Test MSM"&amp;CHAR(10),""),IF(X131&gt;X130," * Initial Test and Turned Positive MSM "&amp;$X$19&amp;" "&amp;$X$20&amp;" is more than Initial Test MSM"&amp;CHAR(10),""),IF(Y131&gt;Y130," * Initial Test and Turned Positive MSM "&amp;$X$19&amp;" "&amp;$Y$20&amp;" is more than Initial Test MSM"&amp;CHAR(10),""),IF(Z131&gt;Z130," * Initial Test and Turned Positive MSM "&amp;$Z$19&amp;" "&amp;$Z$20&amp;" is more than Initial Test MSM"&amp;CHAR(10),""),IF(AA131&gt;AA130," * Initial Test and Turned Positive MSM "&amp;$Z$19&amp;" "&amp;$AA$20&amp;" is more than Initial Test MSM"&amp;CHAR(10),""))</f>
        <v/>
      </c>
      <c r="AD130" s="675"/>
      <c r="AE130" s="171"/>
      <c r="AF130" s="672"/>
      <c r="AG130" s="158">
        <v>58</v>
      </c>
    </row>
    <row r="131" spans="1:47" s="4" customFormat="1" ht="53.25" customHeight="1" thickBot="1">
      <c r="A131" s="726"/>
      <c r="B131" s="230" t="s">
        <v>635</v>
      </c>
      <c r="C131" s="546" t="s">
        <v>268</v>
      </c>
      <c r="D131" s="177"/>
      <c r="E131" s="178"/>
      <c r="F131" s="177"/>
      <c r="G131" s="178"/>
      <c r="H131" s="177"/>
      <c r="I131" s="178"/>
      <c r="J131" s="177"/>
      <c r="K131" s="178"/>
      <c r="L131" s="221"/>
      <c r="M131" s="178"/>
      <c r="N131" s="221"/>
      <c r="O131" s="178"/>
      <c r="P131" s="221"/>
      <c r="Q131" s="178"/>
      <c r="R131" s="221"/>
      <c r="S131" s="178"/>
      <c r="T131" s="221"/>
      <c r="U131" s="178"/>
      <c r="V131" s="221"/>
      <c r="W131" s="178"/>
      <c r="X131" s="221"/>
      <c r="Y131" s="178"/>
      <c r="Z131" s="221"/>
      <c r="AA131" s="178"/>
      <c r="AB131" s="191">
        <f t="shared" si="13"/>
        <v>0</v>
      </c>
      <c r="AC131" s="232"/>
      <c r="AD131" s="675"/>
      <c r="AE131" s="171"/>
      <c r="AF131" s="672"/>
      <c r="AG131" s="158">
        <v>59</v>
      </c>
    </row>
    <row r="132" spans="1:47" s="4" customFormat="1" ht="53.25" customHeight="1">
      <c r="A132" s="726"/>
      <c r="B132" s="224" t="s">
        <v>633</v>
      </c>
      <c r="C132" s="545" t="s">
        <v>269</v>
      </c>
      <c r="D132" s="182"/>
      <c r="E132" s="183"/>
      <c r="F132" s="182"/>
      <c r="G132" s="183"/>
      <c r="H132" s="182"/>
      <c r="I132" s="183"/>
      <c r="J132" s="182"/>
      <c r="K132" s="183"/>
      <c r="L132" s="196"/>
      <c r="M132" s="183"/>
      <c r="N132" s="196"/>
      <c r="O132" s="183"/>
      <c r="P132" s="196"/>
      <c r="Q132" s="183"/>
      <c r="R132" s="196"/>
      <c r="S132" s="183"/>
      <c r="T132" s="196"/>
      <c r="U132" s="183"/>
      <c r="V132" s="196"/>
      <c r="W132" s="183"/>
      <c r="X132" s="196"/>
      <c r="Y132" s="183"/>
      <c r="Z132" s="196"/>
      <c r="AA132" s="183"/>
      <c r="AB132" s="218">
        <f t="shared" si="13"/>
        <v>0</v>
      </c>
      <c r="AC132" s="232" t="str">
        <f>CONCATENATE(IF(D133&gt;D132," * Repeat Test and Turned Positive MSM "&amp;$D$19&amp;" "&amp;$D$20&amp;" is more than Repeat Test MSM"&amp;CHAR(10),""),IF(E133&gt;E132," * Repeat Test and Turned Positive MSM "&amp;$D$19&amp;" "&amp;$E$20&amp;" is more than Repeat Test MSM"&amp;CHAR(10),""),IF(F133&gt;F132," * Repeat Test and Turned Positive MSM "&amp;$F$19&amp;" "&amp;$F$20&amp;" is more than Repeat Test MSM"&amp;CHAR(10),""),IF(G133&gt;G132," * Repeat Test and Turned Positive MSM "&amp;$F$19&amp;" "&amp;$G$20&amp;" is more than Repeat Test MSM"&amp;CHAR(10),""),IF(H133&gt;H132," * Repeat Test and Turned Positive MSM "&amp;$H$19&amp;" "&amp;$H$20&amp;" is more than Repeat Test MSM"&amp;CHAR(10),""),IF(I133&gt;I132," * Repeat Test and Turned Positive MSM "&amp;$H$19&amp;" "&amp;$I$20&amp;" is more than Repeat Test MSM"&amp;CHAR(10),""),IF(J133&gt;J132," * Repeat Test and Turned Positive MSM "&amp;$J$19&amp;" "&amp;$J$20&amp;" is more than Repeat Test MSM"&amp;CHAR(10),""),IF(K133&gt;K132," * Repeat Test and Turned Positive MSM "&amp;$J$19&amp;" "&amp;$K$20&amp;" is more than Repeat Test MSM"&amp;CHAR(10),""),IF(L133&gt;L132," * Repeat Test and Turned Positive MSM "&amp;$L$19&amp;" "&amp;$L$20&amp;" is more than Repeat Test MSM"&amp;CHAR(10),""),IF(M133&gt;M132," * Repeat Test and Turned Positive MSM "&amp;$L$19&amp;" "&amp;$M$20&amp;" is more than Repeat Test MSM"&amp;CHAR(10),""),IF(N133&gt;N132," * Repeat Test and Turned Positive MSM "&amp;$N$19&amp;" "&amp;$N$20&amp;" is more than Repeat Test MSM"&amp;CHAR(10),""),IF(O133&gt;O132," * Repeat Test and Turned Positive MSM "&amp;$N$19&amp;" "&amp;$O$20&amp;" is more than Repeat Test MSM"&amp;CHAR(10),""),IF(P133&gt;P132," * Repeat Test and Turned Positive MSM "&amp;$P$19&amp;" "&amp;$P$20&amp;" is more than Repeat Test MSM"&amp;CHAR(10),""),IF(Q133&gt;Q132," * Repeat Test and Turned Positive MSM "&amp;$P$19&amp;" "&amp;$Q$20&amp;" is more than Repeat Test MSM"&amp;CHAR(10),""),IF(R133&gt;R132," * Repeat Test and Turned Positive MSM "&amp;$R$19&amp;" "&amp;$R$20&amp;" is more than Repeat Test MSM"&amp;CHAR(10),""),IF(S133&gt;S132," * Repeat Test and Turned Positive MSM "&amp;$R$19&amp;" "&amp;$S$20&amp;" is more than Repeat Test MSM"&amp;CHAR(10),""),IF(T133&gt;T132," * Repeat Test and Turned Positive MSM "&amp;$T$19&amp;" "&amp;$T$20&amp;" is more than Repeat Test MSM"&amp;CHAR(10),""),IF(U133&gt;U132," * Repeat Test and Turned Positive MSM "&amp;$T$19&amp;" "&amp;$U$20&amp;" is more than Repeat Test MSM"&amp;CHAR(10),""),IF(V133&gt;V132," * Repeat Test and Turned Positive MSM "&amp;$V$19&amp;" "&amp;$V$20&amp;" is more than Repeat Test MSM"&amp;CHAR(10),""),IF(W133&gt;W132," * Repeat Test and Turned Positive MSM "&amp;$V$19&amp;" "&amp;$W$20&amp;" is more than Repeat Test MSM"&amp;CHAR(10),""),IF(X133&gt;X132," * Repeat Test and Turned Positive MSM "&amp;$X$19&amp;" "&amp;$X$20&amp;" is more than Repeat Test MSM"&amp;CHAR(10),""),IF(Y133&gt;Y132," * Repeat Test and Turned Positive MSM "&amp;$X$19&amp;" "&amp;$Y$20&amp;" is more than Repeat Test MSM"&amp;CHAR(10),""),IF(Z133&gt;Z132," * Repeat Test and Turned Positive MSM "&amp;$Z$19&amp;" "&amp;$Z$20&amp;" is more than Repeat Test MSM"&amp;CHAR(10),""),IF(AA133&gt;AA132," * Repeat Test and Turned Positive MSM "&amp;$Z$19&amp;" "&amp;$AA$20&amp;" is more than Repeat Test MSM"&amp;CHAR(10),""))</f>
        <v/>
      </c>
      <c r="AD132" s="675"/>
      <c r="AE132" s="171"/>
      <c r="AF132" s="672"/>
      <c r="AG132" s="158">
        <v>58</v>
      </c>
    </row>
    <row r="133" spans="1:47" s="4" customFormat="1" ht="53.25" customHeight="1" thickBot="1">
      <c r="A133" s="727"/>
      <c r="B133" s="225" t="s">
        <v>636</v>
      </c>
      <c r="C133" s="546" t="s">
        <v>270</v>
      </c>
      <c r="D133" s="177"/>
      <c r="E133" s="178"/>
      <c r="F133" s="177"/>
      <c r="G133" s="178"/>
      <c r="H133" s="177"/>
      <c r="I133" s="178"/>
      <c r="J133" s="177"/>
      <c r="K133" s="178"/>
      <c r="L133" s="221"/>
      <c r="M133" s="178"/>
      <c r="N133" s="221"/>
      <c r="O133" s="178"/>
      <c r="P133" s="221"/>
      <c r="Q133" s="178"/>
      <c r="R133" s="221"/>
      <c r="S133" s="178"/>
      <c r="T133" s="221"/>
      <c r="U133" s="178"/>
      <c r="V133" s="221"/>
      <c r="W133" s="178"/>
      <c r="X133" s="221"/>
      <c r="Y133" s="178"/>
      <c r="Z133" s="221"/>
      <c r="AA133" s="178"/>
      <c r="AB133" s="191">
        <f t="shared" si="13"/>
        <v>0</v>
      </c>
      <c r="AC133" s="232" t="str">
        <f>CONCATENATE(IF(D33&lt;(D130+D132)," * Initial Tests + Repeat Tests MSM "&amp;$D$19&amp;" "&amp;$D$20&amp;" Is more than Newly Tested and/or referred for testing"&amp;CHAR(10),""),IF(E33&lt;(E130+E132)," * Initial Tests + Repeat Tests MSM "&amp;$D$19&amp;" "&amp;$E$20&amp;" Is more than Newly Tested and/or referred for testing"&amp;CHAR(10),""),IF(F33&lt;(F130+F132)," * Initial Tests + Repeat Tests MSM "&amp;$F$19&amp;" "&amp;$F$20&amp;" Is more than Newly Tested and/or referred for testing"&amp;CHAR(10),""),IF(G33&lt;(G130+G132)," * Initial Tests + Repeat Tests MSM "&amp;$F$19&amp;" "&amp;$G$20&amp;" Is more than Newly Tested and/or referred for testing"&amp;CHAR(10),""),IF(H33&lt;(H130+H132)," * Initial Tests + Repeat Tests MSM "&amp;$H$19&amp;" "&amp;$H$20&amp;" Is more than Newly Tested and/or referred for testing"&amp;CHAR(10),""),IF(I33&lt;(I130+I132)," * Initial Tests + Repeat Tests MSM "&amp;$H$19&amp;" "&amp;$I$20&amp;" Is more than Newly Tested and/or referred for testing"&amp;CHAR(10),""),IF(J33&lt;(J130+J132)," * Initial Tests + Repeat Tests MSM "&amp;$J$19&amp;" "&amp;$J$20&amp;" Is more than Newly Tested and/or referred for testing"&amp;CHAR(10),""),IF(K33&lt;(K130+K132)," * Initial Tests + Repeat Tests MSM "&amp;$J$19&amp;" "&amp;$K$20&amp;" Is more than Newly Tested and/or referred for testing"&amp;CHAR(10),""),IF(L33&lt;(L130+L132)," * Initial Tests + Repeat Tests MSM "&amp;$L$19&amp;" "&amp;$L$20&amp;" Is more than Newly Tested and/or referred for testing"&amp;CHAR(10),""),IF(M33&lt;(M130+M132)," * Initial Tests + Repeat Tests MSM "&amp;$L$19&amp;" "&amp;$M$20&amp;" Is more than Newly Tested and/or referred for testing"&amp;CHAR(10),""),IF(N33&lt;(N130+N132)," * Initial Tests + Repeat Tests MSM "&amp;$N$19&amp;" "&amp;$N$20&amp;" Is more than Newly Tested and/or referred for testing"&amp;CHAR(10),""),IF(O33&lt;(O130+O132)," * Initial Tests + Repeat Tests MSM "&amp;$N$19&amp;" "&amp;$O$20&amp;" Is more than Newly Tested and/or referred for testing"&amp;CHAR(10),""),IF(P33&lt;(P130+P132)," * Initial Tests + Repeat Tests MSM "&amp;$P$19&amp;" "&amp;$P$20&amp;" Is more than Newly Tested and/or referred for testing"&amp;CHAR(10),""),IF(Q33&lt;(Q130+Q132)," * Initial Tests + Repeat Tests MSM "&amp;$P$19&amp;" "&amp;$Q$20&amp;" Is more than Newly Tested and/or referred for testing"&amp;CHAR(10),""),IF(R33&lt;(R130+R132)," * Initial Tests + Repeat Tests MSM "&amp;$R$19&amp;" "&amp;$R$20&amp;" Is more than Newly Tested and/or referred for testing"&amp;CHAR(10),""),IF(S33&lt;(S130+S132)," * Initial Tests + Repeat Tests MSM "&amp;$R$19&amp;" "&amp;$S$20&amp;" Is more than Newly Tested and/or referred for testing"&amp;CHAR(10),""),IF(T33&lt;(T130+T132)," * Initial Tests + Repeat Tests MSM "&amp;$T$19&amp;" "&amp;$T$20&amp;" Is more than Newly Tested and/or referred for testing"&amp;CHAR(10),""),IF(U33&lt;(U130+U132)," * Initial Tests + Repeat Tests MSM "&amp;$T$19&amp;" "&amp;$U$20&amp;" Is more than Newly Tested and/or referred for testing"&amp;CHAR(10),""),IF(V33&lt;(V130+V132)," * Initial Tests + Repeat Tests MSM "&amp;$V$19&amp;" "&amp;$V$20&amp;" Is more than Newly Tested and/or referred for testing"&amp;CHAR(10),""),IF(W33&lt;(W130+W132)," * Initial Tests + Repeat Tests MSM "&amp;$V$19&amp;" "&amp;$W$20&amp;" Is more than Newly Tested and/or referred for testing"&amp;CHAR(10),""),IF(X33&lt;(X130+X132)," * Initial Tests + Repeat Tests MSM "&amp;$X$19&amp;" "&amp;$X$20&amp;" Is more than Newly Tested and/or referred for testing"&amp;CHAR(10),""),IF(Y33&lt;(Y130+Y132)," * Initial Tests + Repeat Tests MSM "&amp;$X$19&amp;" "&amp;$Y$20&amp;" Is more than Newly Tested and/or referred for testing"&amp;CHAR(10),""),IF(Z33&lt;(Z130+Z132)," * Initial Tests + Repeat Tests MSM "&amp;$Z$19&amp;" "&amp;$Z$20&amp;" Is more than Newly Tested and/or referred for testing"&amp;CHAR(10),""),IF(AA33&lt;(AA130+AA132)," * Initial Tests + Repeat Tests MSM "&amp;$Z$19&amp;" "&amp;$AA$20&amp;" Is more than Newly Tested and/or referred for testing"&amp;CHAR(10),""))</f>
        <v/>
      </c>
      <c r="AD133" s="675"/>
      <c r="AE133" s="171"/>
      <c r="AF133" s="672"/>
      <c r="AG133" s="158">
        <v>59</v>
      </c>
    </row>
    <row r="134" spans="1:47" s="4" customFormat="1" ht="53.25" customHeight="1">
      <c r="A134" s="697" t="s">
        <v>103</v>
      </c>
      <c r="B134" s="226" t="s">
        <v>634</v>
      </c>
      <c r="C134" s="545" t="s">
        <v>271</v>
      </c>
      <c r="D134" s="182"/>
      <c r="E134" s="183"/>
      <c r="F134" s="182"/>
      <c r="G134" s="183"/>
      <c r="H134" s="182"/>
      <c r="I134" s="183"/>
      <c r="J134" s="182"/>
      <c r="K134" s="183"/>
      <c r="L134" s="233"/>
      <c r="M134" s="233"/>
      <c r="N134" s="233"/>
      <c r="O134" s="233"/>
      <c r="P134" s="233"/>
      <c r="Q134" s="233"/>
      <c r="R134" s="233"/>
      <c r="S134" s="233"/>
      <c r="T134" s="233"/>
      <c r="U134" s="233"/>
      <c r="V134" s="233"/>
      <c r="W134" s="233"/>
      <c r="X134" s="233"/>
      <c r="Y134" s="233"/>
      <c r="Z134" s="233"/>
      <c r="AA134" s="234"/>
      <c r="AB134" s="235">
        <f>SUM(D134:AA134)</f>
        <v>0</v>
      </c>
      <c r="AC134" s="236" t="str">
        <f>CONCATENATE(IF(D135&gt;D134," * Initial Test and Turned Positive Mobile Service Modality "&amp;$D$19&amp;" "&amp;$D$20&amp;" is more than Initial Test Mobile Service Modality"&amp;CHAR(10),""),IF(E135&gt;E134," * Initial Test and Turned Positive Mobile Service Modality "&amp;$D$19&amp;" "&amp;$E$20&amp;" is more than Initial Test Mobile Service Modality"&amp;CHAR(10),""),IF(F135&gt;F134," * Initial Test and Turned Positive Mobile Service Modality "&amp;$F$19&amp;" "&amp;$F$20&amp;" is more than Initial Test Mobile Service Modality"&amp;CHAR(10),""),IF(G135&gt;G134," * Initial Test and Turned Positive Mobile Service Modality "&amp;$F$19&amp;" "&amp;$G$20&amp;" is more than Initial Test Mobile Service Modality"&amp;CHAR(10),""),IF(H135&gt;H134," * Initial Test and Turned Positive Mobile Service Modality "&amp;$H$19&amp;" "&amp;$H$20&amp;" is more than Initial Test Mobile Service Modality"&amp;CHAR(10),""),IF(I135&gt;I134," * Initial Test and Turned Positive Mobile Service Modality "&amp;$H$19&amp;" "&amp;$I$20&amp;" is more than Initial Test Mobile Service Modality"&amp;CHAR(10),""),IF(J135&gt;J134," * Initial Test and Turned Positive Mobile Service Modality "&amp;$J$19&amp;" "&amp;$J$20&amp;" is more than Initial Test Mobile Service Modality"&amp;CHAR(10),""),IF(K135&gt;K134," * Initial Test and Turned Positive Mobile Service Modality "&amp;$J$19&amp;" "&amp;$K$20&amp;" is more than Initial Test Mobile Service Modality"&amp;CHAR(10),""),IF(L135&gt;L134," * Initial Test and Turned Positive Mobile Service Modality "&amp;$L$19&amp;" "&amp;$L$20&amp;" is more than Initial Test Mobile Service Modality"&amp;CHAR(10),""),IF(M135&gt;M134," * Initial Test and Turned Positive Mobile Service Modality "&amp;$L$19&amp;" "&amp;$M$20&amp;" is more than Initial Test Mobile Service Modality"&amp;CHAR(10),""),IF(N135&gt;N134," * Initial Test and Turned Positive Mobile Service Modality "&amp;$N$19&amp;" "&amp;$N$20&amp;" is more than Initial Test Mobile Service Modality"&amp;CHAR(10),""),IF(O135&gt;O134," * Initial Test and Turned Positive Mobile Service Modality "&amp;$N$19&amp;" "&amp;$O$20&amp;" is more than Initial Test Mobile Service Modality"&amp;CHAR(10),""),IF(P135&gt;P134," * Initial Test and Turned Positive Mobile Service Modality "&amp;$P$19&amp;" "&amp;$P$20&amp;" is more than Initial Test Mobile Service Modality"&amp;CHAR(10),""),IF(Q135&gt;Q134," * Initial Test and Turned Positive Mobile Service Modality "&amp;$P$19&amp;" "&amp;$Q$20&amp;" is more than Initial Test Mobile Service Modality"&amp;CHAR(10),""),IF(R135&gt;R134," * Initial Test and Turned Positive Mobile Service Modality "&amp;$R$19&amp;" "&amp;$R$20&amp;" is more than Initial Test Mobile Service Modality"&amp;CHAR(10),""),IF(S135&gt;S134," * Initial Test and Turned Positive Mobile Service Modality "&amp;$R$19&amp;" "&amp;$S$20&amp;" is more than Initial Test Mobile Service Modality"&amp;CHAR(10),""),IF(T135&gt;T134," * Initial Test and Turned Positive Mobile Service Modality "&amp;$T$19&amp;" "&amp;$T$20&amp;" is more than Initial Test Mobile Service Modality"&amp;CHAR(10),""),IF(U135&gt;U134," * Initial Test and Turned Positive Mobile Service Modality "&amp;$T$19&amp;" "&amp;$U$20&amp;" is more than Initial Test Mobile Service Modality"&amp;CHAR(10),""),IF(V135&gt;V134," * Initial Test and Turned Positive Mobile Service Modality "&amp;$V$19&amp;" "&amp;$V$20&amp;" is more than Initial Test Mobile Service Modality"&amp;CHAR(10),""),IF(W135&gt;W134," * Initial Test and Turned Positive Mobile Service Modality "&amp;$V$19&amp;" "&amp;$W$20&amp;" is more than Initial Test Mobile Service Modality"&amp;CHAR(10),""),IF(X135&gt;X134," * Initial Test and Turned Positive Mobile Service Modality "&amp;$X$19&amp;" "&amp;$X$20&amp;" is more than Initial Test Mobile Service Modality"&amp;CHAR(10),""),IF(Y135&gt;Y134," * Initial Test and Turned Positive Mobile Service Modality "&amp;$X$19&amp;" "&amp;$Y$20&amp;" is more than Initial Test Mobile Service Modality"&amp;CHAR(10),""),IF(Z135&gt;Z134," * Initial Test and Turned Positive Mobile Service Modality "&amp;$Z$19&amp;" "&amp;$Z$20&amp;" is more than Initial Test Mobile Service Modality"&amp;CHAR(10),""),IF(AA135&gt;AA134," * Initial Test and Turned Positive Mobile Service Modality "&amp;$Z$19&amp;" "&amp;$AA$20&amp;" is more than Initial Test Mobile Service Modality"&amp;CHAR(10),""))</f>
        <v/>
      </c>
      <c r="AD134" s="675"/>
      <c r="AE134" s="237"/>
      <c r="AF134" s="672"/>
      <c r="AG134" s="158">
        <v>60</v>
      </c>
    </row>
    <row r="135" spans="1:47" s="4" customFormat="1" ht="53.25" customHeight="1" thickBot="1">
      <c r="A135" s="698"/>
      <c r="B135" s="230" t="s">
        <v>635</v>
      </c>
      <c r="C135" s="546" t="s">
        <v>272</v>
      </c>
      <c r="D135" s="177"/>
      <c r="E135" s="178"/>
      <c r="F135" s="177"/>
      <c r="G135" s="178"/>
      <c r="H135" s="177"/>
      <c r="I135" s="178"/>
      <c r="J135" s="177"/>
      <c r="K135" s="178"/>
      <c r="L135" s="198"/>
      <c r="M135" s="198"/>
      <c r="N135" s="198"/>
      <c r="O135" s="198"/>
      <c r="P135" s="198"/>
      <c r="Q135" s="198"/>
      <c r="R135" s="198"/>
      <c r="S135" s="198"/>
      <c r="T135" s="198"/>
      <c r="U135" s="198"/>
      <c r="V135" s="198"/>
      <c r="W135" s="198"/>
      <c r="X135" s="198"/>
      <c r="Y135" s="198"/>
      <c r="Z135" s="198"/>
      <c r="AA135" s="238"/>
      <c r="AB135" s="191">
        <f>SUM(D135:AA135)</f>
        <v>0</v>
      </c>
      <c r="AC135" s="232"/>
      <c r="AD135" s="675"/>
      <c r="AE135" s="173"/>
      <c r="AF135" s="672"/>
      <c r="AG135" s="158">
        <v>61</v>
      </c>
    </row>
    <row r="136" spans="1:47" s="4" customFormat="1" ht="53.25" customHeight="1">
      <c r="A136" s="698"/>
      <c r="B136" s="224" t="s">
        <v>633</v>
      </c>
      <c r="C136" s="545" t="s">
        <v>273</v>
      </c>
      <c r="D136" s="182"/>
      <c r="E136" s="183"/>
      <c r="F136" s="182"/>
      <c r="G136" s="183"/>
      <c r="H136" s="182"/>
      <c r="I136" s="183"/>
      <c r="J136" s="182"/>
      <c r="K136" s="183"/>
      <c r="L136" s="233"/>
      <c r="M136" s="233"/>
      <c r="N136" s="233"/>
      <c r="O136" s="233"/>
      <c r="P136" s="233"/>
      <c r="Q136" s="233"/>
      <c r="R136" s="233"/>
      <c r="S136" s="233"/>
      <c r="T136" s="233"/>
      <c r="U136" s="233"/>
      <c r="V136" s="233"/>
      <c r="W136" s="233"/>
      <c r="X136" s="233"/>
      <c r="Y136" s="233"/>
      <c r="Z136" s="233"/>
      <c r="AA136" s="234"/>
      <c r="AB136" s="235">
        <f>SUM(D136:AA136)</f>
        <v>0</v>
      </c>
      <c r="AC136" s="236" t="str">
        <f>CONCATENATE(IF(D137&gt;D136," * Repeat Test and Turned Positive Mobile Service Modality "&amp;$D$19&amp;" "&amp;$D$20&amp;" is more than Repeat Test Mobile Service Modality"&amp;CHAR(10),""),IF(E137&gt;E136," * Repeat Test and Turned Positive Mobile Service Modality "&amp;$D$19&amp;" "&amp;$E$20&amp;" is more than Repeat Test Mobile Service Modality"&amp;CHAR(10),""),IF(F137&gt;F136," * Repeat Test and Turned Positive Mobile Service Modality "&amp;$F$19&amp;" "&amp;$F$20&amp;" is more than Repeat Test Mobile Service Modality"&amp;CHAR(10),""),IF(G137&gt;G136," * Repeat Test and Turned Positive Mobile Service Modality "&amp;$F$19&amp;" "&amp;$G$20&amp;" is more than Repeat Test Mobile Service Modality"&amp;CHAR(10),""),IF(H137&gt;H136," * Repeat Test and Turned Positive Mobile Service Modality "&amp;$H$19&amp;" "&amp;$H$20&amp;" is more than Repeat Test Mobile Service Modality"&amp;CHAR(10),""),IF(I137&gt;I136," * Repeat Test and Turned Positive Mobile Service Modality "&amp;$H$19&amp;" "&amp;$I$20&amp;" is more than Repeat Test Mobile Service Modality"&amp;CHAR(10),""),IF(J137&gt;J136," * Repeat Test and Turned Positive Mobile Service Modality "&amp;$J$19&amp;" "&amp;$J$20&amp;" is more than Repeat Test Mobile Service Modality"&amp;CHAR(10),""),IF(K137&gt;K136," * Repeat Test and Turned Positive Mobile Service Modality "&amp;$J$19&amp;" "&amp;$K$20&amp;" is more than Repeat Test Mobile Service Modality"&amp;CHAR(10),""),IF(L137&gt;L136," * Repeat Test and Turned Positive Mobile Service Modality "&amp;$L$19&amp;" "&amp;$L$20&amp;" is more than Repeat Test Mobile Service Modality"&amp;CHAR(10),""),IF(M137&gt;M136," * Repeat Test and Turned Positive Mobile Service Modality "&amp;$L$19&amp;" "&amp;$M$20&amp;" is more than Repeat Test Mobile Service Modality"&amp;CHAR(10),""),IF(N137&gt;N136," * Repeat Test and Turned Positive Mobile Service Modality "&amp;$N$19&amp;" "&amp;$N$20&amp;" is more than Repeat Test Mobile Service Modality"&amp;CHAR(10),""),IF(O137&gt;O136," * Repeat Test and Turned Positive Mobile Service Modality "&amp;$N$19&amp;" "&amp;$O$20&amp;" is more than Repeat Test Mobile Service Modality"&amp;CHAR(10),""),IF(P137&gt;P136," * Repeat Test and Turned Positive Mobile Service Modality "&amp;$P$19&amp;" "&amp;$P$20&amp;" is more than Repeat Test Mobile Service Modality"&amp;CHAR(10),""),IF(Q137&gt;Q136," * Repeat Test and Turned Positive Mobile Service Modality "&amp;$P$19&amp;" "&amp;$Q$20&amp;" is more than Repeat Test Mobile Service Modality"&amp;CHAR(10),""),IF(R137&gt;R136," * Repeat Test and Turned Positive Mobile Service Modality "&amp;$R$19&amp;" "&amp;$R$20&amp;" is more than Repeat Test Mobile Service Modality"&amp;CHAR(10),""),IF(S137&gt;S136," * Repeat Test and Turned Positive Mobile Service Modality "&amp;$R$19&amp;" "&amp;$S$20&amp;" is more than Repeat Test Mobile Service Modality"&amp;CHAR(10),""),IF(T137&gt;T136," * Repeat Test and Turned Positive Mobile Service Modality "&amp;$T$19&amp;" "&amp;$T$20&amp;" is more than Repeat Test Mobile Service Modality"&amp;CHAR(10),""),IF(U137&gt;U136," * Repeat Test and Turned Positive Mobile Service Modality "&amp;$T$19&amp;" "&amp;$U$20&amp;" is more than Repeat Test Mobile Service Modality"&amp;CHAR(10),""),IF(V137&gt;V136," * Repeat Test and Turned Positive Mobile Service Modality "&amp;$V$19&amp;" "&amp;$V$20&amp;" is more than Repeat Test Mobile Service Modality"&amp;CHAR(10),""),IF(W137&gt;W136," * Repeat Test and Turned Positive Mobile Service Modality "&amp;$V$19&amp;" "&amp;$W$20&amp;" is more than Repeat Test Mobile Service Modality"&amp;CHAR(10),""),IF(X137&gt;X136," * Repeat Test and Turned Positive Mobile Service Modality "&amp;$X$19&amp;" "&amp;$X$20&amp;" is more than Repeat Test Mobile Service Modality"&amp;CHAR(10),""),IF(Y137&gt;Y136," * Repeat Test and Turned Positive Mobile Service Modality "&amp;$X$19&amp;" "&amp;$Y$20&amp;" is more than Repeat Test Mobile Service Modality"&amp;CHAR(10),""),IF(Z137&gt;Z136," * Repeat Test and Turned Positive Mobile Service Modality "&amp;$Z$19&amp;" "&amp;$Z$20&amp;" is more than Repeat Test Mobile Service Modality"&amp;CHAR(10),""),IF(AA137&gt;AA136," * Repeat Test and Turned Positive Mobile Service Modality "&amp;$Z$19&amp;" "&amp;$AA$20&amp;" is more than Repeat Test Mobile Service Modality"&amp;CHAR(10),""))</f>
        <v/>
      </c>
      <c r="AD136" s="675"/>
      <c r="AE136" s="237"/>
      <c r="AF136" s="672"/>
      <c r="AG136" s="158">
        <v>60</v>
      </c>
    </row>
    <row r="137" spans="1:47" s="4" customFormat="1" ht="53.25" customHeight="1" thickBot="1">
      <c r="A137" s="701"/>
      <c r="B137" s="225" t="s">
        <v>636</v>
      </c>
      <c r="C137" s="546" t="s">
        <v>274</v>
      </c>
      <c r="D137" s="177"/>
      <c r="E137" s="178"/>
      <c r="F137" s="177"/>
      <c r="G137" s="178"/>
      <c r="H137" s="177"/>
      <c r="I137" s="178"/>
      <c r="J137" s="177"/>
      <c r="K137" s="178"/>
      <c r="L137" s="198"/>
      <c r="M137" s="198"/>
      <c r="N137" s="198"/>
      <c r="O137" s="198"/>
      <c r="P137" s="198"/>
      <c r="Q137" s="198"/>
      <c r="R137" s="198"/>
      <c r="S137" s="198"/>
      <c r="T137" s="198"/>
      <c r="U137" s="198"/>
      <c r="V137" s="198"/>
      <c r="W137" s="198"/>
      <c r="X137" s="198"/>
      <c r="Y137" s="198"/>
      <c r="Z137" s="198"/>
      <c r="AA137" s="238"/>
      <c r="AB137" s="191">
        <f t="shared" ref="AB137:AB147" si="14">SUM(D137:AA137)</f>
        <v>0</v>
      </c>
      <c r="AC137" s="232"/>
      <c r="AD137" s="675"/>
      <c r="AE137" s="173"/>
      <c r="AF137" s="672"/>
      <c r="AG137" s="158">
        <v>61</v>
      </c>
    </row>
    <row r="138" spans="1:47" s="4" customFormat="1" ht="53.25" customHeight="1">
      <c r="A138" s="697" t="s">
        <v>104</v>
      </c>
      <c r="B138" s="226" t="s">
        <v>634</v>
      </c>
      <c r="C138" s="545" t="s">
        <v>275</v>
      </c>
      <c r="D138" s="182"/>
      <c r="E138" s="183"/>
      <c r="F138" s="182"/>
      <c r="G138" s="183"/>
      <c r="H138" s="182"/>
      <c r="I138" s="183"/>
      <c r="J138" s="182"/>
      <c r="K138" s="183"/>
      <c r="L138" s="239"/>
      <c r="M138" s="239"/>
      <c r="N138" s="239"/>
      <c r="O138" s="239"/>
      <c r="P138" s="239"/>
      <c r="Q138" s="239"/>
      <c r="R138" s="239"/>
      <c r="S138" s="239"/>
      <c r="T138" s="239"/>
      <c r="U138" s="239"/>
      <c r="V138" s="239"/>
      <c r="W138" s="239"/>
      <c r="X138" s="239"/>
      <c r="Y138" s="239"/>
      <c r="Z138" s="239"/>
      <c r="AA138" s="240"/>
      <c r="AB138" s="218">
        <f t="shared" si="14"/>
        <v>0</v>
      </c>
      <c r="AC138" s="232" t="str">
        <f>CONCATENATE(IF(D139&gt;D138," * Initial Test and Turned Positive VCT Service Modality "&amp;$D$19&amp;" "&amp;$D$20&amp;" is more than Initial Test VCT Service Modality"&amp;CHAR(10),""),IF(E139&gt;E138," * Initial Test and Turned Positive VCT Service Modality "&amp;$D$19&amp;" "&amp;$E$20&amp;" is more than Initial Test VCT Service Modality"&amp;CHAR(10),""),IF(F139&gt;F138," * Initial Test and Turned Positive VCT Service Modality "&amp;$F$19&amp;" "&amp;$F$20&amp;" is more than Initial Test VCT Service Modality"&amp;CHAR(10),""),IF(G139&gt;G138," * Initial Test and Turned Positive VCT Service Modality "&amp;$F$19&amp;" "&amp;$G$20&amp;" is more than Initial Test VCT Service Modality"&amp;CHAR(10),""),IF(H139&gt;H138," * Initial Test and Turned Positive VCT Service Modality "&amp;$H$19&amp;" "&amp;$H$20&amp;" is more than Initial Test VCT Service Modality"&amp;CHAR(10),""),IF(I139&gt;I138," * Initial Test and Turned Positive VCT Service Modality "&amp;$H$19&amp;" "&amp;$I$20&amp;" is more than Initial Test VCT Service Modality"&amp;CHAR(10),""),IF(J139&gt;J138," * Initial Test and Turned Positive VCT Service Modality "&amp;$J$19&amp;" "&amp;$J$20&amp;" is more than Initial Test VCT Service Modality"&amp;CHAR(10),""),IF(K139&gt;K138," * Initial Test and Turned Positive VCT Service Modality "&amp;$J$19&amp;" "&amp;$K$20&amp;" is more than Initial Test VCT Service Modality"&amp;CHAR(10),""),IF(L139&gt;L138," * Initial Test and Turned Positive VCT Service Modality "&amp;$L$19&amp;" "&amp;$L$20&amp;" is more than Initial Test VCT Service Modality"&amp;CHAR(10),""),IF(M139&gt;M138," * Initial Test and Turned Positive VCT Service Modality "&amp;$L$19&amp;" "&amp;$M$20&amp;" is more than Initial Test VCT Service Modality"&amp;CHAR(10),""),IF(N139&gt;N138," * Initial Test and Turned Positive VCT Service Modality "&amp;$N$19&amp;" "&amp;$N$20&amp;" is more than Initial Test VCT Service Modality"&amp;CHAR(10),""),IF(O139&gt;O138," * Initial Test and Turned Positive VCT Service Modality "&amp;$N$19&amp;" "&amp;$O$20&amp;" is more than Initial Test VCT Service Modality"&amp;CHAR(10),""),IF(P139&gt;P138," * Initial Test and Turned Positive VCT Service Modality "&amp;$P$19&amp;" "&amp;$P$20&amp;" is more than Initial Test VCT Service Modality"&amp;CHAR(10),""),IF(Q139&gt;Q138," * Initial Test and Turned Positive VCT Service Modality "&amp;$P$19&amp;" "&amp;$Q$20&amp;" is more than Initial Test VCT Service Modality"&amp;CHAR(10),""),IF(R139&gt;R138," * Initial Test and Turned Positive VCT Service Modality "&amp;$R$19&amp;" "&amp;$R$20&amp;" is more than Initial Test VCT Service Modality"&amp;CHAR(10),""),IF(S139&gt;S138," * Initial Test and Turned Positive VCT Service Modality "&amp;$R$19&amp;" "&amp;$S$20&amp;" is more than Initial Test VCT Service Modality"&amp;CHAR(10),""),IF(T139&gt;T138," * Initial Test and Turned Positive VCT Service Modality "&amp;$T$19&amp;" "&amp;$T$20&amp;" is more than Initial Test VCT Service Modality"&amp;CHAR(10),""),IF(U139&gt;U138," * Initial Test and Turned Positive VCT Service Modality "&amp;$T$19&amp;" "&amp;$U$20&amp;" is more than Initial Test VCT Service Modality"&amp;CHAR(10),""),IF(V139&gt;V138," * Initial Test and Turned Positive VCT Service Modality "&amp;$V$19&amp;" "&amp;$V$20&amp;" is more than Initial Test VCT Service Modality"&amp;CHAR(10),""),IF(W139&gt;W138," * Initial Test and Turned Positive VCT Service Modality "&amp;$V$19&amp;" "&amp;$W$20&amp;" is more than Initial Test VCT Service Modality"&amp;CHAR(10),""),IF(X139&gt;X138," * Initial Test and Turned Positive VCT Service Modality "&amp;$X$19&amp;" "&amp;$X$20&amp;" is more than Initial Test VCT Service Modality"&amp;CHAR(10),""),IF(Y139&gt;Y138," * Initial Test and Turned Positive VCT Service Modality "&amp;$X$19&amp;" "&amp;$Y$20&amp;" is more than Initial Test VCT Service Modality"&amp;CHAR(10),""),IF(Z139&gt;Z138," * Initial Test and Turned Positive VCT Service Modality "&amp;$Z$19&amp;" "&amp;$Z$20&amp;" is more than Initial Test VCT Service Modality"&amp;CHAR(10),""),IF(AA139&gt;AA138," * Initial Test and Turned Positive VCT Service Modality "&amp;$Z$19&amp;" "&amp;$AA$20&amp;" is more than Initial Test VCT Service Modality"&amp;CHAR(10),""))</f>
        <v/>
      </c>
      <c r="AD138" s="675"/>
      <c r="AE138" s="171"/>
      <c r="AF138" s="672"/>
      <c r="AG138" s="158">
        <v>62</v>
      </c>
    </row>
    <row r="139" spans="1:47" s="14" customFormat="1" ht="53.25" customHeight="1" thickBot="1">
      <c r="A139" s="698"/>
      <c r="B139" s="230" t="s">
        <v>635</v>
      </c>
      <c r="C139" s="546" t="s">
        <v>276</v>
      </c>
      <c r="D139" s="177"/>
      <c r="E139" s="178"/>
      <c r="F139" s="177"/>
      <c r="G139" s="178"/>
      <c r="H139" s="177"/>
      <c r="I139" s="178"/>
      <c r="J139" s="177"/>
      <c r="K139" s="178"/>
      <c r="L139" s="241"/>
      <c r="M139" s="241"/>
      <c r="N139" s="241"/>
      <c r="O139" s="241"/>
      <c r="P139" s="241"/>
      <c r="Q139" s="241"/>
      <c r="R139" s="241"/>
      <c r="S139" s="241"/>
      <c r="T139" s="241"/>
      <c r="U139" s="241"/>
      <c r="V139" s="241"/>
      <c r="W139" s="241"/>
      <c r="X139" s="241"/>
      <c r="Y139" s="241"/>
      <c r="Z139" s="241"/>
      <c r="AA139" s="242"/>
      <c r="AB139" s="191">
        <f t="shared" si="14"/>
        <v>0</v>
      </c>
      <c r="AC139" s="232"/>
      <c r="AD139" s="675"/>
      <c r="AE139" s="171"/>
      <c r="AF139" s="672"/>
      <c r="AG139" s="158">
        <v>63</v>
      </c>
      <c r="AH139" s="4"/>
      <c r="AI139" s="4"/>
      <c r="AJ139" s="4"/>
      <c r="AK139" s="4"/>
      <c r="AL139" s="4"/>
      <c r="AM139" s="4"/>
      <c r="AN139" s="4"/>
      <c r="AO139" s="4"/>
      <c r="AP139" s="4"/>
      <c r="AQ139" s="4"/>
      <c r="AR139" s="4"/>
      <c r="AS139" s="4"/>
      <c r="AT139" s="4"/>
      <c r="AU139" s="4"/>
    </row>
    <row r="140" spans="1:47" s="14" customFormat="1" ht="53.25" customHeight="1">
      <c r="A140" s="698"/>
      <c r="B140" s="224" t="s">
        <v>633</v>
      </c>
      <c r="C140" s="545" t="s">
        <v>277</v>
      </c>
      <c r="D140" s="182"/>
      <c r="E140" s="183"/>
      <c r="F140" s="182"/>
      <c r="G140" s="183"/>
      <c r="H140" s="182"/>
      <c r="I140" s="183"/>
      <c r="J140" s="182"/>
      <c r="K140" s="183"/>
      <c r="L140" s="239"/>
      <c r="M140" s="239"/>
      <c r="N140" s="239"/>
      <c r="O140" s="239"/>
      <c r="P140" s="239"/>
      <c r="Q140" s="239"/>
      <c r="R140" s="239"/>
      <c r="S140" s="239"/>
      <c r="T140" s="239"/>
      <c r="U140" s="239"/>
      <c r="V140" s="239"/>
      <c r="W140" s="239"/>
      <c r="X140" s="239"/>
      <c r="Y140" s="239"/>
      <c r="Z140" s="239"/>
      <c r="AA140" s="240"/>
      <c r="AB140" s="218">
        <f t="shared" ref="AB140:AB145" si="15">SUM(D140:AA140)</f>
        <v>0</v>
      </c>
      <c r="AC140" s="232" t="str">
        <f>CONCATENATE(IF(D141&gt;D140," * Repeat Test and Turned Positive VCT Service Modality "&amp;$D$19&amp;" "&amp;$D$20&amp;" is more than Repeat Test VCT Service Modality"&amp;CHAR(10),""),IF(E141&gt;E140," * Repeat Test and Turned Positive VCT Service Modality "&amp;$D$19&amp;" "&amp;$E$20&amp;" is more than Repeat Test VCT Service Modality"&amp;CHAR(10),""),IF(F141&gt;F140," * Repeat Test and Turned Positive VCT Service Modality "&amp;$F$19&amp;" "&amp;$F$20&amp;" is more than Repeat Test VCT Service Modality"&amp;CHAR(10),""),IF(G141&gt;G140," * Repeat Test and Turned Positive VCT Service Modality "&amp;$F$19&amp;" "&amp;$G$20&amp;" is more than Repeat Test VCT Service Modality"&amp;CHAR(10),""),IF(H141&gt;H140," * Repeat Test and Turned Positive VCT Service Modality "&amp;$H$19&amp;" "&amp;$H$20&amp;" is more than Repeat Test VCT Service Modality"&amp;CHAR(10),""),IF(I141&gt;I140," * Repeat Test and Turned Positive VCT Service Modality "&amp;$H$19&amp;" "&amp;$I$20&amp;" is more than Repeat Test VCT Service Modality"&amp;CHAR(10),""),IF(J141&gt;J140," * Repeat Test and Turned Positive VCT Service Modality "&amp;$J$19&amp;" "&amp;$J$20&amp;" is more than Repeat Test VCT Service Modality"&amp;CHAR(10),""),IF(K141&gt;K140," * Repeat Test and Turned Positive VCT Service Modality "&amp;$J$19&amp;" "&amp;$K$20&amp;" is more than Repeat Test VCT Service Modality"&amp;CHAR(10),""),IF(L141&gt;L140," * Repeat Test and Turned Positive VCT Service Modality "&amp;$L$19&amp;" "&amp;$L$20&amp;" is more than Repeat Test VCT Service Modality"&amp;CHAR(10),""),IF(M141&gt;M140," * Repeat Test and Turned Positive VCT Service Modality "&amp;$L$19&amp;" "&amp;$M$20&amp;" is more than Repeat Test VCT Service Modality"&amp;CHAR(10),""),IF(N141&gt;N140," * Repeat Test and Turned Positive VCT Service Modality "&amp;$N$19&amp;" "&amp;$N$20&amp;" is more than Repeat Test VCT Service Modality"&amp;CHAR(10),""),IF(O141&gt;O140," * Repeat Test and Turned Positive VCT Service Modality "&amp;$N$19&amp;" "&amp;$O$20&amp;" is more than Repeat Test VCT Service Modality"&amp;CHAR(10),""),IF(P141&gt;P140," * Repeat Test and Turned Positive VCT Service Modality "&amp;$P$19&amp;" "&amp;$P$20&amp;" is more than Repeat Test VCT Service Modality"&amp;CHAR(10),""),IF(Q141&gt;Q140," * Repeat Test and Turned Positive VCT Service Modality "&amp;$P$19&amp;" "&amp;$Q$20&amp;" is more than Repeat Test VCT Service Modality"&amp;CHAR(10),""),IF(R141&gt;R140," * Repeat Test and Turned Positive VCT Service Modality "&amp;$R$19&amp;" "&amp;$R$20&amp;" is more than Repeat Test VCT Service Modality"&amp;CHAR(10),""),IF(S141&gt;S140," * Repeat Test and Turned Positive VCT Service Modality "&amp;$R$19&amp;" "&amp;$S$20&amp;" is more than Repeat Test VCT Service Modality"&amp;CHAR(10),""),IF(T141&gt;T140," * Repeat Test and Turned Positive VCT Service Modality "&amp;$T$19&amp;" "&amp;$T$20&amp;" is more than Repeat Test VCT Service Modality"&amp;CHAR(10),""),IF(U141&gt;U140," * Repeat Test and Turned Positive VCT Service Modality "&amp;$T$19&amp;" "&amp;$U$20&amp;" is more than Repeat Test VCT Service Modality"&amp;CHAR(10),""),IF(V141&gt;V140," * Repeat Test and Turned Positive VCT Service Modality "&amp;$V$19&amp;" "&amp;$V$20&amp;" is more than Repeat Test VCT Service Modality"&amp;CHAR(10),""),IF(W141&gt;W140," * Repeat Test and Turned Positive VCT Service Modality "&amp;$V$19&amp;" "&amp;$W$20&amp;" is more than Repeat Test VCT Service Modality"&amp;CHAR(10),""),IF(X141&gt;X140," * Repeat Test and Turned Positive VCT Service Modality "&amp;$X$19&amp;" "&amp;$X$20&amp;" is more than Repeat Test VCT Service Modality"&amp;CHAR(10),""),IF(Y141&gt;Y140," * Repeat Test and Turned Positive VCT Service Modality "&amp;$X$19&amp;" "&amp;$Y$20&amp;" is more than Repeat Test VCT Service Modality"&amp;CHAR(10),""),IF(Z141&gt;Z140," * Repeat Test and Turned Positive VCT Service Modality "&amp;$Z$19&amp;" "&amp;$Z$20&amp;" is more than Repeat Test VCT Service Modality"&amp;CHAR(10),""),IF(AA141&gt;AA140," * Repeat Test and Turned Positive VCT Service Modality "&amp;$Z$19&amp;" "&amp;$AA$20&amp;" is more than Repeat Test VCT Service Modality"&amp;CHAR(10),""))</f>
        <v/>
      </c>
      <c r="AD140" s="675"/>
      <c r="AE140" s="171"/>
      <c r="AF140" s="672"/>
      <c r="AG140" s="158">
        <v>62</v>
      </c>
      <c r="AH140" s="4"/>
      <c r="AI140" s="4"/>
      <c r="AJ140" s="4"/>
      <c r="AK140" s="4"/>
      <c r="AL140" s="4"/>
      <c r="AM140" s="4"/>
      <c r="AN140" s="4"/>
      <c r="AO140" s="4"/>
      <c r="AP140" s="4"/>
      <c r="AQ140" s="4"/>
      <c r="AR140" s="4"/>
      <c r="AS140" s="4"/>
      <c r="AT140" s="4"/>
      <c r="AU140" s="4"/>
    </row>
    <row r="141" spans="1:47" s="14" customFormat="1" ht="53.25" customHeight="1" thickBot="1">
      <c r="A141" s="701"/>
      <c r="B141" s="225" t="s">
        <v>636</v>
      </c>
      <c r="C141" s="546" t="s">
        <v>278</v>
      </c>
      <c r="D141" s="177"/>
      <c r="E141" s="178"/>
      <c r="F141" s="177"/>
      <c r="G141" s="178"/>
      <c r="H141" s="177"/>
      <c r="I141" s="178"/>
      <c r="J141" s="177"/>
      <c r="K141" s="178"/>
      <c r="L141" s="241"/>
      <c r="M141" s="241"/>
      <c r="N141" s="241"/>
      <c r="O141" s="241"/>
      <c r="P141" s="241"/>
      <c r="Q141" s="241"/>
      <c r="R141" s="241"/>
      <c r="S141" s="241"/>
      <c r="T141" s="241"/>
      <c r="U141" s="241"/>
      <c r="V141" s="241"/>
      <c r="W141" s="241"/>
      <c r="X141" s="241"/>
      <c r="Y141" s="241"/>
      <c r="Z141" s="241"/>
      <c r="AA141" s="242"/>
      <c r="AB141" s="191">
        <f t="shared" si="15"/>
        <v>0</v>
      </c>
      <c r="AC141" s="232"/>
      <c r="AD141" s="675"/>
      <c r="AE141" s="171"/>
      <c r="AF141" s="672"/>
      <c r="AG141" s="158">
        <v>63</v>
      </c>
      <c r="AH141" s="4"/>
      <c r="AI141" s="4"/>
      <c r="AJ141" s="4"/>
      <c r="AK141" s="4"/>
      <c r="AL141" s="4"/>
      <c r="AM141" s="4"/>
      <c r="AN141" s="4"/>
      <c r="AO141" s="4"/>
      <c r="AP141" s="4"/>
      <c r="AQ141" s="4"/>
      <c r="AR141" s="4"/>
      <c r="AS141" s="4"/>
      <c r="AT141" s="4"/>
      <c r="AU141" s="4"/>
    </row>
    <row r="142" spans="1:47" s="14" customFormat="1" ht="53.25" customHeight="1">
      <c r="A142" s="697" t="s">
        <v>105</v>
      </c>
      <c r="B142" s="226" t="s">
        <v>634</v>
      </c>
      <c r="C142" s="545" t="s">
        <v>279</v>
      </c>
      <c r="D142" s="182"/>
      <c r="E142" s="183"/>
      <c r="F142" s="182"/>
      <c r="G142" s="183"/>
      <c r="H142" s="182"/>
      <c r="I142" s="183"/>
      <c r="J142" s="182"/>
      <c r="K142" s="183"/>
      <c r="L142" s="243"/>
      <c r="M142" s="243"/>
      <c r="N142" s="243"/>
      <c r="O142" s="243"/>
      <c r="P142" s="243"/>
      <c r="Q142" s="243"/>
      <c r="R142" s="243"/>
      <c r="S142" s="243"/>
      <c r="T142" s="243"/>
      <c r="U142" s="243"/>
      <c r="V142" s="243"/>
      <c r="W142" s="243"/>
      <c r="X142" s="243"/>
      <c r="Y142" s="243"/>
      <c r="Z142" s="243"/>
      <c r="AA142" s="244"/>
      <c r="AB142" s="218">
        <f t="shared" si="15"/>
        <v>0</v>
      </c>
      <c r="AC142" s="232" t="str">
        <f>CONCATENATE(IF(D143&gt;D142," *Initial Test and Turned Positive  Other Service Modality "&amp;$D$19&amp;" "&amp;$D$20&amp;" is more than Initial Test Other Service Modality"&amp;CHAR(10),""),IF(E143&gt;E142," *Initial Test and Turned Positive  Other Service Modality "&amp;$D$19&amp;" "&amp;$E$20&amp;" is more than Initial Test Other Service Modality"&amp;CHAR(10),""),IF(F143&gt;F142," *Initial Test and Turned Positive  Other Service Modality "&amp;$F$19&amp;" "&amp;$F$20&amp;" is more than Initial Test Other Service Modality"&amp;CHAR(10),""),IF(G143&gt;G142," *Initial Test and Turned Positive  Other Service Modality "&amp;$F$19&amp;" "&amp;$G$20&amp;" is more than Initial Test Other Service Modality"&amp;CHAR(10),""),IF(H143&gt;H142," *Initial Test and Turned Positive  Other Service Modality "&amp;$H$19&amp;" "&amp;$H$20&amp;" is more than Initial Test Other Service Modality"&amp;CHAR(10),""),IF(I143&gt;I142," *Initial Test and Turned Positive  Other Service Modality "&amp;$H$19&amp;" "&amp;$I$20&amp;" is more than Initial Test Other Service Modality"&amp;CHAR(10),""),IF(J143&gt;J142," *Initial Test and Turned Positive  Other Service Modality "&amp;$J$19&amp;" "&amp;$J$20&amp;" is more than Initial Test Other Service Modality"&amp;CHAR(10),""),IF(K143&gt;K142," *Initial Test and Turned Positive  Other Service Modality "&amp;$J$19&amp;" "&amp;$K$20&amp;" is more than Initial Test Other Service Modality"&amp;CHAR(10),""),IF(L143&gt;L142," *Initial Test and Turned Positive  Other Service Modality "&amp;$L$19&amp;" "&amp;$L$20&amp;" is more than Initial Test Other Service Modality"&amp;CHAR(10),""),IF(M143&gt;M142," *Initial Test and Turned Positive  Other Service Modality "&amp;$L$19&amp;" "&amp;$M$20&amp;" is more than Initial Test Other Service Modality"&amp;CHAR(10),""),IF(N143&gt;N142," *Initial Test and Turned Positive  Other Service Modality "&amp;$N$19&amp;" "&amp;$N$20&amp;" is more than Initial Test Other Service Modality"&amp;CHAR(10),""),IF(O143&gt;O142," *Initial Test and Turned Positive  Other Service Modality "&amp;$N$19&amp;" "&amp;$O$20&amp;" is more than Initial Test Other Service Modality"&amp;CHAR(10),""),IF(P143&gt;P142," *Initial Test and Turned Positive  Other Service Modality "&amp;$P$19&amp;" "&amp;$P$20&amp;" is more than Initial Test Other Service Modality"&amp;CHAR(10),""),IF(Q143&gt;Q142," *Initial Test and Turned Positive  Other Service Modality "&amp;$P$19&amp;" "&amp;$Q$20&amp;" is more than Initial Test Other Service Modality"&amp;CHAR(10),""),IF(R143&gt;R142," *Initial Test and Turned Positive  Other Service Modality "&amp;$R$19&amp;" "&amp;$R$20&amp;" is more than Initial Test Other Service Modality"&amp;CHAR(10),""),IF(S143&gt;S142," *Initial Test and Turned Positive  Other Service Modality "&amp;$R$19&amp;" "&amp;$S$20&amp;" is more than Initial Test Other Service Modality"&amp;CHAR(10),""),IF(T143&gt;T142," *Initial Test and Turned Positive  Other Service Modality "&amp;$T$19&amp;" "&amp;$T$20&amp;" is more than Initial Test Other Service Modality"&amp;CHAR(10),""),IF(U143&gt;U142," *Initial Test and Turned Positive  Other Service Modality "&amp;$T$19&amp;" "&amp;$U$20&amp;" is more than Initial Test Other Service Modality"&amp;CHAR(10),""),IF(V143&gt;V142," *Initial Test and Turned Positive  Other Service Modality "&amp;$V$19&amp;" "&amp;$V$20&amp;" is more than Initial Test Other Service Modality"&amp;CHAR(10),""),IF(W143&gt;W142," *Initial Test and Turned Positive  Other Service Modality "&amp;$V$19&amp;" "&amp;$W$20&amp;" is more than Initial Test Other Service Modality"&amp;CHAR(10),""),IF(X143&gt;X142," *Initial Test and Turned Positive  Other Service Modality "&amp;$X$19&amp;" "&amp;$X$20&amp;" is more than Initial Test Other Service Modality"&amp;CHAR(10),""),IF(Y143&gt;Y142," *Initial Test and Turned Positive  Other Service Modality "&amp;$X$19&amp;" "&amp;$Y$20&amp;" is more than Initial Test Other Service Modality"&amp;CHAR(10),""),IF(Z143&gt;Z142," *Initial Test and Turned Positive  Other Service Modality "&amp;$Z$19&amp;" "&amp;$Z$20&amp;" is more than Initial Test Other Service Modality"&amp;CHAR(10),""),IF(AA143&gt;AA142," *Initial Test and Turned Positive  Other Service Modality "&amp;$Z$19&amp;" "&amp;$AA$20&amp;" is more than Initial Test Other Service Modality"&amp;CHAR(10),""))</f>
        <v/>
      </c>
      <c r="AD142" s="675"/>
      <c r="AE142" s="171"/>
      <c r="AF142" s="672"/>
      <c r="AG142" s="158">
        <v>64</v>
      </c>
    </row>
    <row r="143" spans="1:47" s="14" customFormat="1" ht="53.25" customHeight="1" thickBot="1">
      <c r="A143" s="698"/>
      <c r="B143" s="230" t="s">
        <v>635</v>
      </c>
      <c r="C143" s="546" t="s">
        <v>280</v>
      </c>
      <c r="D143" s="177"/>
      <c r="E143" s="178"/>
      <c r="F143" s="177"/>
      <c r="G143" s="178"/>
      <c r="H143" s="177"/>
      <c r="I143" s="178"/>
      <c r="J143" s="177"/>
      <c r="K143" s="178"/>
      <c r="L143" s="245"/>
      <c r="M143" s="245"/>
      <c r="N143" s="245"/>
      <c r="O143" s="245"/>
      <c r="P143" s="245"/>
      <c r="Q143" s="245"/>
      <c r="R143" s="245"/>
      <c r="S143" s="245"/>
      <c r="T143" s="245"/>
      <c r="U143" s="245"/>
      <c r="V143" s="245"/>
      <c r="W143" s="245"/>
      <c r="X143" s="245"/>
      <c r="Y143" s="245"/>
      <c r="Z143" s="245"/>
      <c r="AA143" s="246"/>
      <c r="AB143" s="191">
        <f t="shared" si="15"/>
        <v>0</v>
      </c>
      <c r="AC143" s="232"/>
      <c r="AD143" s="675"/>
      <c r="AE143" s="171"/>
      <c r="AF143" s="672"/>
      <c r="AG143" s="158">
        <v>65</v>
      </c>
    </row>
    <row r="144" spans="1:47" s="14" customFormat="1" ht="53.25" customHeight="1">
      <c r="A144" s="698"/>
      <c r="B144" s="224" t="s">
        <v>633</v>
      </c>
      <c r="C144" s="545" t="s">
        <v>281</v>
      </c>
      <c r="D144" s="182"/>
      <c r="E144" s="183"/>
      <c r="F144" s="182"/>
      <c r="G144" s="183"/>
      <c r="H144" s="182"/>
      <c r="I144" s="183"/>
      <c r="J144" s="182"/>
      <c r="K144" s="183"/>
      <c r="L144" s="243"/>
      <c r="M144" s="243"/>
      <c r="N144" s="243"/>
      <c r="O144" s="243"/>
      <c r="P144" s="243"/>
      <c r="Q144" s="243"/>
      <c r="R144" s="243"/>
      <c r="S144" s="243"/>
      <c r="T144" s="243"/>
      <c r="U144" s="243"/>
      <c r="V144" s="243"/>
      <c r="W144" s="243"/>
      <c r="X144" s="243"/>
      <c r="Y144" s="243"/>
      <c r="Z144" s="243"/>
      <c r="AA144" s="244"/>
      <c r="AB144" s="218">
        <f t="shared" si="15"/>
        <v>0</v>
      </c>
      <c r="AC144" s="232" t="str">
        <f>CONCATENATE(IF(D145&gt;D144," *Repeat Test and Turned Positive  Other Service Modality "&amp;$D$19&amp;" "&amp;$D$20&amp;" is more than Repeat Test Other Service Modality"&amp;CHAR(10),""),IF(E145&gt;E144," *Repeat Test and Turned Positive  Other Service Modality "&amp;$D$19&amp;" "&amp;$E$20&amp;" is more than Repeat Test Other Service Modality"&amp;CHAR(10),""),IF(F145&gt;F144," *Repeat Test and Turned Positive  Other Service Modality "&amp;$F$19&amp;" "&amp;$F$20&amp;" is more than Repeat Test Other Service Modality"&amp;CHAR(10),""),IF(G145&gt;G144," *Repeat Test and Turned Positive  Other Service Modality "&amp;$F$19&amp;" "&amp;$G$20&amp;" is more than Repeat Test Other Service Modality"&amp;CHAR(10),""),IF(H145&gt;H144," *Repeat Test and Turned Positive  Other Service Modality "&amp;$H$19&amp;" "&amp;$H$20&amp;" is more than Repeat Test Other Service Modality"&amp;CHAR(10),""),IF(I145&gt;I144," *Repeat Test and Turned Positive  Other Service Modality "&amp;$H$19&amp;" "&amp;$I$20&amp;" is more than Repeat Test Other Service Modality"&amp;CHAR(10),""),IF(J145&gt;J144," *Repeat Test and Turned Positive  Other Service Modality "&amp;$J$19&amp;" "&amp;$J$20&amp;" is more than Repeat Test Other Service Modality"&amp;CHAR(10),""),IF(K145&gt;K144," *Repeat Test and Turned Positive  Other Service Modality "&amp;$J$19&amp;" "&amp;$K$20&amp;" is more than Repeat Test Other Service Modality"&amp;CHAR(10),""),IF(L145&gt;L144," *Repeat Test and Turned Positive  Other Service Modality "&amp;$L$19&amp;" "&amp;$L$20&amp;" is more than Repeat Test Other Service Modality"&amp;CHAR(10),""),IF(M145&gt;M144," *Repeat Test and Turned Positive  Other Service Modality "&amp;$L$19&amp;" "&amp;$M$20&amp;" is more than Repeat Test Other Service Modality"&amp;CHAR(10),""),IF(N145&gt;N144," *Repeat Test and Turned Positive  Other Service Modality "&amp;$N$19&amp;" "&amp;$N$20&amp;" is more than Repeat Test Other Service Modality"&amp;CHAR(10),""),IF(O145&gt;O144," *Repeat Test and Turned Positive  Other Service Modality "&amp;$N$19&amp;" "&amp;$O$20&amp;" is more than Repeat Test Other Service Modality"&amp;CHAR(10),""),IF(P145&gt;P144," *Repeat Test and Turned Positive  Other Service Modality "&amp;$P$19&amp;" "&amp;$P$20&amp;" is more than Repeat Test Other Service Modality"&amp;CHAR(10),""),IF(Q145&gt;Q144," *Repeat Test and Turned Positive  Other Service Modality "&amp;$P$19&amp;" "&amp;$Q$20&amp;" is more than Repeat Test Other Service Modality"&amp;CHAR(10),""),IF(R145&gt;R144," *Repeat Test and Turned Positive  Other Service Modality "&amp;$R$19&amp;" "&amp;$R$20&amp;" is more than Repeat Test Other Service Modality"&amp;CHAR(10),""),IF(S145&gt;S144," *Repeat Test and Turned Positive  Other Service Modality "&amp;$R$19&amp;" "&amp;$S$20&amp;" is more than Repeat Test Other Service Modality"&amp;CHAR(10),""),IF(T145&gt;T144," *Repeat Test and Turned Positive  Other Service Modality "&amp;$T$19&amp;" "&amp;$T$20&amp;" is more than Repeat Test Other Service Modality"&amp;CHAR(10),""),IF(U145&gt;U144," *Repeat Test and Turned Positive  Other Service Modality "&amp;$T$19&amp;" "&amp;$U$20&amp;" is more than Repeat Test Other Service Modality"&amp;CHAR(10),""),IF(V145&gt;V144," *Repeat Test and Turned Positive  Other Service Modality "&amp;$V$19&amp;" "&amp;$V$20&amp;" is more than Repeat Test Other Service Modality"&amp;CHAR(10),""),IF(W145&gt;W144," *Repeat Test and Turned Positive  Other Service Modality "&amp;$V$19&amp;" "&amp;$W$20&amp;" is more than Repeat Test Other Service Modality"&amp;CHAR(10),""),IF(X145&gt;X144," *Repeat Test and Turned Positive  Other Service Modality "&amp;$X$19&amp;" "&amp;$X$20&amp;" is more than Repeat Test Other Service Modality"&amp;CHAR(10),""),IF(Y145&gt;Y144," *Repeat Test and Turned Positive  Other Service Modality "&amp;$X$19&amp;" "&amp;$Y$20&amp;" is more than Repeat Test Other Service Modality"&amp;CHAR(10),""),IF(Z145&gt;Z144," *Repeat Test and Turned Positive  Other Service Modality "&amp;$Z$19&amp;" "&amp;$Z$20&amp;" is more than Repeat Test Other Service Modality"&amp;CHAR(10),""),IF(AA145&gt;AA144," *Repeat Test and Turned Positive  Other Service Modality "&amp;$Z$19&amp;" "&amp;$AA$20&amp;" is more than Repeat Test Other Service Modality"&amp;CHAR(10),""))</f>
        <v/>
      </c>
      <c r="AD144" s="675"/>
      <c r="AE144" s="171"/>
      <c r="AF144" s="672"/>
      <c r="AG144" s="158">
        <v>64</v>
      </c>
    </row>
    <row r="145" spans="1:47" s="14" customFormat="1" ht="53.25" customHeight="1" thickBot="1">
      <c r="A145" s="701"/>
      <c r="B145" s="225" t="s">
        <v>636</v>
      </c>
      <c r="C145" s="546" t="s">
        <v>282</v>
      </c>
      <c r="D145" s="247"/>
      <c r="E145" s="248"/>
      <c r="F145" s="247"/>
      <c r="G145" s="248"/>
      <c r="H145" s="247"/>
      <c r="I145" s="248"/>
      <c r="J145" s="247"/>
      <c r="K145" s="248"/>
      <c r="L145" s="249"/>
      <c r="M145" s="249"/>
      <c r="N145" s="249"/>
      <c r="O145" s="249"/>
      <c r="P145" s="249"/>
      <c r="Q145" s="249"/>
      <c r="R145" s="249"/>
      <c r="S145" s="249"/>
      <c r="T145" s="249"/>
      <c r="U145" s="249"/>
      <c r="V145" s="249"/>
      <c r="W145" s="249"/>
      <c r="X145" s="249"/>
      <c r="Y145" s="249"/>
      <c r="Z145" s="249"/>
      <c r="AA145" s="250"/>
      <c r="AB145" s="251">
        <f t="shared" si="15"/>
        <v>0</v>
      </c>
      <c r="AC145" s="232"/>
      <c r="AD145" s="675"/>
      <c r="AE145" s="171"/>
      <c r="AF145" s="672"/>
      <c r="AG145" s="158">
        <v>65</v>
      </c>
    </row>
    <row r="146" spans="1:47" s="14" customFormat="1" ht="53.25" customHeight="1">
      <c r="A146" s="697" t="s">
        <v>832</v>
      </c>
      <c r="B146" s="226" t="s">
        <v>634</v>
      </c>
      <c r="C146" s="545" t="s">
        <v>833</v>
      </c>
      <c r="D146" s="182"/>
      <c r="E146" s="183"/>
      <c r="F146" s="182"/>
      <c r="G146" s="183"/>
      <c r="H146" s="182"/>
      <c r="I146" s="183"/>
      <c r="J146" s="182"/>
      <c r="K146" s="183"/>
      <c r="L146" s="243"/>
      <c r="M146" s="243"/>
      <c r="N146" s="243"/>
      <c r="O146" s="243"/>
      <c r="P146" s="243"/>
      <c r="Q146" s="243"/>
      <c r="R146" s="243"/>
      <c r="S146" s="243"/>
      <c r="T146" s="243"/>
      <c r="U146" s="243"/>
      <c r="V146" s="243"/>
      <c r="W146" s="243"/>
      <c r="X146" s="243"/>
      <c r="Y146" s="243"/>
      <c r="Z146" s="243"/>
      <c r="AA146" s="244"/>
      <c r="AB146" s="218">
        <f t="shared" si="14"/>
        <v>0</v>
      </c>
      <c r="AC146" s="232" t="str">
        <f>CONCATENATE(IF(D147&gt;D146," *Initial Test and Turned Positive  SNS Modality "&amp;$D$19&amp;" "&amp;$D$20&amp;" is more than Initial Test SNS Modality"&amp;CHAR(10),""),IF(E147&gt;E146," *Initial Test and Turned Positive  SNS Modality "&amp;$D$19&amp;" "&amp;$E$20&amp;" is more than Initial Test SNS Modality"&amp;CHAR(10),""),IF(F147&gt;F146," *Initial Test and Turned Positive  SNS Modality "&amp;$F$19&amp;" "&amp;$F$20&amp;" is more than Initial Test SNS Modality"&amp;CHAR(10),""),IF(G147&gt;G146," *Initial Test and Turned Positive  SNS Modality "&amp;$F$19&amp;" "&amp;$G$20&amp;" is more than Initial Test SNS Modality"&amp;CHAR(10),""),IF(H147&gt;H146," *Initial Test and Turned Positive  SNS Modality "&amp;$H$19&amp;" "&amp;$H$20&amp;" is more than Initial Test SNS Modality"&amp;CHAR(10),""),IF(I147&gt;I146," *Initial Test and Turned Positive  SNS Modality "&amp;$H$19&amp;" "&amp;$I$20&amp;" is more than Initial Test SNS Modality"&amp;CHAR(10),""),IF(J147&gt;J146," *Initial Test and Turned Positive  SNS Modality "&amp;$J$19&amp;" "&amp;$J$20&amp;" is more than Initial Test SNS Modality"&amp;CHAR(10),""),IF(K147&gt;K146," *Initial Test and Turned Positive  SNS Modality "&amp;$J$19&amp;" "&amp;$K$20&amp;" is more than Initial Test SNS Modality"&amp;CHAR(10),""),IF(L147&gt;L146," *Initial Test and Turned Positive  SNS Modality "&amp;$L$19&amp;" "&amp;$L$20&amp;" is more than Initial Test SNS Modality"&amp;CHAR(10),""),IF(M147&gt;M146," *Initial Test and Turned Positive  SNS Modality "&amp;$L$19&amp;" "&amp;$M$20&amp;" is more than Initial Test SNS Modality"&amp;CHAR(10),""),IF(N147&gt;N146," *Initial Test and Turned Positive  SNS Modality "&amp;$N$19&amp;" "&amp;$N$20&amp;" is more than Initial Test SNS Modality"&amp;CHAR(10),""),IF(O147&gt;O146," *Initial Test and Turned Positive  SNS Modality "&amp;$N$19&amp;" "&amp;$O$20&amp;" is more than Initial Test SNS Modality"&amp;CHAR(10),""),IF(P147&gt;P146," *Initial Test and Turned Positive  SNS Modality "&amp;$P$19&amp;" "&amp;$P$20&amp;" is more than Initial Test SNS Modality"&amp;CHAR(10),""),IF(Q147&gt;Q146," *Initial Test and Turned Positive  SNS Modality "&amp;$P$19&amp;" "&amp;$Q$20&amp;" is more than Initial Test SNS Modality"&amp;CHAR(10),""),IF(R147&gt;R146," *Initial Test and Turned Positive  SNS Modality "&amp;$R$19&amp;" "&amp;$R$20&amp;" is more than Initial Test SNS Modality"&amp;CHAR(10),""),IF(S147&gt;S146," *Initial Test and Turned Positive  SNS Modality "&amp;$R$19&amp;" "&amp;$S$20&amp;" is more than Initial Test SNS Modality"&amp;CHAR(10),""),IF(T147&gt;T146," *Initial Test and Turned Positive  SNS Modality "&amp;$T$19&amp;" "&amp;$T$20&amp;" is more than Initial Test SNS Modality"&amp;CHAR(10),""),IF(U147&gt;U146," *Initial Test and Turned Positive  SNS Modality "&amp;$T$19&amp;" "&amp;$U$20&amp;" is more than Initial Test SNS Modality"&amp;CHAR(10),""),IF(V147&gt;V146," *Initial Test and Turned Positive  SNS Modality "&amp;$V$19&amp;" "&amp;$V$20&amp;" is more than Initial Test SNS Modality"&amp;CHAR(10),""),IF(W147&gt;W146," *Initial Test and Turned Positive  SNS Modality "&amp;$V$19&amp;" "&amp;$W$20&amp;" is more than Initial Test SNS Modality"&amp;CHAR(10),""),IF(X147&gt;X146," *Initial Test and Turned Positive  SNS Modality "&amp;$X$19&amp;" "&amp;$X$20&amp;" is more than Initial Test SNS Modality"&amp;CHAR(10),""),IF(Y147&gt;Y146," *Initial Test and Turned Positive  SNS Modality "&amp;$X$19&amp;" "&amp;$Y$20&amp;" is more than Initial Test SNS Modality"&amp;CHAR(10),""),IF(Z147&gt;Z146," *Initial Test and Turned Positive  SNS Modality "&amp;$Z$19&amp;" "&amp;$Z$20&amp;" is more than Initial Test SNS Modality"&amp;CHAR(10),""),IF(AA147&gt;AA146," *Initial Test and Turned Positive  SNS Modality "&amp;$Z$19&amp;" "&amp;$AA$20&amp;" is more than Initial Test SNS Modality"&amp;CHAR(10),""))</f>
        <v/>
      </c>
      <c r="AD146" s="675"/>
      <c r="AE146" s="171"/>
      <c r="AF146" s="672"/>
      <c r="AG146" s="158">
        <v>64</v>
      </c>
    </row>
    <row r="147" spans="1:47" s="14" customFormat="1" ht="53.25" customHeight="1" thickBot="1">
      <c r="A147" s="698"/>
      <c r="B147" s="230" t="s">
        <v>635</v>
      </c>
      <c r="C147" s="546" t="s">
        <v>834</v>
      </c>
      <c r="D147" s="177"/>
      <c r="E147" s="178"/>
      <c r="F147" s="177"/>
      <c r="G147" s="178"/>
      <c r="H147" s="177"/>
      <c r="I147" s="178"/>
      <c r="J147" s="177"/>
      <c r="K147" s="178"/>
      <c r="L147" s="245"/>
      <c r="M147" s="245"/>
      <c r="N147" s="245"/>
      <c r="O147" s="245"/>
      <c r="P147" s="245"/>
      <c r="Q147" s="245"/>
      <c r="R147" s="245"/>
      <c r="S147" s="245"/>
      <c r="T147" s="245"/>
      <c r="U147" s="245"/>
      <c r="V147" s="245"/>
      <c r="W147" s="245"/>
      <c r="X147" s="245"/>
      <c r="Y147" s="245"/>
      <c r="Z147" s="245"/>
      <c r="AA147" s="246"/>
      <c r="AB147" s="191">
        <f t="shared" si="14"/>
        <v>0</v>
      </c>
      <c r="AC147" s="232"/>
      <c r="AD147" s="675"/>
      <c r="AE147" s="171"/>
      <c r="AF147" s="672"/>
      <c r="AG147" s="158">
        <v>65</v>
      </c>
    </row>
    <row r="148" spans="1:47" s="14" customFormat="1" ht="53.25" customHeight="1">
      <c r="A148" s="698"/>
      <c r="B148" s="224" t="s">
        <v>633</v>
      </c>
      <c r="C148" s="545" t="s">
        <v>835</v>
      </c>
      <c r="D148" s="182"/>
      <c r="E148" s="183"/>
      <c r="F148" s="182"/>
      <c r="G148" s="183"/>
      <c r="H148" s="182"/>
      <c r="I148" s="183"/>
      <c r="J148" s="182"/>
      <c r="K148" s="183"/>
      <c r="L148" s="243"/>
      <c r="M148" s="243"/>
      <c r="N148" s="243"/>
      <c r="O148" s="243"/>
      <c r="P148" s="243"/>
      <c r="Q148" s="243"/>
      <c r="R148" s="243"/>
      <c r="S148" s="243"/>
      <c r="T148" s="243"/>
      <c r="U148" s="243"/>
      <c r="V148" s="243"/>
      <c r="W148" s="243"/>
      <c r="X148" s="243"/>
      <c r="Y148" s="243"/>
      <c r="Z148" s="243"/>
      <c r="AA148" s="244"/>
      <c r="AB148" s="218">
        <f>SUM(D148:AA148)</f>
        <v>0</v>
      </c>
      <c r="AC148" s="232" t="str">
        <f>CONCATENATE(IF(D149&gt;D148," *Repeat Test and Turned Positive  SNS Modality "&amp;$D$19&amp;" "&amp;$D$20&amp;" is more than Repeat Test SNS Modality"&amp;CHAR(10),""),IF(E149&gt;E148," *Repeat Test and Turned Positive  SNS Modality "&amp;$D$19&amp;" "&amp;$E$20&amp;" is more than Repeat Test SNS Modality"&amp;CHAR(10),""),IF(F149&gt;F148," *Repeat Test and Turned Positive  SNS Modality "&amp;$F$19&amp;" "&amp;$F$20&amp;" is more than Repeat Test SNS Modality"&amp;CHAR(10),""),IF(G149&gt;G148," *Repeat Test and Turned Positive  SNS Modality "&amp;$F$19&amp;" "&amp;$G$20&amp;" is more than Repeat Test SNS Modality"&amp;CHAR(10),""),IF(H149&gt;H148," *Repeat Test and Turned Positive  SNS Modality "&amp;$H$19&amp;" "&amp;$H$20&amp;" is more than Repeat Test SNS Modality"&amp;CHAR(10),""),IF(I149&gt;I148," *Repeat Test and Turned Positive  SNS Modality "&amp;$H$19&amp;" "&amp;$I$20&amp;" is more than Repeat Test SNS Modality"&amp;CHAR(10),""),IF(J149&gt;J148," *Repeat Test and Turned Positive  SNS Modality "&amp;$J$19&amp;" "&amp;$J$20&amp;" is more than Repeat Test SNS Modality"&amp;CHAR(10),""),IF(K149&gt;K148," *Repeat Test and Turned Positive  SNS Modality "&amp;$J$19&amp;" "&amp;$K$20&amp;" is more than Repeat Test SNS Modality"&amp;CHAR(10),""),IF(L149&gt;L148," *Repeat Test and Turned Positive  SNS Modality "&amp;$L$19&amp;" "&amp;$L$20&amp;" is more than Repeat Test SNS Modality"&amp;CHAR(10),""),IF(M149&gt;M148," *Repeat Test and Turned Positive  SNS Modality "&amp;$L$19&amp;" "&amp;$M$20&amp;" is more than Repeat Test SNS Modality"&amp;CHAR(10),""),IF(N149&gt;N148," *Repeat Test and Turned Positive  SNS Modality "&amp;$N$19&amp;" "&amp;$N$20&amp;" is more than Repeat Test SNS Modality"&amp;CHAR(10),""),IF(O149&gt;O148," *Repeat Test and Turned Positive  SNS Modality "&amp;$N$19&amp;" "&amp;$O$20&amp;" is more than Repeat Test SNS Modality"&amp;CHAR(10),""),IF(P149&gt;P148," *Repeat Test and Turned Positive  SNS Modality "&amp;$P$19&amp;" "&amp;$P$20&amp;" is more than Repeat Test SNS Modality"&amp;CHAR(10),""),IF(Q149&gt;Q148," *Repeat Test and Turned Positive  SNS Modality "&amp;$P$19&amp;" "&amp;$Q$20&amp;" is more than Repeat Test SNS Modality"&amp;CHAR(10),""),IF(R149&gt;R148," *Repeat Test and Turned Positive  SNS Modality "&amp;$R$19&amp;" "&amp;$R$20&amp;" is more than Repeat Test SNS Modality"&amp;CHAR(10),""),IF(S149&gt;S148," *Repeat Test and Turned Positive  SNS Modality "&amp;$R$19&amp;" "&amp;$S$20&amp;" is more than Repeat Test SNS Modality"&amp;CHAR(10),""),IF(T149&gt;T148," *Repeat Test and Turned Positive  SNS Modality "&amp;$T$19&amp;" "&amp;$T$20&amp;" is more than Repeat Test SNS Modality"&amp;CHAR(10),""),IF(U149&gt;U148," *Repeat Test and Turned Positive  SNS Modality "&amp;$T$19&amp;" "&amp;$U$20&amp;" is more than Repeat Test SNS Modality"&amp;CHAR(10),""),IF(V149&gt;V148," *Repeat Test and Turned Positive  SNS Modality "&amp;$V$19&amp;" "&amp;$V$20&amp;" is more than Repeat Test SNS Modality"&amp;CHAR(10),""),IF(W149&gt;W148," *Repeat Test and Turned Positive  SNS Modality "&amp;$V$19&amp;" "&amp;$W$20&amp;" is more than Repeat Test SNS Modality"&amp;CHAR(10),""),IF(X149&gt;X148," *Repeat Test and Turned Positive  SNS Modality "&amp;$X$19&amp;" "&amp;$X$20&amp;" is more than Repeat Test SNS Modality"&amp;CHAR(10),""),IF(Y149&gt;Y148," *Repeat Test and Turned Positive  SNS Modality "&amp;$X$19&amp;" "&amp;$Y$20&amp;" is more than Repeat Test SNS Modality"&amp;CHAR(10),""),IF(Z149&gt;Z148," *Repeat Test and Turned Positive  SNS Modality "&amp;$Z$19&amp;" "&amp;$Z$20&amp;" is more than Repeat Test SNS Modality"&amp;CHAR(10),""),IF(AA149&gt;AA148," *Repeat Test and Turned Positive  SNS Modality "&amp;$Z$19&amp;" "&amp;$AA$20&amp;" is more than Repeat Test SNS Modality"&amp;CHAR(10),""))</f>
        <v/>
      </c>
      <c r="AD148" s="675"/>
      <c r="AE148" s="171"/>
      <c r="AF148" s="672"/>
      <c r="AG148" s="158">
        <v>64</v>
      </c>
    </row>
    <row r="149" spans="1:47" s="14" customFormat="1" ht="53.25" customHeight="1" thickBot="1">
      <c r="A149" s="701"/>
      <c r="B149" s="225" t="s">
        <v>636</v>
      </c>
      <c r="C149" s="546" t="s">
        <v>836</v>
      </c>
      <c r="D149" s="247"/>
      <c r="E149" s="248"/>
      <c r="F149" s="247"/>
      <c r="G149" s="248"/>
      <c r="H149" s="247"/>
      <c r="I149" s="248"/>
      <c r="J149" s="247"/>
      <c r="K149" s="248"/>
      <c r="L149" s="249"/>
      <c r="M149" s="249"/>
      <c r="N149" s="249"/>
      <c r="O149" s="249"/>
      <c r="P149" s="249"/>
      <c r="Q149" s="249"/>
      <c r="R149" s="249"/>
      <c r="S149" s="249"/>
      <c r="T149" s="249"/>
      <c r="U149" s="249"/>
      <c r="V149" s="249"/>
      <c r="W149" s="249"/>
      <c r="X149" s="249"/>
      <c r="Y149" s="249"/>
      <c r="Z149" s="249"/>
      <c r="AA149" s="250"/>
      <c r="AB149" s="251">
        <f>SUM(D149:AA149)</f>
        <v>0</v>
      </c>
      <c r="AC149" s="232"/>
      <c r="AD149" s="675"/>
      <c r="AE149" s="171"/>
      <c r="AF149" s="672"/>
      <c r="AG149" s="158">
        <v>65</v>
      </c>
    </row>
    <row r="150" spans="1:47" s="14" customFormat="1" ht="53.25" customHeight="1">
      <c r="A150" s="697" t="s">
        <v>791</v>
      </c>
      <c r="B150" s="252" t="s">
        <v>634</v>
      </c>
      <c r="C150" s="541" t="s">
        <v>283</v>
      </c>
      <c r="D150" s="253">
        <f>SUM(D130,D126,D122,D118,D114)</f>
        <v>0</v>
      </c>
      <c r="E150" s="254">
        <f t="shared" ref="E150:AB150" si="16">SUM(E130,E126,E122,E118,E114)</f>
        <v>0</v>
      </c>
      <c r="F150" s="254">
        <f t="shared" si="16"/>
        <v>0</v>
      </c>
      <c r="G150" s="254">
        <f t="shared" si="16"/>
        <v>0</v>
      </c>
      <c r="H150" s="254">
        <f t="shared" si="16"/>
        <v>0</v>
      </c>
      <c r="I150" s="254">
        <f t="shared" si="16"/>
        <v>0</v>
      </c>
      <c r="J150" s="254">
        <f t="shared" si="16"/>
        <v>0</v>
      </c>
      <c r="K150" s="254">
        <f t="shared" si="16"/>
        <v>0</v>
      </c>
      <c r="L150" s="254">
        <f t="shared" si="16"/>
        <v>0</v>
      </c>
      <c r="M150" s="254">
        <f t="shared" si="16"/>
        <v>0</v>
      </c>
      <c r="N150" s="254">
        <f t="shared" si="16"/>
        <v>0</v>
      </c>
      <c r="O150" s="254">
        <f t="shared" si="16"/>
        <v>0</v>
      </c>
      <c r="P150" s="254">
        <f t="shared" si="16"/>
        <v>0</v>
      </c>
      <c r="Q150" s="254">
        <f t="shared" si="16"/>
        <v>0</v>
      </c>
      <c r="R150" s="254">
        <f t="shared" si="16"/>
        <v>0</v>
      </c>
      <c r="S150" s="254">
        <f t="shared" si="16"/>
        <v>0</v>
      </c>
      <c r="T150" s="254">
        <f t="shared" si="16"/>
        <v>0</v>
      </c>
      <c r="U150" s="254">
        <f t="shared" si="16"/>
        <v>0</v>
      </c>
      <c r="V150" s="254">
        <f t="shared" si="16"/>
        <v>0</v>
      </c>
      <c r="W150" s="254">
        <f t="shared" si="16"/>
        <v>0</v>
      </c>
      <c r="X150" s="254">
        <f t="shared" si="16"/>
        <v>0</v>
      </c>
      <c r="Y150" s="254">
        <f t="shared" si="16"/>
        <v>0</v>
      </c>
      <c r="Z150" s="254">
        <f t="shared" si="16"/>
        <v>0</v>
      </c>
      <c r="AA150" s="255">
        <f t="shared" si="16"/>
        <v>0</v>
      </c>
      <c r="AB150" s="256">
        <f t="shared" si="16"/>
        <v>0</v>
      </c>
      <c r="AC150" s="209" t="str">
        <f>CONCATENATE(IF(D154&lt;&gt;D150," *Initial Test by KP Type "&amp;$D$19&amp;" "&amp;$D$20&amp;" is more than Initial Test by Modality"&amp;CHAR(10),""),IF(E154&lt;&gt;E150," *Initial Test by KP Type "&amp;$D$19&amp;" "&amp;$E$20&amp;" is more than Initial Test by Modality"&amp;CHAR(10),""),IF(F154&lt;&gt;F150," *Initial Test by KP Type "&amp;$F$19&amp;" "&amp;$F$20&amp;" is more than Initial Test by Modality"&amp;CHAR(10),""),IF(G154&lt;&gt;G150," *Initial Test by KP Type "&amp;$F$19&amp;" "&amp;$G$20&amp;" is more than Initial Test by Modality"&amp;CHAR(10),""),IF(H154&lt;&gt;H150," *Initial Test by KP Type "&amp;$H$19&amp;" "&amp;$H$20&amp;" is more than Initial Test by Modality"&amp;CHAR(10),""),IF(I154&lt;&gt;I150," *Initial Test by KP Type "&amp;$H$19&amp;" "&amp;$I$20&amp;" is more than Initial Test by Modality"&amp;CHAR(10),""),IF(J154&lt;&gt;J150," *Initial Test by KP Type "&amp;$J$19&amp;" "&amp;$J$20&amp;" is more than Initial Test by Modality"&amp;CHAR(10),""),IF(K154&lt;&gt;K150," *Initial Test by KP Type "&amp;$J$19&amp;" "&amp;$K$20&amp;" is more than Initial Test by Modality"&amp;CHAR(10),""),IF(L154&lt;&gt;L150," *Initial Test by KP Type "&amp;$L$19&amp;" "&amp;$L$20&amp;" is more than Initial Test by Modality"&amp;CHAR(10),""),IF(M154&lt;&gt;M150," *Initial Test by KP Type "&amp;$L$19&amp;" "&amp;$M$20&amp;" is more than Initial Test by Modality"&amp;CHAR(10),""),IF(N154&lt;&gt;N150," *Initial Test by KP Type "&amp;$N$19&amp;" "&amp;$N$20&amp;" is more than Initial Test by Modality"&amp;CHAR(10),""),IF(O154&lt;&gt;O150," *Initial Test by KP Type "&amp;$N$19&amp;" "&amp;$O$20&amp;" is more than Initial Test by Modality"&amp;CHAR(10),""),IF(P154&lt;&gt;P150," *Initial Test by KP Type "&amp;$P$19&amp;" "&amp;$P$20&amp;" is more than Initial Test by Modality"&amp;CHAR(10),""),IF(Q154&lt;&gt;Q150," *Initial Test by KP Type "&amp;$P$19&amp;" "&amp;$Q$20&amp;" is more than Initial Test by Modality"&amp;CHAR(10),""),IF(R154&lt;&gt;R150," *Initial Test by KP Type "&amp;$R$19&amp;" "&amp;$R$20&amp;" is more than Initial Test by Modality"&amp;CHAR(10),""),IF(S154&lt;&gt;S150," *Initial Test by KP Type "&amp;$R$19&amp;" "&amp;$S$20&amp;" is more than Initial Test by Modality"&amp;CHAR(10),""),IF(T154&lt;&gt;T150," *Initial Test by KP Type "&amp;$T$19&amp;" "&amp;$T$20&amp;" is more than Initial Test by Modality"&amp;CHAR(10),""),IF(U154&lt;&gt;U150," *Initial Test by KP Type "&amp;$T$19&amp;" "&amp;$U$20&amp;" is more than Initial Test by Modality"&amp;CHAR(10),""),IF(V154&lt;&gt;V150," *Initial Test by KP Type "&amp;$V$19&amp;" "&amp;$V$20&amp;" is more than Initial Test by Modality"&amp;CHAR(10),""),IF(W154&lt;&gt;W150," *Initial Test by KP Type "&amp;$V$19&amp;" "&amp;$W$20&amp;" is more than Initial Test by Modality"&amp;CHAR(10),""),IF(X154&lt;&gt;X150," *Initial Test by KP Type "&amp;$X$19&amp;" "&amp;$X$20&amp;" is more than Initial Test by Modality"&amp;CHAR(10),""),IF(Y154&lt;&gt;Y150," *Initial Test by KP Type "&amp;$X$19&amp;" "&amp;$Y$20&amp;" is more than Initial Test by Modality"&amp;CHAR(10),""),IF(Z154&lt;&gt;Z150," *Initial Test by KP Type "&amp;$Z$19&amp;" "&amp;$Z$20&amp;" is more than Initial Test by Modality"&amp;CHAR(10),""),IF(AA154&lt;&gt;AA150," *Initial Test by KP Type "&amp;$Z$19&amp;" "&amp;$AA$20&amp;" is more than Initial Test by Modality"&amp;CHAR(10),""))</f>
        <v/>
      </c>
      <c r="AD150" s="675"/>
      <c r="AE150" s="171"/>
      <c r="AF150" s="672"/>
      <c r="AG150" s="158">
        <v>64</v>
      </c>
    </row>
    <row r="151" spans="1:47" s="14" customFormat="1" ht="53.25" customHeight="1" thickBot="1">
      <c r="A151" s="698"/>
      <c r="B151" s="257" t="s">
        <v>635</v>
      </c>
      <c r="C151" s="258" t="s">
        <v>284</v>
      </c>
      <c r="D151" s="259">
        <f>SUM(D131,D127,D123,D119,D115)</f>
        <v>0</v>
      </c>
      <c r="E151" s="260">
        <f t="shared" ref="E151:AB151" si="17">SUM(E131,E127,E123,E119,E115)</f>
        <v>0</v>
      </c>
      <c r="F151" s="260">
        <f t="shared" si="17"/>
        <v>0</v>
      </c>
      <c r="G151" s="260">
        <f t="shared" si="17"/>
        <v>0</v>
      </c>
      <c r="H151" s="260">
        <f t="shared" si="17"/>
        <v>0</v>
      </c>
      <c r="I151" s="260">
        <f t="shared" si="17"/>
        <v>0</v>
      </c>
      <c r="J151" s="260">
        <f t="shared" si="17"/>
        <v>0</v>
      </c>
      <c r="K151" s="260">
        <f t="shared" si="17"/>
        <v>0</v>
      </c>
      <c r="L151" s="260">
        <f t="shared" si="17"/>
        <v>0</v>
      </c>
      <c r="M151" s="260">
        <f t="shared" si="17"/>
        <v>0</v>
      </c>
      <c r="N151" s="260">
        <f t="shared" si="17"/>
        <v>0</v>
      </c>
      <c r="O151" s="260">
        <f t="shared" si="17"/>
        <v>0</v>
      </c>
      <c r="P151" s="260">
        <f t="shared" si="17"/>
        <v>0</v>
      </c>
      <c r="Q151" s="260">
        <f t="shared" si="17"/>
        <v>0</v>
      </c>
      <c r="R151" s="260">
        <f t="shared" si="17"/>
        <v>0</v>
      </c>
      <c r="S151" s="260">
        <f t="shared" si="17"/>
        <v>0</v>
      </c>
      <c r="T151" s="260">
        <f t="shared" si="17"/>
        <v>0</v>
      </c>
      <c r="U151" s="260">
        <f t="shared" si="17"/>
        <v>0</v>
      </c>
      <c r="V151" s="260">
        <f t="shared" si="17"/>
        <v>0</v>
      </c>
      <c r="W151" s="260">
        <f t="shared" si="17"/>
        <v>0</v>
      </c>
      <c r="X151" s="260">
        <f t="shared" si="17"/>
        <v>0</v>
      </c>
      <c r="Y151" s="260">
        <f t="shared" si="17"/>
        <v>0</v>
      </c>
      <c r="Z151" s="260">
        <f t="shared" si="17"/>
        <v>0</v>
      </c>
      <c r="AA151" s="261">
        <f t="shared" si="17"/>
        <v>0</v>
      </c>
      <c r="AB151" s="256">
        <f t="shared" si="17"/>
        <v>0</v>
      </c>
      <c r="AC151" s="209" t="str">
        <f>CONCATENATE(IF(D155&lt;&gt;D151," *Initial Test and turned positive by KP Type "&amp;$D$19&amp;" "&amp;$D$20&amp;" is more than Initial Test and turned positive by Modality"&amp;CHAR(10),""),IF(E155&lt;&gt;E151," *Initial Test and turned positive by KP Type "&amp;$D$19&amp;" "&amp;$E$20&amp;" is more than Initial Test and turned positive by Modality"&amp;CHAR(10),""),IF(F155&lt;&gt;F151," *Initial Test and turned positive by KP Type "&amp;$F$19&amp;" "&amp;$F$20&amp;" is more than Initial Test and turned positive by Modality"&amp;CHAR(10),""),IF(G155&lt;&gt;G151," *Initial Test and turned positive by KP Type "&amp;$F$19&amp;" "&amp;$G$20&amp;" is more than Initial Test and turned positive by Modality"&amp;CHAR(10),""),IF(H155&lt;&gt;H151," *Initial Test and turned positive by KP Type "&amp;$H$19&amp;" "&amp;$H$20&amp;" is more than Initial Test and turned positive by Modality"&amp;CHAR(10),""),IF(I155&lt;&gt;I151," *Initial Test and turned positive by KP Type "&amp;$H$19&amp;" "&amp;$I$20&amp;" is more than Initial Test and turned positive by Modality"&amp;CHAR(10),""),IF(J155&lt;&gt;J151," *Initial Test and turned positive by KP Type "&amp;$J$19&amp;" "&amp;$J$20&amp;" is more than Initial Test and turned positive by Modality"&amp;CHAR(10),""),IF(K155&lt;&gt;K151," *Initial Test and turned positive by KP Type "&amp;$J$19&amp;" "&amp;$K$20&amp;" is more than Initial Test and turned positive by Modality"&amp;CHAR(10),""),IF(L155&lt;&gt;L151," *Initial Test and turned positive by KP Type "&amp;$L$19&amp;" "&amp;$L$20&amp;" is more than Initial Test and turned positive by Modality"&amp;CHAR(10),""),IF(M155&lt;&gt;M151," *Initial Test and turned positive by KP Type "&amp;$L$19&amp;" "&amp;$M$20&amp;" is more than Initial Test and turned positive by Modality"&amp;CHAR(10),""),IF(N155&lt;&gt;N151," *Initial Test and turned positive by KP Type "&amp;$N$19&amp;" "&amp;$N$20&amp;" is more than Initial Test and turned positive by Modality"&amp;CHAR(10),""),IF(O155&lt;&gt;O151," *Initial Test and turned positive by KP Type "&amp;$N$19&amp;" "&amp;$O$20&amp;" is more than Initial Test and turned positive by Modality"&amp;CHAR(10),""),IF(P155&lt;&gt;P151," *Initial Test and turned positive by KP Type "&amp;$P$19&amp;" "&amp;$P$20&amp;" is more than Initial Test and turned positive by Modality"&amp;CHAR(10),""),IF(Q155&lt;&gt;Q151," *Initial Test and turned positive by KP Type "&amp;$P$19&amp;" "&amp;$Q$20&amp;" is more than Initial Test and turned positive by Modality"&amp;CHAR(10),""),IF(R155&lt;&gt;R151," *Initial Test and turned positive by KP Type "&amp;$R$19&amp;" "&amp;$R$20&amp;" is more than Initial Test and turned positive by Modality"&amp;CHAR(10),""),IF(S155&lt;&gt;S151," *Initial Test and turned positive by KP Type "&amp;$R$19&amp;" "&amp;$S$20&amp;" is more than Initial Test and turned positive by Modality"&amp;CHAR(10),""),IF(T155&lt;&gt;T151," *Initial Test and turned positive by KP Type "&amp;$T$19&amp;" "&amp;$T$20&amp;" is more than Initial Test and turned positive by Modality"&amp;CHAR(10),""),IF(U155&lt;&gt;U151," *Initial Test and turned positive by KP Type "&amp;$T$19&amp;" "&amp;$U$20&amp;" is more than Initial Test and turned positive by Modality"&amp;CHAR(10),""),IF(V155&lt;&gt;V151," *Initial Test and turned positive by KP Type "&amp;$V$19&amp;" "&amp;$V$20&amp;" is more than Initial Test and turned positive by Modality"&amp;CHAR(10),""),IF(W155&lt;&gt;W151," *Initial Test and turned positive by KP Type "&amp;$V$19&amp;" "&amp;$W$20&amp;" is more than Initial Test and turned positive by Modality"&amp;CHAR(10),""),IF(X155&lt;&gt;X151," *Initial Test and turned positive by KP Type "&amp;$X$19&amp;" "&amp;$X$20&amp;" is more than Initial Test and turned positive by Modality"&amp;CHAR(10),""),IF(Y155&lt;&gt;Y151," *Initial Test and turned positive by KP Type "&amp;$X$19&amp;" "&amp;$Y$20&amp;" is more than Initial Test and turned positive by Modality"&amp;CHAR(10),""),IF(Z155&lt;&gt;Z151," *Initial Test and turned positive by KP Type "&amp;$Z$19&amp;" "&amp;$Z$20&amp;" is more than Initial Test and turned positive by Modality"&amp;CHAR(10),""),IF(AA155&lt;&gt;AA151," *Initial Test and turned positive by KP Type "&amp;$Z$19&amp;" "&amp;$AA$20&amp;" is more than Initial Test and turned positive by Modality"&amp;CHAR(10),""))</f>
        <v/>
      </c>
      <c r="AD151" s="675"/>
      <c r="AE151" s="171"/>
      <c r="AF151" s="672"/>
      <c r="AG151" s="158">
        <v>65</v>
      </c>
    </row>
    <row r="152" spans="1:47" s="14" customFormat="1" ht="53.25" customHeight="1">
      <c r="A152" s="698"/>
      <c r="B152" s="252" t="s">
        <v>633</v>
      </c>
      <c r="C152" s="541" t="s">
        <v>285</v>
      </c>
      <c r="D152" s="253">
        <f>SUM(D132,D128,D124,D120,D116)</f>
        <v>0</v>
      </c>
      <c r="E152" s="254">
        <f t="shared" ref="E152:AB152" si="18">SUM(E132,E128,E124,E120,E116)</f>
        <v>0</v>
      </c>
      <c r="F152" s="254">
        <f t="shared" si="18"/>
        <v>0</v>
      </c>
      <c r="G152" s="254">
        <f t="shared" si="18"/>
        <v>0</v>
      </c>
      <c r="H152" s="254">
        <f t="shared" si="18"/>
        <v>0</v>
      </c>
      <c r="I152" s="254">
        <f t="shared" si="18"/>
        <v>0</v>
      </c>
      <c r="J152" s="254">
        <f t="shared" si="18"/>
        <v>0</v>
      </c>
      <c r="K152" s="254">
        <f t="shared" si="18"/>
        <v>0</v>
      </c>
      <c r="L152" s="254">
        <f t="shared" si="18"/>
        <v>0</v>
      </c>
      <c r="M152" s="254">
        <f t="shared" si="18"/>
        <v>0</v>
      </c>
      <c r="N152" s="254">
        <f t="shared" si="18"/>
        <v>0</v>
      </c>
      <c r="O152" s="254">
        <f t="shared" si="18"/>
        <v>0</v>
      </c>
      <c r="P152" s="254">
        <f t="shared" si="18"/>
        <v>0</v>
      </c>
      <c r="Q152" s="254">
        <f t="shared" si="18"/>
        <v>0</v>
      </c>
      <c r="R152" s="254">
        <f t="shared" si="18"/>
        <v>0</v>
      </c>
      <c r="S152" s="254">
        <f t="shared" si="18"/>
        <v>0</v>
      </c>
      <c r="T152" s="254">
        <f t="shared" si="18"/>
        <v>0</v>
      </c>
      <c r="U152" s="254">
        <f t="shared" si="18"/>
        <v>0</v>
      </c>
      <c r="V152" s="254">
        <f t="shared" si="18"/>
        <v>0</v>
      </c>
      <c r="W152" s="254">
        <f t="shared" si="18"/>
        <v>0</v>
      </c>
      <c r="X152" s="254">
        <f t="shared" si="18"/>
        <v>0</v>
      </c>
      <c r="Y152" s="254">
        <f t="shared" si="18"/>
        <v>0</v>
      </c>
      <c r="Z152" s="254">
        <f t="shared" si="18"/>
        <v>0</v>
      </c>
      <c r="AA152" s="255">
        <f t="shared" si="18"/>
        <v>0</v>
      </c>
      <c r="AB152" s="256">
        <f t="shared" si="18"/>
        <v>0</v>
      </c>
      <c r="AC152" s="209" t="str">
        <f>CONCATENATE(IF(D156&lt;&gt;D152," *Repeat Test by KP Type "&amp;$D$19&amp;" "&amp;$D$20&amp;" is more than Repeat Test by Modality"&amp;CHAR(10),""),IF(E156&lt;&gt;E152," *Repeat Test by KP Type "&amp;$D$19&amp;" "&amp;$E$20&amp;" is more than Repeat Test by Modality"&amp;CHAR(10),""),IF(F156&lt;&gt;F152," *Repeat Test by KP Type "&amp;$F$19&amp;" "&amp;$F$20&amp;" is more than Repeat Test by Modality"&amp;CHAR(10),""),IF(G156&lt;&gt;G152," *Repeat Test by KP Type "&amp;$F$19&amp;" "&amp;$G$20&amp;" is more than Repeat Test by Modality"&amp;CHAR(10),""),IF(H156&lt;&gt;H152," *Repeat Test by KP Type "&amp;$H$19&amp;" "&amp;$H$20&amp;" is more than Repeat Test by Modality"&amp;CHAR(10),""),IF(I156&lt;&gt;I152," *Repeat Test by KP Type "&amp;$H$19&amp;" "&amp;$I$20&amp;" is more than Repeat Test by Modality"&amp;CHAR(10),""),IF(J156&lt;&gt;J152," *Repeat Test by KP Type "&amp;$J$19&amp;" "&amp;$J$20&amp;" is more than Repeat Test by Modality"&amp;CHAR(10),""),IF(K156&lt;&gt;K152," *Repeat Test by KP Type "&amp;$J$19&amp;" "&amp;$K$20&amp;" is more than Repeat Test by Modality"&amp;CHAR(10),""),IF(L156&lt;&gt;L152," *Repeat Test by KP Type "&amp;$L$19&amp;" "&amp;$L$20&amp;" is more than Repeat Test by Modality"&amp;CHAR(10),""),IF(M156&lt;&gt;M152," *Repeat Test by KP Type "&amp;$L$19&amp;" "&amp;$M$20&amp;" is more than Repeat Test by Modality"&amp;CHAR(10),""),IF(N156&lt;&gt;N152," *Repeat Test by KP Type "&amp;$N$19&amp;" "&amp;$N$20&amp;" is more than Repeat Test by Modality"&amp;CHAR(10),""),IF(O156&lt;&gt;O152," *Repeat Test by KP Type "&amp;$N$19&amp;" "&amp;$O$20&amp;" is more than Repeat Test by Modality"&amp;CHAR(10),""),IF(P156&lt;&gt;P152," *Repeat Test by KP Type "&amp;$P$19&amp;" "&amp;$P$20&amp;" is more than Repeat Test by Modality"&amp;CHAR(10),""),IF(Q156&lt;&gt;Q152," *Repeat Test by KP Type "&amp;$P$19&amp;" "&amp;$Q$20&amp;" is more than Repeat Test by Modality"&amp;CHAR(10),""),IF(R156&lt;&gt;R152," *Repeat Test by KP Type "&amp;$R$19&amp;" "&amp;$R$20&amp;" is more than Repeat Test by Modality"&amp;CHAR(10),""),IF(S156&lt;&gt;S152," *Repeat Test by KP Type "&amp;$R$19&amp;" "&amp;$S$20&amp;" is more than Repeat Test by Modality"&amp;CHAR(10),""),IF(T156&lt;&gt;T152," *Repeat Test by KP Type "&amp;$T$19&amp;" "&amp;$T$20&amp;" is more than Repeat Test by Modality"&amp;CHAR(10),""),IF(U156&lt;&gt;U152," *Repeat Test by KP Type "&amp;$T$19&amp;" "&amp;$U$20&amp;" is more than Repeat Test by Modality"&amp;CHAR(10),""),IF(V156&lt;&gt;V152," *Repeat Test by KP Type "&amp;$V$19&amp;" "&amp;$V$20&amp;" is more than Repeat Test by Modality"&amp;CHAR(10),""),IF(W156&lt;&gt;W152," *Repeat Test by KP Type "&amp;$V$19&amp;" "&amp;$W$20&amp;" is more than Repeat Test by Modality"&amp;CHAR(10),""),IF(X156&lt;&gt;X152," *Repeat Test by KP Type "&amp;$X$19&amp;" "&amp;$X$20&amp;" is more than Repeat Test by Modality"&amp;CHAR(10),""),IF(Y156&lt;&gt;Y152," *Repeat Test by KP Type "&amp;$X$19&amp;" "&amp;$Y$20&amp;" is more than Repeat Test by Modality"&amp;CHAR(10),""),IF(Z156&lt;&gt;Z152," *Repeat Test by KP Type "&amp;$Z$19&amp;" "&amp;$Z$20&amp;" is more than Repeat Test by Modality"&amp;CHAR(10),""),IF(AA156&lt;&gt;AA152," *Repeat Test by KP Type "&amp;$Z$19&amp;" "&amp;$AA$20&amp;" is more than Repeat Test by Modality"&amp;CHAR(10),""))</f>
        <v/>
      </c>
      <c r="AD152" s="675"/>
      <c r="AE152" s="171"/>
      <c r="AF152" s="672"/>
      <c r="AG152" s="158">
        <v>64</v>
      </c>
    </row>
    <row r="153" spans="1:47" s="14" customFormat="1" ht="53.25" customHeight="1" thickBot="1">
      <c r="A153" s="698"/>
      <c r="B153" s="333" t="s">
        <v>636</v>
      </c>
      <c r="C153" s="542" t="s">
        <v>286</v>
      </c>
      <c r="D153" s="328">
        <f t="shared" ref="D153:AB153" si="19">SUM(D133,D129,D125,D121,D117)</f>
        <v>0</v>
      </c>
      <c r="E153" s="329">
        <f t="shared" si="19"/>
        <v>0</v>
      </c>
      <c r="F153" s="329">
        <f t="shared" si="19"/>
        <v>0</v>
      </c>
      <c r="G153" s="329">
        <f t="shared" si="19"/>
        <v>0</v>
      </c>
      <c r="H153" s="329">
        <f t="shared" si="19"/>
        <v>0</v>
      </c>
      <c r="I153" s="329">
        <f t="shared" si="19"/>
        <v>0</v>
      </c>
      <c r="J153" s="329">
        <f t="shared" si="19"/>
        <v>0</v>
      </c>
      <c r="K153" s="329">
        <f t="shared" si="19"/>
        <v>0</v>
      </c>
      <c r="L153" s="329">
        <f t="shared" si="19"/>
        <v>0</v>
      </c>
      <c r="M153" s="329">
        <f t="shared" si="19"/>
        <v>0</v>
      </c>
      <c r="N153" s="329">
        <f t="shared" si="19"/>
        <v>0</v>
      </c>
      <c r="O153" s="329">
        <f t="shared" si="19"/>
        <v>0</v>
      </c>
      <c r="P153" s="329">
        <f t="shared" si="19"/>
        <v>0</v>
      </c>
      <c r="Q153" s="329">
        <f t="shared" si="19"/>
        <v>0</v>
      </c>
      <c r="R153" s="329">
        <f t="shared" si="19"/>
        <v>0</v>
      </c>
      <c r="S153" s="329">
        <f t="shared" si="19"/>
        <v>0</v>
      </c>
      <c r="T153" s="329">
        <f t="shared" si="19"/>
        <v>0</v>
      </c>
      <c r="U153" s="329">
        <f t="shared" si="19"/>
        <v>0</v>
      </c>
      <c r="V153" s="329">
        <f t="shared" si="19"/>
        <v>0</v>
      </c>
      <c r="W153" s="329">
        <f t="shared" si="19"/>
        <v>0</v>
      </c>
      <c r="X153" s="329">
        <f t="shared" si="19"/>
        <v>0</v>
      </c>
      <c r="Y153" s="329">
        <f t="shared" si="19"/>
        <v>0</v>
      </c>
      <c r="Z153" s="329">
        <f t="shared" si="19"/>
        <v>0</v>
      </c>
      <c r="AA153" s="330">
        <f t="shared" si="19"/>
        <v>0</v>
      </c>
      <c r="AB153" s="262">
        <f t="shared" si="19"/>
        <v>0</v>
      </c>
      <c r="AC153" s="209" t="str">
        <f>CONCATENATE(IF(D157&lt;&gt;D153," *Repeat Test and turned positive by KP Type "&amp;$D$19&amp;" "&amp;$D$20&amp;" is more than Repeat Test and turned positive by Modality"&amp;CHAR(10),""),IF(E157&lt;&gt;E153," *Repeat Test and turned positive by KP Type "&amp;$D$19&amp;" "&amp;$E$20&amp;" is more than Repeat Test and turned positive by Modality"&amp;CHAR(10),""),IF(F157&lt;&gt;F153," *Repeat Test and turned positive by KP Type "&amp;$F$19&amp;" "&amp;$F$20&amp;" is more than Repeat Test and turned positive by Modality"&amp;CHAR(10),""),IF(G157&lt;&gt;G153," *Repeat Test and turned positive by KP Type "&amp;$F$19&amp;" "&amp;$G$20&amp;" is more than Repeat Test and turned positive by Modality"&amp;CHAR(10),""),IF(H157&lt;&gt;H153," *Repeat Test and turned positive by KP Type "&amp;$H$19&amp;" "&amp;$H$20&amp;" is more than Repeat Test and turned positive by Modality"&amp;CHAR(10),""),IF(I157&lt;&gt;I153," *Repeat Test and turned positive by KP Type "&amp;$H$19&amp;" "&amp;$I$20&amp;" is more than Repeat Test and turned positive by Modality"&amp;CHAR(10),""),IF(J157&lt;&gt;J153," *Repeat Test and turned positive by KP Type "&amp;$J$19&amp;" "&amp;$J$20&amp;" is more than Repeat Test and turned positive by Modality"&amp;CHAR(10),""),IF(K157&lt;&gt;K153," *Repeat Test and turned positive by KP Type "&amp;$J$19&amp;" "&amp;$K$20&amp;" is more than Repeat Test and turned positive by Modality"&amp;CHAR(10),""),IF(L157&lt;&gt;L153," *Repeat Test and turned positive by KP Type "&amp;$L$19&amp;" "&amp;$L$20&amp;" is more than Repeat Test and turned positive by Modality"&amp;CHAR(10),""),IF(M157&lt;&gt;M153," *Repeat Test and turned positive by KP Type "&amp;$L$19&amp;" "&amp;$M$20&amp;" is more than Repeat Test and turned positive by Modality"&amp;CHAR(10),""),IF(N157&lt;&gt;N153," *Repeat Test and turned positive by KP Type "&amp;$N$19&amp;" "&amp;$N$20&amp;" is more than Repeat Test and turned positive by Modality"&amp;CHAR(10),""),IF(O157&lt;&gt;O153," *Repeat Test and turned positive by KP Type "&amp;$N$19&amp;" "&amp;$O$20&amp;" is more than Repeat Test and turned positive by Modality"&amp;CHAR(10),""),IF(P157&lt;&gt;P153," *Repeat Test and turned positive by KP Type "&amp;$P$19&amp;" "&amp;$P$20&amp;" is more than Repeat Test and turned positive by Modality"&amp;CHAR(10),""),IF(Q157&lt;&gt;Q153," *Repeat Test and turned positive by KP Type "&amp;$P$19&amp;" "&amp;$Q$20&amp;" is more than Repeat Test and turned positive by Modality"&amp;CHAR(10),""),IF(R157&lt;&gt;R153," *Repeat Test and turned positive by KP Type "&amp;$R$19&amp;" "&amp;$R$20&amp;" is more than Repeat Test and turned positive by Modality"&amp;CHAR(10),""),IF(S157&lt;&gt;S153," *Repeat Test and turned positive by KP Type "&amp;$R$19&amp;" "&amp;$S$20&amp;" is more than Repeat Test and turned positive by Modality"&amp;CHAR(10),""),IF(T157&lt;&gt;T153," *Repeat Test and turned positive by KP Type "&amp;$T$19&amp;" "&amp;$T$20&amp;" is more than Repeat Test and turned positive by Modality"&amp;CHAR(10),""),IF(U157&lt;&gt;U153," *Repeat Test and turned positive by KP Type "&amp;$T$19&amp;" "&amp;$U$20&amp;" is more than Repeat Test and turned positive by Modality"&amp;CHAR(10),""),IF(V157&lt;&gt;V153," *Repeat Test and turned positive by KP Type "&amp;$V$19&amp;" "&amp;$V$20&amp;" is more than Repeat Test and turned positive by Modality"&amp;CHAR(10),""),IF(W157&lt;&gt;W153," *Repeat Test and turned positive by KP Type "&amp;$V$19&amp;" "&amp;$W$20&amp;" is more than Repeat Test and turned positive by Modality"&amp;CHAR(10),""),IF(X157&lt;&gt;X153," *Repeat Test and turned positive by KP Type "&amp;$X$19&amp;" "&amp;$X$20&amp;" is more than Repeat Test and turned positive by Modality"&amp;CHAR(10),""),IF(Y157&lt;&gt;Y153," *Repeat Test and turned positive by KP Type "&amp;$X$19&amp;" "&amp;$Y$20&amp;" is more than Repeat Test and turned positive by Modality"&amp;CHAR(10),""),IF(Z157&lt;&gt;Z153," *Repeat Test and turned positive by KP Type "&amp;$Z$19&amp;" "&amp;$Z$20&amp;" is more than Repeat Test and turned positive by Modality"&amp;CHAR(10),""),IF(AA157&lt;&gt;AA153," *Repeat Test and turned positive by KP Type "&amp;$Z$19&amp;" "&amp;$AA$20&amp;" is more than Repeat Test and turned positive by Modality"&amp;CHAR(10),""))</f>
        <v/>
      </c>
      <c r="AD153" s="675"/>
      <c r="AE153" s="171"/>
      <c r="AF153" s="672"/>
      <c r="AG153" s="158">
        <v>65</v>
      </c>
    </row>
    <row r="154" spans="1:47" s="14" customFormat="1" ht="53.25" customHeight="1">
      <c r="A154" s="697" t="s">
        <v>792</v>
      </c>
      <c r="B154" s="252" t="s">
        <v>634</v>
      </c>
      <c r="C154" s="541" t="s">
        <v>692</v>
      </c>
      <c r="D154" s="334">
        <f>SUM(D146,D138,D134,D142,D165)</f>
        <v>0</v>
      </c>
      <c r="E154" s="334">
        <f t="shared" ref="E154:AA154" si="20">SUM(E146,E138,E134,E142,E165)</f>
        <v>0</v>
      </c>
      <c r="F154" s="334">
        <f t="shared" si="20"/>
        <v>0</v>
      </c>
      <c r="G154" s="334">
        <f t="shared" si="20"/>
        <v>0</v>
      </c>
      <c r="H154" s="334">
        <f t="shared" si="20"/>
        <v>0</v>
      </c>
      <c r="I154" s="334">
        <f t="shared" si="20"/>
        <v>0</v>
      </c>
      <c r="J154" s="334">
        <f t="shared" si="20"/>
        <v>0</v>
      </c>
      <c r="K154" s="334">
        <f t="shared" si="20"/>
        <v>0</v>
      </c>
      <c r="L154" s="334">
        <f t="shared" si="20"/>
        <v>0</v>
      </c>
      <c r="M154" s="334">
        <f t="shared" si="20"/>
        <v>0</v>
      </c>
      <c r="N154" s="334">
        <f t="shared" si="20"/>
        <v>0</v>
      </c>
      <c r="O154" s="334">
        <f t="shared" si="20"/>
        <v>0</v>
      </c>
      <c r="P154" s="334">
        <f t="shared" si="20"/>
        <v>0</v>
      </c>
      <c r="Q154" s="334">
        <f t="shared" si="20"/>
        <v>0</v>
      </c>
      <c r="R154" s="334">
        <f t="shared" si="20"/>
        <v>0</v>
      </c>
      <c r="S154" s="334">
        <f t="shared" si="20"/>
        <v>0</v>
      </c>
      <c r="T154" s="334">
        <f t="shared" si="20"/>
        <v>0</v>
      </c>
      <c r="U154" s="334">
        <f t="shared" si="20"/>
        <v>0</v>
      </c>
      <c r="V154" s="334">
        <f t="shared" si="20"/>
        <v>0</v>
      </c>
      <c r="W154" s="334">
        <f t="shared" si="20"/>
        <v>0</v>
      </c>
      <c r="X154" s="334">
        <f t="shared" si="20"/>
        <v>0</v>
      </c>
      <c r="Y154" s="334">
        <f t="shared" si="20"/>
        <v>0</v>
      </c>
      <c r="Z154" s="334">
        <f t="shared" si="20"/>
        <v>0</v>
      </c>
      <c r="AA154" s="335">
        <f t="shared" si="20"/>
        <v>0</v>
      </c>
      <c r="AB154" s="263">
        <f>SUM(AB146,AB138,AB134,AB165)</f>
        <v>0</v>
      </c>
      <c r="AC154" s="232" t="str">
        <f>CONCATENATE(IF(D155&gt;D154," *Initial Test and Turned Positive  Other Service Modality "&amp;$D$19&amp;" "&amp;$D$20&amp;" is more than Initial Test Other Service Modality"&amp;CHAR(10),""),IF(E155&gt;E154," *Initial Test and Turned Positive  Other Service Modality "&amp;$D$19&amp;" "&amp;$E$20&amp;" is more than Initial Test Other Service Modality"&amp;CHAR(10),""),IF(F155&gt;F154," *Initial Test and Turned Positive  Other Service Modality "&amp;$F$19&amp;" "&amp;$F$20&amp;" is more than Initial Test Other Service Modality"&amp;CHAR(10),""),IF(G155&gt;G154," *Initial Test and Turned Positive  Other Service Modality "&amp;$F$19&amp;" "&amp;$G$20&amp;" is more than Initial Test Other Service Modality"&amp;CHAR(10),""),IF(H155&gt;H154," *Initial Test and Turned Positive  Other Service Modality "&amp;$H$19&amp;" "&amp;$H$20&amp;" is more than Initial Test Other Service Modality"&amp;CHAR(10),""),IF(I155&gt;I154," *Initial Test and Turned Positive  Other Service Modality "&amp;$H$19&amp;" "&amp;$I$20&amp;" is more than Initial Test Other Service Modality"&amp;CHAR(10),""),IF(J155&gt;J154," *Initial Test and Turned Positive  Other Service Modality "&amp;$J$19&amp;" "&amp;$J$20&amp;" is more than Initial Test Other Service Modality"&amp;CHAR(10),""),IF(K155&gt;K154," *Initial Test and Turned Positive  Other Service Modality "&amp;$J$19&amp;" "&amp;$K$20&amp;" is more than Initial Test Other Service Modality"&amp;CHAR(10),""),IF(L155&gt;L154," *Initial Test and Turned Positive  Other Service Modality "&amp;$L$19&amp;" "&amp;$L$20&amp;" is more than Initial Test Other Service Modality"&amp;CHAR(10),""),IF(M155&gt;M154," *Initial Test and Turned Positive  Other Service Modality "&amp;$L$19&amp;" "&amp;$M$20&amp;" is more than Initial Test Other Service Modality"&amp;CHAR(10),""),IF(N155&gt;N154," *Initial Test and Turned Positive  Other Service Modality "&amp;$N$19&amp;" "&amp;$N$20&amp;" is more than Initial Test Other Service Modality"&amp;CHAR(10),""),IF(O155&gt;O154," *Initial Test and Turned Positive  Other Service Modality "&amp;$N$19&amp;" "&amp;$O$20&amp;" is more than Initial Test Other Service Modality"&amp;CHAR(10),""),IF(P155&gt;P154," *Initial Test and Turned Positive  Other Service Modality "&amp;$P$19&amp;" "&amp;$P$20&amp;" is more than Initial Test Other Service Modality"&amp;CHAR(10),""),IF(Q155&gt;Q154," *Initial Test and Turned Positive  Other Service Modality "&amp;$P$19&amp;" "&amp;$Q$20&amp;" is more than Initial Test Other Service Modality"&amp;CHAR(10),""),IF(R155&gt;R154," *Initial Test and Turned Positive  Other Service Modality "&amp;$R$19&amp;" "&amp;$R$20&amp;" is more than Initial Test Other Service Modality"&amp;CHAR(10),""),IF(S155&gt;S154," *Initial Test and Turned Positive  Other Service Modality "&amp;$R$19&amp;" "&amp;$S$20&amp;" is more than Initial Test Other Service Modality"&amp;CHAR(10),""),IF(T155&gt;T154," *Initial Test and Turned Positive  Other Service Modality "&amp;$T$19&amp;" "&amp;$T$20&amp;" is more than Initial Test Other Service Modality"&amp;CHAR(10),""),IF(U155&gt;U154," *Initial Test and Turned Positive  Other Service Modality "&amp;$T$19&amp;" "&amp;$U$20&amp;" is more than Initial Test Other Service Modality"&amp;CHAR(10),""),IF(V155&gt;V154," *Initial Test and Turned Positive  Other Service Modality "&amp;$V$19&amp;" "&amp;$V$20&amp;" is more than Initial Test Other Service Modality"&amp;CHAR(10),""),IF(W155&gt;W154," *Initial Test and Turned Positive  Other Service Modality "&amp;$V$19&amp;" "&amp;$W$20&amp;" is more than Initial Test Other Service Modality"&amp;CHAR(10),""),IF(X155&gt;X154," *Initial Test and Turned Positive  Other Service Modality "&amp;$X$19&amp;" "&amp;$X$20&amp;" is more than Initial Test Other Service Modality"&amp;CHAR(10),""),IF(Y155&gt;Y154," *Initial Test and Turned Positive  Other Service Modality "&amp;$X$19&amp;" "&amp;$Y$20&amp;" is more than Initial Test Other Service Modality"&amp;CHAR(10),""),IF(Z155&gt;Z154," *Initial Test and Turned Positive  Other Service Modality "&amp;$Z$19&amp;" "&amp;$Z$20&amp;" is more than Initial Test Other Service Modality"&amp;CHAR(10),""),IF(AA155&gt;AA154," *Initial Test and Turned Positive  Other Service Modality "&amp;$Z$19&amp;" "&amp;$AA$20&amp;" is more than Initial Test Other Service Modality"&amp;CHAR(10),""))</f>
        <v/>
      </c>
      <c r="AD154" s="675"/>
      <c r="AE154" s="171"/>
      <c r="AF154" s="672"/>
      <c r="AG154" s="158">
        <v>64</v>
      </c>
    </row>
    <row r="155" spans="1:47" s="4" customFormat="1" ht="53.25" customHeight="1" thickBot="1">
      <c r="A155" s="698"/>
      <c r="B155" s="257" t="s">
        <v>635</v>
      </c>
      <c r="C155" s="258" t="s">
        <v>693</v>
      </c>
      <c r="D155" s="264">
        <f>SUM(D147,D139,D135,D143,D166)</f>
        <v>0</v>
      </c>
      <c r="E155" s="264">
        <f t="shared" ref="E155:AB155" si="21">SUM(E147,E139,E135,E143,E166)</f>
        <v>0</v>
      </c>
      <c r="F155" s="264">
        <f t="shared" si="21"/>
        <v>0</v>
      </c>
      <c r="G155" s="264">
        <f t="shared" si="21"/>
        <v>0</v>
      </c>
      <c r="H155" s="264">
        <f t="shared" si="21"/>
        <v>0</v>
      </c>
      <c r="I155" s="264">
        <f t="shared" si="21"/>
        <v>0</v>
      </c>
      <c r="J155" s="264">
        <f t="shared" si="21"/>
        <v>0</v>
      </c>
      <c r="K155" s="264">
        <f t="shared" si="21"/>
        <v>0</v>
      </c>
      <c r="L155" s="264">
        <f t="shared" si="21"/>
        <v>0</v>
      </c>
      <c r="M155" s="264">
        <f t="shared" si="21"/>
        <v>0</v>
      </c>
      <c r="N155" s="264">
        <f t="shared" si="21"/>
        <v>0</v>
      </c>
      <c r="O155" s="264">
        <f t="shared" si="21"/>
        <v>0</v>
      </c>
      <c r="P155" s="264">
        <f t="shared" si="21"/>
        <v>0</v>
      </c>
      <c r="Q155" s="264">
        <f t="shared" si="21"/>
        <v>0</v>
      </c>
      <c r="R155" s="264">
        <f t="shared" si="21"/>
        <v>0</v>
      </c>
      <c r="S155" s="264">
        <f t="shared" si="21"/>
        <v>0</v>
      </c>
      <c r="T155" s="264">
        <f t="shared" si="21"/>
        <v>0</v>
      </c>
      <c r="U155" s="264">
        <f t="shared" si="21"/>
        <v>0</v>
      </c>
      <c r="V155" s="264">
        <f t="shared" si="21"/>
        <v>0</v>
      </c>
      <c r="W155" s="264">
        <f t="shared" si="21"/>
        <v>0</v>
      </c>
      <c r="X155" s="264">
        <f t="shared" si="21"/>
        <v>0</v>
      </c>
      <c r="Y155" s="264">
        <f t="shared" si="21"/>
        <v>0</v>
      </c>
      <c r="Z155" s="264">
        <f t="shared" si="21"/>
        <v>0</v>
      </c>
      <c r="AA155" s="336">
        <f t="shared" si="21"/>
        <v>0</v>
      </c>
      <c r="AB155" s="331">
        <f t="shared" si="21"/>
        <v>0</v>
      </c>
      <c r="AC155" s="209"/>
      <c r="AD155" s="675"/>
      <c r="AE155" s="171"/>
      <c r="AF155" s="672"/>
      <c r="AG155" s="158">
        <v>65</v>
      </c>
      <c r="AH155" s="14"/>
      <c r="AI155" s="14"/>
      <c r="AJ155" s="14"/>
      <c r="AK155" s="14"/>
      <c r="AL155" s="14"/>
      <c r="AM155" s="14"/>
      <c r="AN155" s="14"/>
      <c r="AO155" s="14"/>
      <c r="AP155" s="14"/>
      <c r="AQ155" s="14"/>
      <c r="AR155" s="14"/>
      <c r="AS155" s="14"/>
      <c r="AT155" s="14"/>
      <c r="AU155" s="14"/>
    </row>
    <row r="156" spans="1:47" s="4" customFormat="1" ht="53.25" customHeight="1">
      <c r="A156" s="698"/>
      <c r="B156" s="252" t="s">
        <v>633</v>
      </c>
      <c r="C156" s="541" t="s">
        <v>694</v>
      </c>
      <c r="D156" s="265">
        <f>SUM(D148,D140,D144,D136)</f>
        <v>0</v>
      </c>
      <c r="E156" s="265">
        <f t="shared" ref="E156:AB156" si="22">SUM(E148,E140,E144,E136)</f>
        <v>0</v>
      </c>
      <c r="F156" s="265">
        <f t="shared" si="22"/>
        <v>0</v>
      </c>
      <c r="G156" s="265">
        <f t="shared" si="22"/>
        <v>0</v>
      </c>
      <c r="H156" s="265">
        <f t="shared" si="22"/>
        <v>0</v>
      </c>
      <c r="I156" s="265">
        <f t="shared" si="22"/>
        <v>0</v>
      </c>
      <c r="J156" s="265">
        <f t="shared" si="22"/>
        <v>0</v>
      </c>
      <c r="K156" s="265">
        <f t="shared" si="22"/>
        <v>0</v>
      </c>
      <c r="L156" s="265">
        <f t="shared" si="22"/>
        <v>0</v>
      </c>
      <c r="M156" s="265">
        <f t="shared" si="22"/>
        <v>0</v>
      </c>
      <c r="N156" s="265">
        <f t="shared" si="22"/>
        <v>0</v>
      </c>
      <c r="O156" s="265">
        <f t="shared" si="22"/>
        <v>0</v>
      </c>
      <c r="P156" s="265">
        <f t="shared" si="22"/>
        <v>0</v>
      </c>
      <c r="Q156" s="265">
        <f t="shared" si="22"/>
        <v>0</v>
      </c>
      <c r="R156" s="265">
        <f t="shared" si="22"/>
        <v>0</v>
      </c>
      <c r="S156" s="265">
        <f t="shared" si="22"/>
        <v>0</v>
      </c>
      <c r="T156" s="265">
        <f t="shared" si="22"/>
        <v>0</v>
      </c>
      <c r="U156" s="265">
        <f t="shared" si="22"/>
        <v>0</v>
      </c>
      <c r="V156" s="265">
        <f t="shared" si="22"/>
        <v>0</v>
      </c>
      <c r="W156" s="265">
        <f t="shared" si="22"/>
        <v>0</v>
      </c>
      <c r="X156" s="265">
        <f t="shared" si="22"/>
        <v>0</v>
      </c>
      <c r="Y156" s="265">
        <f t="shared" si="22"/>
        <v>0</v>
      </c>
      <c r="Z156" s="265">
        <f t="shared" si="22"/>
        <v>0</v>
      </c>
      <c r="AA156" s="337">
        <f t="shared" si="22"/>
        <v>0</v>
      </c>
      <c r="AB156" s="332">
        <f t="shared" si="22"/>
        <v>0</v>
      </c>
      <c r="AC156" s="232" t="str">
        <f>CONCATENATE(IF(D157&gt;D156," *Repeat Test and Turned Positive  Other Service Modality "&amp;$D$19&amp;" "&amp;$D$20&amp;" is more than Repeat Test Other Service Modality"&amp;CHAR(10),""),IF(E157&gt;E156," *Repeat Test and Turned Positive  Other Service Modality "&amp;$D$19&amp;" "&amp;$E$20&amp;" is more than Repeat Test Other Service Modality"&amp;CHAR(10),""),IF(F157&gt;F156," *Repeat Test and Turned Positive  Other Service Modality "&amp;$F$19&amp;" "&amp;$F$20&amp;" is more than Repeat Test Other Service Modality"&amp;CHAR(10),""),IF(G157&gt;G156," *Repeat Test and Turned Positive  Other Service Modality "&amp;$F$19&amp;" "&amp;$G$20&amp;" is more than Repeat Test Other Service Modality"&amp;CHAR(10),""),IF(H157&gt;H156," *Repeat Test and Turned Positive  Other Service Modality "&amp;$H$19&amp;" "&amp;$H$20&amp;" is more than Repeat Test Other Service Modality"&amp;CHAR(10),""),IF(I157&gt;I156," *Repeat Test and Turned Positive  Other Service Modality "&amp;$H$19&amp;" "&amp;$I$20&amp;" is more than Repeat Test Other Service Modality"&amp;CHAR(10),""),IF(J157&gt;J156," *Repeat Test and Turned Positive  Other Service Modality "&amp;$J$19&amp;" "&amp;$J$20&amp;" is more than Repeat Test Other Service Modality"&amp;CHAR(10),""),IF(K157&gt;K156," *Repeat Test and Turned Positive  Other Service Modality "&amp;$J$19&amp;" "&amp;$K$20&amp;" is more than Repeat Test Other Service Modality"&amp;CHAR(10),""),IF(L157&gt;L156," *Repeat Test and Turned Positive  Other Service Modality "&amp;$L$19&amp;" "&amp;$L$20&amp;" is more than Repeat Test Other Service Modality"&amp;CHAR(10),""),IF(M157&gt;M156," *Repeat Test and Turned Positive  Other Service Modality "&amp;$L$19&amp;" "&amp;$M$20&amp;" is more than Repeat Test Other Service Modality"&amp;CHAR(10),""),IF(N157&gt;N156," *Repeat Test and Turned Positive  Other Service Modality "&amp;$N$19&amp;" "&amp;$N$20&amp;" is more than Repeat Test Other Service Modality"&amp;CHAR(10),""),IF(O157&gt;O156," *Repeat Test and Turned Positive  Other Service Modality "&amp;$N$19&amp;" "&amp;$O$20&amp;" is more than Repeat Test Other Service Modality"&amp;CHAR(10),""),IF(P157&gt;P156," *Repeat Test and Turned Positive  Other Service Modality "&amp;$P$19&amp;" "&amp;$P$20&amp;" is more than Repeat Test Other Service Modality"&amp;CHAR(10),""),IF(Q157&gt;Q156," *Repeat Test and Turned Positive  Other Service Modality "&amp;$P$19&amp;" "&amp;$Q$20&amp;" is more than Repeat Test Other Service Modality"&amp;CHAR(10),""),IF(R157&gt;R156," *Repeat Test and Turned Positive  Other Service Modality "&amp;$R$19&amp;" "&amp;$R$20&amp;" is more than Repeat Test Other Service Modality"&amp;CHAR(10),""),IF(S157&gt;S156," *Repeat Test and Turned Positive  Other Service Modality "&amp;$R$19&amp;" "&amp;$S$20&amp;" is more than Repeat Test Other Service Modality"&amp;CHAR(10),""),IF(T157&gt;T156," *Repeat Test and Turned Positive  Other Service Modality "&amp;$T$19&amp;" "&amp;$T$20&amp;" is more than Repeat Test Other Service Modality"&amp;CHAR(10),""),IF(U157&gt;U156," *Repeat Test and Turned Positive  Other Service Modality "&amp;$T$19&amp;" "&amp;$U$20&amp;" is more than Repeat Test Other Service Modality"&amp;CHAR(10),""),IF(V157&gt;V156," *Repeat Test and Turned Positive  Other Service Modality "&amp;$V$19&amp;" "&amp;$V$20&amp;" is more than Repeat Test Other Service Modality"&amp;CHAR(10),""),IF(W157&gt;W156," *Repeat Test and Turned Positive  Other Service Modality "&amp;$V$19&amp;" "&amp;$W$20&amp;" is more than Repeat Test Other Service Modality"&amp;CHAR(10),""),IF(X157&gt;X156," *Repeat Test and Turned Positive  Other Service Modality "&amp;$X$19&amp;" "&amp;$X$20&amp;" is more than Repeat Test Other Service Modality"&amp;CHAR(10),""),IF(Y157&gt;Y156," *Repeat Test and Turned Positive  Other Service Modality "&amp;$X$19&amp;" "&amp;$Y$20&amp;" is more than Repeat Test Other Service Modality"&amp;CHAR(10),""),IF(Z157&gt;Z156," *Repeat Test and Turned Positive  Other Service Modality "&amp;$Z$19&amp;" "&amp;$Z$20&amp;" is more than Repeat Test Other Service Modality"&amp;CHAR(10),""),IF(AA157&gt;AA156," *Repeat Test and Turned Positive  Other Service Modality "&amp;$Z$19&amp;" "&amp;$AA$20&amp;" is more than Repeat Test Other Service Modality"&amp;CHAR(10),""))</f>
        <v/>
      </c>
      <c r="AD156" s="675"/>
      <c r="AE156" s="171"/>
      <c r="AF156" s="672"/>
      <c r="AG156" s="158">
        <v>64</v>
      </c>
      <c r="AH156" s="14"/>
      <c r="AI156" s="14"/>
      <c r="AJ156" s="14"/>
      <c r="AK156" s="14"/>
      <c r="AL156" s="14"/>
      <c r="AM156" s="14"/>
      <c r="AN156" s="14"/>
      <c r="AO156" s="14"/>
      <c r="AP156" s="14"/>
      <c r="AQ156" s="14"/>
      <c r="AR156" s="14"/>
      <c r="AS156" s="14"/>
      <c r="AT156" s="14"/>
      <c r="AU156" s="14"/>
    </row>
    <row r="157" spans="1:47" s="4" customFormat="1" ht="53.25" customHeight="1" thickBot="1">
      <c r="A157" s="701"/>
      <c r="B157" s="257" t="s">
        <v>636</v>
      </c>
      <c r="C157" s="258" t="s">
        <v>695</v>
      </c>
      <c r="D157" s="338">
        <f>SUM(D149,D141,D145,D137)</f>
        <v>0</v>
      </c>
      <c r="E157" s="338">
        <f t="shared" ref="E157:AB157" si="23">SUM(E149,E141,E145,E137)</f>
        <v>0</v>
      </c>
      <c r="F157" s="338">
        <f t="shared" si="23"/>
        <v>0</v>
      </c>
      <c r="G157" s="338">
        <f t="shared" si="23"/>
        <v>0</v>
      </c>
      <c r="H157" s="338">
        <f t="shared" si="23"/>
        <v>0</v>
      </c>
      <c r="I157" s="338">
        <f t="shared" si="23"/>
        <v>0</v>
      </c>
      <c r="J157" s="338">
        <f t="shared" si="23"/>
        <v>0</v>
      </c>
      <c r="K157" s="338">
        <f t="shared" si="23"/>
        <v>0</v>
      </c>
      <c r="L157" s="338">
        <f t="shared" si="23"/>
        <v>0</v>
      </c>
      <c r="M157" s="338">
        <f t="shared" si="23"/>
        <v>0</v>
      </c>
      <c r="N157" s="338">
        <f t="shared" si="23"/>
        <v>0</v>
      </c>
      <c r="O157" s="338">
        <f t="shared" si="23"/>
        <v>0</v>
      </c>
      <c r="P157" s="338">
        <f t="shared" si="23"/>
        <v>0</v>
      </c>
      <c r="Q157" s="338">
        <f t="shared" si="23"/>
        <v>0</v>
      </c>
      <c r="R157" s="338">
        <f t="shared" si="23"/>
        <v>0</v>
      </c>
      <c r="S157" s="338">
        <f t="shared" si="23"/>
        <v>0</v>
      </c>
      <c r="T157" s="338">
        <f t="shared" si="23"/>
        <v>0</v>
      </c>
      <c r="U157" s="338">
        <f t="shared" si="23"/>
        <v>0</v>
      </c>
      <c r="V157" s="338">
        <f t="shared" si="23"/>
        <v>0</v>
      </c>
      <c r="W157" s="338">
        <f t="shared" si="23"/>
        <v>0</v>
      </c>
      <c r="X157" s="338">
        <f t="shared" si="23"/>
        <v>0</v>
      </c>
      <c r="Y157" s="338">
        <f t="shared" si="23"/>
        <v>0</v>
      </c>
      <c r="Z157" s="338">
        <f t="shared" si="23"/>
        <v>0</v>
      </c>
      <c r="AA157" s="339">
        <f t="shared" si="23"/>
        <v>0</v>
      </c>
      <c r="AB157" s="332">
        <f t="shared" si="23"/>
        <v>0</v>
      </c>
      <c r="AC157" s="211"/>
      <c r="AD157" s="676"/>
      <c r="AE157" s="171"/>
      <c r="AF157" s="673"/>
      <c r="AG157" s="158">
        <v>65</v>
      </c>
      <c r="AH157" s="14"/>
      <c r="AI157" s="14"/>
      <c r="AJ157" s="14"/>
      <c r="AK157" s="14"/>
      <c r="AL157" s="14"/>
      <c r="AM157" s="14"/>
      <c r="AN157" s="14"/>
      <c r="AO157" s="14"/>
      <c r="AP157" s="14"/>
      <c r="AQ157" s="14"/>
      <c r="AR157" s="14"/>
      <c r="AS157" s="14"/>
      <c r="AT157" s="14"/>
      <c r="AU157" s="14"/>
    </row>
    <row r="158" spans="1:47" s="4" customFormat="1" ht="53.25" customHeight="1" thickBot="1">
      <c r="A158" s="722" t="s">
        <v>1032</v>
      </c>
      <c r="B158" s="690"/>
      <c r="C158" s="690"/>
      <c r="D158" s="690"/>
      <c r="E158" s="690"/>
      <c r="F158" s="690"/>
      <c r="G158" s="690"/>
      <c r="H158" s="690"/>
      <c r="I158" s="690"/>
      <c r="J158" s="690"/>
      <c r="K158" s="690"/>
      <c r="L158" s="690"/>
      <c r="M158" s="690"/>
      <c r="N158" s="690"/>
      <c r="O158" s="690"/>
      <c r="P158" s="690"/>
      <c r="Q158" s="690"/>
      <c r="R158" s="690"/>
      <c r="S158" s="690"/>
      <c r="T158" s="690"/>
      <c r="U158" s="690"/>
      <c r="V158" s="690"/>
      <c r="W158" s="690"/>
      <c r="X158" s="690"/>
      <c r="Y158" s="690"/>
      <c r="Z158" s="690"/>
      <c r="AA158" s="690"/>
      <c r="AB158" s="690"/>
      <c r="AC158" s="723"/>
      <c r="AD158" s="723"/>
      <c r="AE158" s="723"/>
      <c r="AF158" s="724"/>
      <c r="AG158" s="158">
        <v>66</v>
      </c>
    </row>
    <row r="159" spans="1:47" s="4" customFormat="1" ht="53.25" customHeight="1">
      <c r="A159" s="702" t="s">
        <v>17</v>
      </c>
      <c r="B159" s="702" t="s">
        <v>25</v>
      </c>
      <c r="C159" s="716" t="s">
        <v>24</v>
      </c>
      <c r="D159" s="866" t="s">
        <v>0</v>
      </c>
      <c r="E159" s="866"/>
      <c r="F159" s="866" t="s">
        <v>1</v>
      </c>
      <c r="G159" s="866"/>
      <c r="H159" s="866" t="s">
        <v>2</v>
      </c>
      <c r="I159" s="866"/>
      <c r="J159" s="866" t="s">
        <v>3</v>
      </c>
      <c r="K159" s="866"/>
      <c r="L159" s="699" t="s">
        <v>4</v>
      </c>
      <c r="M159" s="700"/>
      <c r="N159" s="699" t="s">
        <v>5</v>
      </c>
      <c r="O159" s="700"/>
      <c r="P159" s="699" t="s">
        <v>6</v>
      </c>
      <c r="Q159" s="700"/>
      <c r="R159" s="699" t="s">
        <v>7</v>
      </c>
      <c r="S159" s="700"/>
      <c r="T159" s="699" t="s">
        <v>8</v>
      </c>
      <c r="U159" s="700"/>
      <c r="V159" s="699" t="s">
        <v>14</v>
      </c>
      <c r="W159" s="700"/>
      <c r="X159" s="699" t="s">
        <v>15</v>
      </c>
      <c r="Y159" s="700"/>
      <c r="Z159" s="699" t="s">
        <v>9</v>
      </c>
      <c r="AA159" s="700"/>
      <c r="AB159" s="693" t="s">
        <v>12</v>
      </c>
      <c r="AC159" s="695" t="s">
        <v>26</v>
      </c>
      <c r="AD159" s="710" t="s">
        <v>31</v>
      </c>
      <c r="AE159" s="709" t="s">
        <v>32</v>
      </c>
      <c r="AF159" s="709" t="s">
        <v>32</v>
      </c>
      <c r="AG159" s="158">
        <v>67</v>
      </c>
    </row>
    <row r="160" spans="1:47" s="4" customFormat="1" ht="53.25" customHeight="1" thickBot="1">
      <c r="A160" s="703"/>
      <c r="B160" s="703"/>
      <c r="C160" s="717"/>
      <c r="D160" s="95" t="s">
        <v>10</v>
      </c>
      <c r="E160" s="95" t="s">
        <v>11</v>
      </c>
      <c r="F160" s="95" t="s">
        <v>10</v>
      </c>
      <c r="G160" s="95" t="s">
        <v>11</v>
      </c>
      <c r="H160" s="95" t="s">
        <v>10</v>
      </c>
      <c r="I160" s="95" t="s">
        <v>11</v>
      </c>
      <c r="J160" s="95" t="s">
        <v>10</v>
      </c>
      <c r="K160" s="95" t="s">
        <v>11</v>
      </c>
      <c r="L160" s="95" t="s">
        <v>10</v>
      </c>
      <c r="M160" s="95" t="s">
        <v>11</v>
      </c>
      <c r="N160" s="95" t="s">
        <v>10</v>
      </c>
      <c r="O160" s="95" t="s">
        <v>11</v>
      </c>
      <c r="P160" s="95" t="s">
        <v>10</v>
      </c>
      <c r="Q160" s="95" t="s">
        <v>11</v>
      </c>
      <c r="R160" s="95" t="s">
        <v>10</v>
      </c>
      <c r="S160" s="95" t="s">
        <v>11</v>
      </c>
      <c r="T160" s="95" t="s">
        <v>10</v>
      </c>
      <c r="U160" s="95" t="s">
        <v>11</v>
      </c>
      <c r="V160" s="95" t="s">
        <v>10</v>
      </c>
      <c r="W160" s="95" t="s">
        <v>11</v>
      </c>
      <c r="X160" s="95" t="s">
        <v>10</v>
      </c>
      <c r="Y160" s="95" t="s">
        <v>11</v>
      </c>
      <c r="Z160" s="95" t="s">
        <v>10</v>
      </c>
      <c r="AA160" s="95" t="s">
        <v>11</v>
      </c>
      <c r="AB160" s="694"/>
      <c r="AC160" s="855"/>
      <c r="AD160" s="711"/>
      <c r="AE160" s="705"/>
      <c r="AF160" s="712"/>
      <c r="AG160" s="158">
        <v>68</v>
      </c>
    </row>
    <row r="161" spans="1:33" s="4" customFormat="1" ht="53.25" customHeight="1">
      <c r="A161" s="697" t="s">
        <v>106</v>
      </c>
      <c r="B161" s="266" t="s">
        <v>116</v>
      </c>
      <c r="C161" s="545" t="s">
        <v>288</v>
      </c>
      <c r="D161" s="182"/>
      <c r="E161" s="183"/>
      <c r="F161" s="182"/>
      <c r="G161" s="183"/>
      <c r="H161" s="182"/>
      <c r="I161" s="183"/>
      <c r="J161" s="182"/>
      <c r="K161" s="183"/>
      <c r="L161" s="196"/>
      <c r="M161" s="196"/>
      <c r="N161" s="196"/>
      <c r="O161" s="196"/>
      <c r="P161" s="196"/>
      <c r="Q161" s="196"/>
      <c r="R161" s="196"/>
      <c r="S161" s="196"/>
      <c r="T161" s="196"/>
      <c r="U161" s="196"/>
      <c r="V161" s="196"/>
      <c r="W161" s="196"/>
      <c r="X161" s="196"/>
      <c r="Y161" s="196"/>
      <c r="Z161" s="196"/>
      <c r="AA161" s="267"/>
      <c r="AB161" s="268">
        <f>SUM(D161:AA161)</f>
        <v>0</v>
      </c>
      <c r="AC161" s="269" t="str">
        <f>CONCATENATE(IF(D162&gt;D161," * Accepted Index Testing "&amp;$D$19&amp;" "&amp;$D$20&amp;" is more than Offered Index Testing"&amp;CHAR(10),""),IF(E162&gt;E161," * Accepted Index Testing "&amp;$D$19&amp;" "&amp;$E$20&amp;" is more than Offered Index Testing"&amp;CHAR(10),""),IF(F162&gt;F161," * Accepted Index Testing "&amp;$F$19&amp;" "&amp;$F$20&amp;" is more than Offered Index Testing"&amp;CHAR(10),""),IF(G162&gt;G161," * Accepted Index Testing "&amp;$F$19&amp;" "&amp;$G$20&amp;" is more than Offered Index Testing"&amp;CHAR(10),""),IF(H162&gt;H161," * Accepted Index Testing "&amp;$H$19&amp;" "&amp;$H$20&amp;" is more than Offered Index Testing"&amp;CHAR(10),""),IF(I162&gt;I161," * Accepted Index Testing "&amp;$H$19&amp;" "&amp;$I$20&amp;" is more than Offered Index Testing"&amp;CHAR(10),""),IF(J162&gt;J161," * Accepted Index Testing "&amp;$J$19&amp;" "&amp;$J$20&amp;" is more than Offered Index Testing"&amp;CHAR(10),""),IF(K162&gt;K161," * Accepted Index Testing "&amp;$J$19&amp;" "&amp;$K$20&amp;" is more than Offered Index Testing"&amp;CHAR(10),""),IF(L162&gt;L161," * Accepted Index Testing "&amp;$L$19&amp;" "&amp;$L$20&amp;" is more than Offered Index Testing"&amp;CHAR(10),""),IF(M162&gt;M161," * Accepted Index Testing "&amp;$L$19&amp;" "&amp;$M$20&amp;" is more than Offered Index Testing"&amp;CHAR(10),""),IF(N162&gt;N161," * Accepted Index Testing "&amp;$N$19&amp;" "&amp;$N$20&amp;" is more than Offered Index Testing"&amp;CHAR(10),""),IF(O162&gt;O161," * Accepted Index Testing "&amp;$N$19&amp;" "&amp;$O$20&amp;" is more than Offered Index Testing"&amp;CHAR(10),""),IF(P162&gt;P161," * Accepted Index Testing "&amp;$P$19&amp;" "&amp;$P$20&amp;" is more than Offered Index Testing"&amp;CHAR(10),""),IF(Q162&gt;Q161," * Accepted Index Testing "&amp;$P$19&amp;" "&amp;$Q$20&amp;" is more than Offered Index Testing"&amp;CHAR(10),""),IF(R162&gt;R161," * Accepted Index Testing "&amp;$R$19&amp;" "&amp;$R$20&amp;" is more than Offered Index Testing"&amp;CHAR(10),""),IF(S162&gt;S161," * Accepted Index Testing "&amp;$R$19&amp;" "&amp;$S$20&amp;" is more than Offered Index Testing"&amp;CHAR(10),""),IF(T162&gt;T161," * Accepted Index Testing "&amp;$T$19&amp;" "&amp;$T$20&amp;" is more than Offered Index Testing"&amp;CHAR(10),""),IF(U162&gt;U161," * Accepted Index Testing "&amp;$T$19&amp;" "&amp;$U$20&amp;" is more than Offered Index Testing"&amp;CHAR(10),""),IF(V162&gt;V161," * Accepted Index Testing "&amp;$V$19&amp;" "&amp;$V$20&amp;" is more than Offered Index Testing"&amp;CHAR(10),""),IF(W162&gt;W161," * Accepted Index Testing "&amp;$V$19&amp;" "&amp;$W$20&amp;" is more than Offered Index Testing"&amp;CHAR(10),""),IF(X162&gt;X161," * Accepted Index Testing "&amp;$X$19&amp;" "&amp;$X$20&amp;" is more than Offered Index Testing"&amp;CHAR(10),""),IF(Y162&gt;Y161," * Accepted Index Testing "&amp;$X$19&amp;" "&amp;$Y$20&amp;" is more than Offered Index Testing"&amp;CHAR(10),""),IF(Z162&gt;Z161," * Accepted Index Testing "&amp;$Z$19&amp;" "&amp;$Z$20&amp;" is more than Offered Index Testing"&amp;CHAR(10),""),IF(AA162&gt;AA161," * Accepted Index Testing "&amp;$Z$19&amp;" "&amp;$AA$20&amp;" is more than Offered Index Testing"&amp;CHAR(10),""))</f>
        <v/>
      </c>
      <c r="AD161" s="674" t="str">
        <f>CONCATENATE(AC161,AC162,AC163,AC164,AC165,AC166)</f>
        <v/>
      </c>
      <c r="AE161" s="168"/>
      <c r="AF161" s="671" t="str">
        <f>CONCATENATE(AE166,AE165,AE164,AE163,AE162,AE161)</f>
        <v/>
      </c>
      <c r="AG161" s="158">
        <v>69</v>
      </c>
    </row>
    <row r="162" spans="1:33" s="4" customFormat="1" ht="53.25" customHeight="1">
      <c r="A162" s="698"/>
      <c r="B162" s="270" t="s">
        <v>115</v>
      </c>
      <c r="C162" s="547" t="s">
        <v>289</v>
      </c>
      <c r="D162" s="162"/>
      <c r="E162" s="163"/>
      <c r="F162" s="162"/>
      <c r="G162" s="163"/>
      <c r="H162" s="162"/>
      <c r="I162" s="163"/>
      <c r="J162" s="162"/>
      <c r="K162" s="163"/>
      <c r="L162" s="197"/>
      <c r="M162" s="197"/>
      <c r="N162" s="197"/>
      <c r="O162" s="197"/>
      <c r="P162" s="197"/>
      <c r="Q162" s="197"/>
      <c r="R162" s="197"/>
      <c r="S162" s="197"/>
      <c r="T162" s="197"/>
      <c r="U162" s="197"/>
      <c r="V162" s="197"/>
      <c r="W162" s="197"/>
      <c r="X162" s="197"/>
      <c r="Y162" s="197"/>
      <c r="Z162" s="197"/>
      <c r="AA162" s="271"/>
      <c r="AB162" s="208">
        <f t="shared" ref="AB162:AB184" si="24">SUM(D162:AA162)</f>
        <v>0</v>
      </c>
      <c r="AC162" s="216"/>
      <c r="AD162" s="675"/>
      <c r="AE162" s="171"/>
      <c r="AF162" s="672"/>
      <c r="AG162" s="158">
        <v>70</v>
      </c>
    </row>
    <row r="163" spans="1:33" s="4" customFormat="1" ht="53.25" customHeight="1">
      <c r="A163" s="698"/>
      <c r="B163" s="270" t="s">
        <v>108</v>
      </c>
      <c r="C163" s="547" t="s">
        <v>290</v>
      </c>
      <c r="D163" s="162"/>
      <c r="E163" s="163"/>
      <c r="F163" s="162"/>
      <c r="G163" s="163"/>
      <c r="H163" s="162"/>
      <c r="I163" s="163"/>
      <c r="J163" s="162"/>
      <c r="K163" s="163"/>
      <c r="L163" s="197"/>
      <c r="M163" s="197"/>
      <c r="N163" s="197"/>
      <c r="O163" s="197"/>
      <c r="P163" s="197"/>
      <c r="Q163" s="197"/>
      <c r="R163" s="197"/>
      <c r="S163" s="197"/>
      <c r="T163" s="197"/>
      <c r="U163" s="197"/>
      <c r="V163" s="197"/>
      <c r="W163" s="197"/>
      <c r="X163" s="197"/>
      <c r="Y163" s="197"/>
      <c r="Z163" s="197"/>
      <c r="AA163" s="271"/>
      <c r="AB163" s="208">
        <f t="shared" si="24"/>
        <v>0</v>
      </c>
      <c r="AC163" s="216"/>
      <c r="AD163" s="675"/>
      <c r="AE163" s="171"/>
      <c r="AF163" s="672"/>
      <c r="AG163" s="158">
        <v>71</v>
      </c>
    </row>
    <row r="164" spans="1:33" s="4" customFormat="1" ht="53.25" customHeight="1">
      <c r="A164" s="698"/>
      <c r="B164" s="270" t="s">
        <v>107</v>
      </c>
      <c r="C164" s="547" t="s">
        <v>291</v>
      </c>
      <c r="D164" s="162"/>
      <c r="E164" s="163"/>
      <c r="F164" s="162"/>
      <c r="G164" s="163"/>
      <c r="H164" s="162"/>
      <c r="I164" s="163"/>
      <c r="J164" s="162"/>
      <c r="K164" s="163"/>
      <c r="L164" s="197"/>
      <c r="M164" s="197"/>
      <c r="N164" s="197"/>
      <c r="O164" s="197"/>
      <c r="P164" s="197"/>
      <c r="Q164" s="197"/>
      <c r="R164" s="197"/>
      <c r="S164" s="197"/>
      <c r="T164" s="197"/>
      <c r="U164" s="197"/>
      <c r="V164" s="197"/>
      <c r="W164" s="197"/>
      <c r="X164" s="197"/>
      <c r="Y164" s="197"/>
      <c r="Z164" s="197"/>
      <c r="AA164" s="271"/>
      <c r="AB164" s="208">
        <f t="shared" si="24"/>
        <v>0</v>
      </c>
      <c r="AC164" s="216"/>
      <c r="AD164" s="675"/>
      <c r="AE164" s="171"/>
      <c r="AF164" s="672"/>
      <c r="AG164" s="158">
        <v>72</v>
      </c>
    </row>
    <row r="165" spans="1:33" s="4" customFormat="1" ht="53.25" customHeight="1">
      <c r="A165" s="698"/>
      <c r="B165" s="270" t="s">
        <v>23</v>
      </c>
      <c r="C165" s="547" t="s">
        <v>292</v>
      </c>
      <c r="D165" s="162"/>
      <c r="E165" s="163"/>
      <c r="F165" s="162"/>
      <c r="G165" s="163"/>
      <c r="H165" s="162"/>
      <c r="I165" s="163"/>
      <c r="J165" s="162"/>
      <c r="K165" s="163"/>
      <c r="L165" s="197"/>
      <c r="M165" s="197"/>
      <c r="N165" s="197"/>
      <c r="O165" s="197"/>
      <c r="P165" s="197"/>
      <c r="Q165" s="197"/>
      <c r="R165" s="197"/>
      <c r="S165" s="197"/>
      <c r="T165" s="197"/>
      <c r="U165" s="197"/>
      <c r="V165" s="197"/>
      <c r="W165" s="197"/>
      <c r="X165" s="197"/>
      <c r="Y165" s="197"/>
      <c r="Z165" s="197"/>
      <c r="AA165" s="271"/>
      <c r="AB165" s="208">
        <f t="shared" si="24"/>
        <v>0</v>
      </c>
      <c r="AC165" s="216" t="str">
        <f>CONCATENATE(IF(D166&gt;D165," * Positive HTS_INDEX "&amp;$D$19&amp;" "&amp;$D$20&amp;" is more than Tested HTS_INDEX"&amp;CHAR(10),""),IF(E166&gt;E165," * Positive HTS_INDEX "&amp;$D$19&amp;" "&amp;$E$20&amp;" is more than Tested HTS_INDEX"&amp;CHAR(10),""),IF(F166&gt;F165," * Positive HTS_INDEX "&amp;$F$19&amp;" "&amp;$F$20&amp;" is more than Tested HTS_INDEX"&amp;CHAR(10),""),IF(G166&gt;G165," * Positive HTS_INDEX "&amp;$F$19&amp;" "&amp;$G$20&amp;" is more than Tested HTS_INDEX"&amp;CHAR(10),""),IF(H166&gt;H165," * Positive HTS_INDEX "&amp;$H$19&amp;" "&amp;$H$20&amp;" is more than Tested HTS_INDEX"&amp;CHAR(10),""),IF(I166&gt;I165," * Positive HTS_INDEX "&amp;$H$19&amp;" "&amp;$I$20&amp;" is more than Tested HTS_INDEX"&amp;CHAR(10),""),IF(J166&gt;J165," * Positive HTS_INDEX "&amp;$J$19&amp;" "&amp;$J$20&amp;" is more than Tested HTS_INDEX"&amp;CHAR(10),""),IF(K166&gt;K165," * Positive HTS_INDEX "&amp;$J$19&amp;" "&amp;$K$20&amp;" is more than Tested HTS_INDEX"&amp;CHAR(10),""),IF(L166&gt;L165," * Positive HTS_INDEX "&amp;$L$19&amp;" "&amp;$L$20&amp;" is more than Tested HTS_INDEX"&amp;CHAR(10),""),IF(M166&gt;M165," * Positive HTS_INDEX "&amp;$L$19&amp;" "&amp;$M$20&amp;" is more than Tested HTS_INDEX"&amp;CHAR(10),""),IF(N166&gt;N165," * Positive HTS_INDEX "&amp;$N$19&amp;" "&amp;$N$20&amp;" is more than Tested HTS_INDEX"&amp;CHAR(10),""),IF(O166&gt;O165," * Positive HTS_INDEX "&amp;$N$19&amp;" "&amp;$O$20&amp;" is more than Tested HTS_INDEX"&amp;CHAR(10),""),IF(P166&gt;P165," * Positive HTS_INDEX "&amp;$P$19&amp;" "&amp;$P$20&amp;" is more than Tested HTS_INDEX"&amp;CHAR(10),""),IF(Q166&gt;Q165," * Positive HTS_INDEX "&amp;$P$19&amp;" "&amp;$Q$20&amp;" is more than Tested HTS_INDEX"&amp;CHAR(10),""),IF(R166&gt;R165," * Positive HTS_INDEX "&amp;$R$19&amp;" "&amp;$R$20&amp;" is more than Tested HTS_INDEX"&amp;CHAR(10),""),IF(S166&gt;S165," * Positive HTS_INDEX "&amp;$R$19&amp;" "&amp;$S$20&amp;" is more than Tested HTS_INDEX"&amp;CHAR(10),""),IF(T166&gt;T165," * Positive HTS_INDEX "&amp;$T$19&amp;" "&amp;$T$20&amp;" is more than Tested HTS_INDEX"&amp;CHAR(10),""),IF(U166&gt;U165," * Positive HTS_INDEX "&amp;$T$19&amp;" "&amp;$U$20&amp;" is more than Tested HTS_INDEX"&amp;CHAR(10),""),IF(V166&gt;V165," * Positive HTS_INDEX "&amp;$V$19&amp;" "&amp;$V$20&amp;" is more than Tested HTS_INDEX"&amp;CHAR(10),""),IF(W166&gt;W165," * Positive HTS_INDEX "&amp;$V$19&amp;" "&amp;$W$20&amp;" is more than Tested HTS_INDEX"&amp;CHAR(10),""),IF(X166&gt;X165," * Positive HTS_INDEX "&amp;$X$19&amp;" "&amp;$X$20&amp;" is more than Tested HTS_INDEX"&amp;CHAR(10),""),IF(Y166&gt;Y165," * Positive HTS_INDEX "&amp;$X$19&amp;" "&amp;$Y$20&amp;" is more than Tested HTS_INDEX"&amp;CHAR(10),""),IF(Z166&gt;Z165," * Positive HTS_INDEX "&amp;$Z$19&amp;" "&amp;$Z$20&amp;" is more than Tested HTS_INDEX"&amp;CHAR(10),""),IF(AA166&gt;AA165," * Positive HTS_INDEX "&amp;$Z$19&amp;" "&amp;$AA$20&amp;" is more than Tested HTS_INDEX"&amp;CHAR(10),""))</f>
        <v/>
      </c>
      <c r="AD165" s="675"/>
      <c r="AE165" s="171"/>
      <c r="AF165" s="672"/>
      <c r="AG165" s="158">
        <v>73</v>
      </c>
    </row>
    <row r="166" spans="1:33" s="4" customFormat="1" ht="53.25" customHeight="1" thickBot="1">
      <c r="A166" s="701"/>
      <c r="B166" s="272" t="s">
        <v>22</v>
      </c>
      <c r="C166" s="546" t="s">
        <v>293</v>
      </c>
      <c r="D166" s="177"/>
      <c r="E166" s="178"/>
      <c r="F166" s="177"/>
      <c r="G166" s="178"/>
      <c r="H166" s="177"/>
      <c r="I166" s="178"/>
      <c r="J166" s="177"/>
      <c r="K166" s="178"/>
      <c r="L166" s="198"/>
      <c r="M166" s="198"/>
      <c r="N166" s="198"/>
      <c r="O166" s="198"/>
      <c r="P166" s="198"/>
      <c r="Q166" s="198"/>
      <c r="R166" s="198"/>
      <c r="S166" s="198"/>
      <c r="T166" s="198"/>
      <c r="U166" s="198"/>
      <c r="V166" s="198"/>
      <c r="W166" s="198"/>
      <c r="X166" s="198"/>
      <c r="Y166" s="198"/>
      <c r="Z166" s="198"/>
      <c r="AA166" s="238"/>
      <c r="AB166" s="210">
        <f t="shared" si="24"/>
        <v>0</v>
      </c>
      <c r="AC166" s="216"/>
      <c r="AD166" s="676"/>
      <c r="AE166" s="171"/>
      <c r="AF166" s="673"/>
      <c r="AG166" s="158">
        <v>74</v>
      </c>
    </row>
    <row r="167" spans="1:33" s="4" customFormat="1" ht="53.25" customHeight="1" thickBot="1">
      <c r="A167" s="688" t="s">
        <v>1033</v>
      </c>
      <c r="B167" s="689"/>
      <c r="C167" s="692"/>
      <c r="D167" s="689"/>
      <c r="E167" s="689"/>
      <c r="F167" s="689"/>
      <c r="G167" s="689"/>
      <c r="H167" s="689"/>
      <c r="I167" s="689"/>
      <c r="J167" s="689"/>
      <c r="K167" s="689"/>
      <c r="L167" s="689"/>
      <c r="M167" s="689"/>
      <c r="N167" s="689"/>
      <c r="O167" s="689"/>
      <c r="P167" s="689"/>
      <c r="Q167" s="689"/>
      <c r="R167" s="689"/>
      <c r="S167" s="689"/>
      <c r="T167" s="689"/>
      <c r="U167" s="689"/>
      <c r="V167" s="689"/>
      <c r="W167" s="689"/>
      <c r="X167" s="689"/>
      <c r="Y167" s="689"/>
      <c r="Z167" s="689"/>
      <c r="AA167" s="689"/>
      <c r="AB167" s="689"/>
      <c r="AC167" s="689"/>
      <c r="AD167" s="689"/>
      <c r="AE167" s="689"/>
      <c r="AF167" s="691"/>
      <c r="AG167" s="158">
        <v>75</v>
      </c>
    </row>
    <row r="168" spans="1:33" s="4" customFormat="1" ht="53.25" customHeight="1">
      <c r="A168" s="721" t="s">
        <v>17</v>
      </c>
      <c r="B168" s="721" t="s">
        <v>25</v>
      </c>
      <c r="C168" s="717" t="s">
        <v>24</v>
      </c>
      <c r="D168" s="687" t="s">
        <v>0</v>
      </c>
      <c r="E168" s="687"/>
      <c r="F168" s="687" t="s">
        <v>1</v>
      </c>
      <c r="G168" s="687"/>
      <c r="H168" s="687" t="s">
        <v>2</v>
      </c>
      <c r="I168" s="687"/>
      <c r="J168" s="687" t="s">
        <v>3</v>
      </c>
      <c r="K168" s="687"/>
      <c r="L168" s="681" t="s">
        <v>4</v>
      </c>
      <c r="M168" s="682"/>
      <c r="N168" s="681" t="s">
        <v>5</v>
      </c>
      <c r="O168" s="682"/>
      <c r="P168" s="681" t="s">
        <v>6</v>
      </c>
      <c r="Q168" s="682"/>
      <c r="R168" s="681" t="s">
        <v>7</v>
      </c>
      <c r="S168" s="682"/>
      <c r="T168" s="681" t="s">
        <v>8</v>
      </c>
      <c r="U168" s="682"/>
      <c r="V168" s="681" t="s">
        <v>14</v>
      </c>
      <c r="W168" s="682"/>
      <c r="X168" s="681" t="s">
        <v>15</v>
      </c>
      <c r="Y168" s="682"/>
      <c r="Z168" s="681" t="s">
        <v>9</v>
      </c>
      <c r="AA168" s="682"/>
      <c r="AB168" s="683" t="s">
        <v>12</v>
      </c>
      <c r="AC168" s="854" t="s">
        <v>26</v>
      </c>
      <c r="AD168" s="273"/>
      <c r="AE168" s="704" t="s">
        <v>32</v>
      </c>
      <c r="AF168" s="274"/>
      <c r="AG168" s="158">
        <v>76</v>
      </c>
    </row>
    <row r="169" spans="1:33" s="4" customFormat="1" ht="53.25" customHeight="1" thickBot="1">
      <c r="A169" s="703"/>
      <c r="B169" s="703"/>
      <c r="C169" s="717"/>
      <c r="D169" s="95" t="s">
        <v>10</v>
      </c>
      <c r="E169" s="95" t="s">
        <v>11</v>
      </c>
      <c r="F169" s="95" t="s">
        <v>10</v>
      </c>
      <c r="G169" s="95" t="s">
        <v>11</v>
      </c>
      <c r="H169" s="95" t="s">
        <v>10</v>
      </c>
      <c r="I169" s="95" t="s">
        <v>11</v>
      </c>
      <c r="J169" s="95" t="s">
        <v>10</v>
      </c>
      <c r="K169" s="95" t="s">
        <v>11</v>
      </c>
      <c r="L169" s="95" t="s">
        <v>10</v>
      </c>
      <c r="M169" s="95" t="s">
        <v>11</v>
      </c>
      <c r="N169" s="95" t="s">
        <v>10</v>
      </c>
      <c r="O169" s="95" t="s">
        <v>11</v>
      </c>
      <c r="P169" s="95" t="s">
        <v>10</v>
      </c>
      <c r="Q169" s="95" t="s">
        <v>11</v>
      </c>
      <c r="R169" s="95" t="s">
        <v>10</v>
      </c>
      <c r="S169" s="95" t="s">
        <v>11</v>
      </c>
      <c r="T169" s="95" t="s">
        <v>10</v>
      </c>
      <c r="U169" s="95" t="s">
        <v>11</v>
      </c>
      <c r="V169" s="95" t="s">
        <v>10</v>
      </c>
      <c r="W169" s="95" t="s">
        <v>11</v>
      </c>
      <c r="X169" s="95" t="s">
        <v>10</v>
      </c>
      <c r="Y169" s="95" t="s">
        <v>11</v>
      </c>
      <c r="Z169" s="95" t="s">
        <v>10</v>
      </c>
      <c r="AA169" s="95" t="s">
        <v>11</v>
      </c>
      <c r="AB169" s="684"/>
      <c r="AC169" s="855"/>
      <c r="AD169" s="273"/>
      <c r="AE169" s="705"/>
      <c r="AF169" s="274"/>
      <c r="AG169" s="158">
        <v>77</v>
      </c>
    </row>
    <row r="170" spans="1:33" s="4" customFormat="1" ht="53.25" customHeight="1">
      <c r="A170" s="874" t="s">
        <v>109</v>
      </c>
      <c r="B170" s="275" t="s">
        <v>117</v>
      </c>
      <c r="C170" s="545" t="s">
        <v>294</v>
      </c>
      <c r="D170" s="276">
        <f t="shared" ref="D170:K170" si="25">SUM(D172:D176)</f>
        <v>0</v>
      </c>
      <c r="E170" s="277">
        <f t="shared" si="25"/>
        <v>0</v>
      </c>
      <c r="F170" s="277">
        <f t="shared" si="25"/>
        <v>0</v>
      </c>
      <c r="G170" s="277">
        <f t="shared" si="25"/>
        <v>0</v>
      </c>
      <c r="H170" s="277">
        <f t="shared" si="25"/>
        <v>0</v>
      </c>
      <c r="I170" s="277">
        <f t="shared" si="25"/>
        <v>0</v>
      </c>
      <c r="J170" s="277">
        <f t="shared" si="25"/>
        <v>0</v>
      </c>
      <c r="K170" s="277">
        <f t="shared" si="25"/>
        <v>0</v>
      </c>
      <c r="L170" s="277">
        <f>SUM(L172:L176)</f>
        <v>0</v>
      </c>
      <c r="M170" s="277">
        <f t="shared" ref="M170:AB170" si="26">SUM(M172:M176)</f>
        <v>0</v>
      </c>
      <c r="N170" s="277">
        <f t="shared" si="26"/>
        <v>0</v>
      </c>
      <c r="O170" s="277">
        <f t="shared" si="26"/>
        <v>0</v>
      </c>
      <c r="P170" s="277">
        <f t="shared" si="26"/>
        <v>0</v>
      </c>
      <c r="Q170" s="277">
        <f t="shared" si="26"/>
        <v>0</v>
      </c>
      <c r="R170" s="277">
        <f t="shared" si="26"/>
        <v>0</v>
      </c>
      <c r="S170" s="277">
        <f t="shared" si="26"/>
        <v>0</v>
      </c>
      <c r="T170" s="277">
        <f t="shared" si="26"/>
        <v>0</v>
      </c>
      <c r="U170" s="277">
        <f t="shared" si="26"/>
        <v>0</v>
      </c>
      <c r="V170" s="277">
        <f t="shared" si="26"/>
        <v>0</v>
      </c>
      <c r="W170" s="277">
        <f t="shared" si="26"/>
        <v>0</v>
      </c>
      <c r="X170" s="277">
        <f t="shared" si="26"/>
        <v>0</v>
      </c>
      <c r="Y170" s="277">
        <f t="shared" si="26"/>
        <v>0</v>
      </c>
      <c r="Z170" s="277">
        <f t="shared" si="26"/>
        <v>0</v>
      </c>
      <c r="AA170" s="278">
        <f t="shared" si="26"/>
        <v>0</v>
      </c>
      <c r="AB170" s="166">
        <f t="shared" si="26"/>
        <v>0</v>
      </c>
      <c r="AC170" s="269"/>
      <c r="AD170" s="675" t="str">
        <f>CONCATENATE(AC170,AC171,AC172,AC173,AC174,AC175,AC176,AC177,AC178,AC179,AC180,AC181,AC182,AC183,AC184)</f>
        <v/>
      </c>
      <c r="AE170" s="171"/>
      <c r="AF170" s="672" t="str">
        <f>CONCATENATE(AE170,AE171,AE172,AE173,AE174,AE175,AE176,AE177,AE178,AE179,AE180,AE181,AE182,AE183,AE184)</f>
        <v/>
      </c>
      <c r="AG170" s="158">
        <v>78</v>
      </c>
    </row>
    <row r="171" spans="1:33" s="4" customFormat="1" ht="53.25" customHeight="1" thickBot="1">
      <c r="A171" s="875"/>
      <c r="B171" s="279" t="s">
        <v>118</v>
      </c>
      <c r="C171" s="547" t="s">
        <v>295</v>
      </c>
      <c r="D171" s="280">
        <f t="shared" ref="D171:K171" si="27">SUM(D177:D181)</f>
        <v>0</v>
      </c>
      <c r="E171" s="280">
        <f t="shared" si="27"/>
        <v>0</v>
      </c>
      <c r="F171" s="280">
        <f t="shared" si="27"/>
        <v>0</v>
      </c>
      <c r="G171" s="280">
        <f t="shared" si="27"/>
        <v>0</v>
      </c>
      <c r="H171" s="280">
        <f t="shared" si="27"/>
        <v>0</v>
      </c>
      <c r="I171" s="280">
        <f t="shared" si="27"/>
        <v>0</v>
      </c>
      <c r="J171" s="280">
        <f t="shared" si="27"/>
        <v>0</v>
      </c>
      <c r="K171" s="280">
        <f t="shared" si="27"/>
        <v>0</v>
      </c>
      <c r="L171" s="280">
        <f>SUM(L177:L181)</f>
        <v>0</v>
      </c>
      <c r="M171" s="280">
        <f t="shared" ref="M171:AA171" si="28">SUM(M177:M181)</f>
        <v>0</v>
      </c>
      <c r="N171" s="280">
        <f t="shared" si="28"/>
        <v>0</v>
      </c>
      <c r="O171" s="280">
        <f t="shared" si="28"/>
        <v>0</v>
      </c>
      <c r="P171" s="280">
        <f t="shared" si="28"/>
        <v>0</v>
      </c>
      <c r="Q171" s="280">
        <f t="shared" si="28"/>
        <v>0</v>
      </c>
      <c r="R171" s="280">
        <f t="shared" si="28"/>
        <v>0</v>
      </c>
      <c r="S171" s="280">
        <f t="shared" si="28"/>
        <v>0</v>
      </c>
      <c r="T171" s="280">
        <f t="shared" si="28"/>
        <v>0</v>
      </c>
      <c r="U171" s="280">
        <f t="shared" si="28"/>
        <v>0</v>
      </c>
      <c r="V171" s="280">
        <f t="shared" si="28"/>
        <v>0</v>
      </c>
      <c r="W171" s="280">
        <f t="shared" si="28"/>
        <v>0</v>
      </c>
      <c r="X171" s="280">
        <f t="shared" si="28"/>
        <v>0</v>
      </c>
      <c r="Y171" s="280">
        <f t="shared" si="28"/>
        <v>0</v>
      </c>
      <c r="Z171" s="280">
        <f t="shared" si="28"/>
        <v>0</v>
      </c>
      <c r="AA171" s="280">
        <f t="shared" si="28"/>
        <v>0</v>
      </c>
      <c r="AB171" s="281">
        <f>SUM(AB177:AB181)</f>
        <v>0</v>
      </c>
      <c r="AC171" s="282"/>
      <c r="AD171" s="675"/>
      <c r="AE171" s="171"/>
      <c r="AF171" s="672"/>
      <c r="AG171" s="158">
        <v>79</v>
      </c>
    </row>
    <row r="172" spans="1:33" s="4" customFormat="1" ht="53.25" customHeight="1">
      <c r="A172" s="378" t="s">
        <v>75</v>
      </c>
      <c r="B172" s="266" t="s">
        <v>111</v>
      </c>
      <c r="C172" s="545" t="s">
        <v>296</v>
      </c>
      <c r="D172" s="182"/>
      <c r="E172" s="183"/>
      <c r="F172" s="182"/>
      <c r="G172" s="183"/>
      <c r="H172" s="182"/>
      <c r="I172" s="183"/>
      <c r="J172" s="182"/>
      <c r="K172" s="183"/>
      <c r="L172" s="196"/>
      <c r="M172" s="196"/>
      <c r="N172" s="196"/>
      <c r="O172" s="196"/>
      <c r="P172" s="196"/>
      <c r="Q172" s="196"/>
      <c r="R172" s="196"/>
      <c r="S172" s="196"/>
      <c r="T172" s="196"/>
      <c r="U172" s="196"/>
      <c r="V172" s="196"/>
      <c r="W172" s="196"/>
      <c r="X172" s="196"/>
      <c r="Y172" s="196"/>
      <c r="Z172" s="196"/>
      <c r="AA172" s="267"/>
      <c r="AB172" s="268">
        <f t="shared" si="24"/>
        <v>0</v>
      </c>
      <c r="AC172" s="206"/>
      <c r="AD172" s="675"/>
      <c r="AE172" s="171"/>
      <c r="AF172" s="672"/>
      <c r="AG172" s="158">
        <v>80</v>
      </c>
    </row>
    <row r="173" spans="1:33" s="4" customFormat="1" ht="53.25" customHeight="1" thickBot="1">
      <c r="A173" s="376" t="s">
        <v>76</v>
      </c>
      <c r="B173" s="270" t="s">
        <v>111</v>
      </c>
      <c r="C173" s="547" t="s">
        <v>297</v>
      </c>
      <c r="D173" s="162"/>
      <c r="E173" s="163"/>
      <c r="F173" s="162"/>
      <c r="G173" s="163"/>
      <c r="H173" s="162"/>
      <c r="I173" s="163"/>
      <c r="J173" s="162"/>
      <c r="K173" s="163"/>
      <c r="L173" s="197"/>
      <c r="M173" s="163"/>
      <c r="N173" s="197"/>
      <c r="O173" s="163"/>
      <c r="P173" s="197"/>
      <c r="Q173" s="163"/>
      <c r="R173" s="197"/>
      <c r="S173" s="163"/>
      <c r="T173" s="197"/>
      <c r="U173" s="163"/>
      <c r="V173" s="197"/>
      <c r="W173" s="163"/>
      <c r="X173" s="197"/>
      <c r="Y173" s="163"/>
      <c r="Z173" s="197"/>
      <c r="AA173" s="163"/>
      <c r="AB173" s="283">
        <f t="shared" si="24"/>
        <v>0</v>
      </c>
      <c r="AC173" s="209"/>
      <c r="AD173" s="675"/>
      <c r="AE173" s="171"/>
      <c r="AF173" s="672"/>
      <c r="AG173" s="158">
        <v>81</v>
      </c>
    </row>
    <row r="174" spans="1:33" s="4" customFormat="1" ht="53.25" customHeight="1" thickBot="1">
      <c r="A174" s="376" t="s">
        <v>421</v>
      </c>
      <c r="B174" s="270" t="s">
        <v>111</v>
      </c>
      <c r="C174" s="547" t="s">
        <v>298</v>
      </c>
      <c r="D174" s="162"/>
      <c r="E174" s="163"/>
      <c r="F174" s="162"/>
      <c r="G174" s="163"/>
      <c r="H174" s="162"/>
      <c r="I174" s="163"/>
      <c r="J174" s="162"/>
      <c r="K174" s="163"/>
      <c r="L174" s="163"/>
      <c r="M174" s="163"/>
      <c r="N174" s="163"/>
      <c r="O174" s="163"/>
      <c r="P174" s="163"/>
      <c r="Q174" s="163"/>
      <c r="R174" s="163"/>
      <c r="S174" s="163"/>
      <c r="T174" s="163"/>
      <c r="U174" s="163"/>
      <c r="V174" s="163"/>
      <c r="W174" s="163"/>
      <c r="X174" s="163"/>
      <c r="Y174" s="163"/>
      <c r="Z174" s="163"/>
      <c r="AA174" s="192"/>
      <c r="AB174" s="284"/>
      <c r="AC174" s="209"/>
      <c r="AD174" s="675"/>
      <c r="AE174" s="171"/>
      <c r="AF174" s="672"/>
      <c r="AG174" s="158">
        <v>82</v>
      </c>
    </row>
    <row r="175" spans="1:33" s="4" customFormat="1" ht="53.25" customHeight="1">
      <c r="A175" s="376" t="s">
        <v>78</v>
      </c>
      <c r="B175" s="270" t="s">
        <v>111</v>
      </c>
      <c r="C175" s="547" t="s">
        <v>299</v>
      </c>
      <c r="D175" s="162"/>
      <c r="E175" s="163"/>
      <c r="F175" s="162"/>
      <c r="G175" s="163"/>
      <c r="H175" s="162"/>
      <c r="I175" s="163"/>
      <c r="J175" s="162"/>
      <c r="K175" s="163"/>
      <c r="L175" s="163"/>
      <c r="M175" s="197"/>
      <c r="N175" s="163"/>
      <c r="O175" s="197"/>
      <c r="P175" s="163"/>
      <c r="Q175" s="197"/>
      <c r="R175" s="163"/>
      <c r="S175" s="197"/>
      <c r="T175" s="163"/>
      <c r="U175" s="197"/>
      <c r="V175" s="163"/>
      <c r="W175" s="197"/>
      <c r="X175" s="163"/>
      <c r="Y175" s="197"/>
      <c r="Z175" s="163"/>
      <c r="AA175" s="271"/>
      <c r="AB175" s="205">
        <f t="shared" si="24"/>
        <v>0</v>
      </c>
      <c r="AC175" s="209"/>
      <c r="AD175" s="675"/>
      <c r="AE175" s="171"/>
      <c r="AF175" s="672"/>
      <c r="AG175" s="158">
        <v>83</v>
      </c>
    </row>
    <row r="176" spans="1:33" s="4" customFormat="1" ht="53.25" customHeight="1" thickBot="1">
      <c r="A176" s="379" t="s">
        <v>166</v>
      </c>
      <c r="B176" s="285" t="s">
        <v>111</v>
      </c>
      <c r="C176" s="546" t="s">
        <v>300</v>
      </c>
      <c r="D176" s="177"/>
      <c r="E176" s="178"/>
      <c r="F176" s="177"/>
      <c r="G176" s="178"/>
      <c r="H176" s="177"/>
      <c r="I176" s="178"/>
      <c r="J176" s="177"/>
      <c r="K176" s="178"/>
      <c r="L176" s="198"/>
      <c r="M176" s="198"/>
      <c r="N176" s="198"/>
      <c r="O176" s="198"/>
      <c r="P176" s="198"/>
      <c r="Q176" s="198"/>
      <c r="R176" s="198"/>
      <c r="S176" s="198"/>
      <c r="T176" s="198"/>
      <c r="U176" s="198"/>
      <c r="V176" s="198"/>
      <c r="W176" s="198"/>
      <c r="X176" s="198"/>
      <c r="Y176" s="198"/>
      <c r="Z176" s="198"/>
      <c r="AA176" s="238"/>
      <c r="AB176" s="210">
        <f t="shared" si="24"/>
        <v>0</v>
      </c>
      <c r="AC176" s="211"/>
      <c r="AD176" s="675"/>
      <c r="AE176" s="171"/>
      <c r="AF176" s="672"/>
      <c r="AG176" s="158">
        <v>84</v>
      </c>
    </row>
    <row r="177" spans="1:47" s="4" customFormat="1" ht="53.25" customHeight="1">
      <c r="A177" s="378" t="s">
        <v>75</v>
      </c>
      <c r="B177" s="266" t="s">
        <v>112</v>
      </c>
      <c r="C177" s="545" t="s">
        <v>301</v>
      </c>
      <c r="D177" s="182"/>
      <c r="E177" s="183"/>
      <c r="F177" s="182"/>
      <c r="G177" s="183"/>
      <c r="H177" s="182"/>
      <c r="I177" s="183"/>
      <c r="J177" s="182"/>
      <c r="K177" s="183"/>
      <c r="L177" s="196"/>
      <c r="M177" s="196"/>
      <c r="N177" s="196"/>
      <c r="O177" s="196"/>
      <c r="P177" s="196"/>
      <c r="Q177" s="196"/>
      <c r="R177" s="196"/>
      <c r="S177" s="196"/>
      <c r="T177" s="196"/>
      <c r="U177" s="196"/>
      <c r="V177" s="196"/>
      <c r="W177" s="196"/>
      <c r="X177" s="196"/>
      <c r="Y177" s="196"/>
      <c r="Z177" s="196"/>
      <c r="AA177" s="267"/>
      <c r="AB177" s="208">
        <f t="shared" si="24"/>
        <v>0</v>
      </c>
      <c r="AC177" s="206"/>
      <c r="AD177" s="675"/>
      <c r="AE177" s="171"/>
      <c r="AF177" s="672"/>
      <c r="AG177" s="158">
        <v>85</v>
      </c>
    </row>
    <row r="178" spans="1:47" s="4" customFormat="1" ht="53.25" customHeight="1" thickBot="1">
      <c r="A178" s="376" t="s">
        <v>76</v>
      </c>
      <c r="B178" s="270" t="s">
        <v>112</v>
      </c>
      <c r="C178" s="547" t="s">
        <v>302</v>
      </c>
      <c r="D178" s="162"/>
      <c r="E178" s="163"/>
      <c r="F178" s="162"/>
      <c r="G178" s="163"/>
      <c r="H178" s="162"/>
      <c r="I178" s="163"/>
      <c r="J178" s="162"/>
      <c r="K178" s="163"/>
      <c r="L178" s="197"/>
      <c r="M178" s="163"/>
      <c r="N178" s="197"/>
      <c r="O178" s="163"/>
      <c r="P178" s="197"/>
      <c r="Q178" s="163"/>
      <c r="R178" s="197"/>
      <c r="S178" s="163"/>
      <c r="T178" s="197"/>
      <c r="U178" s="163"/>
      <c r="V178" s="197"/>
      <c r="W178" s="163"/>
      <c r="X178" s="197"/>
      <c r="Y178" s="163"/>
      <c r="Z178" s="197"/>
      <c r="AA178" s="163"/>
      <c r="AB178" s="283">
        <f t="shared" si="24"/>
        <v>0</v>
      </c>
      <c r="AC178" s="209"/>
      <c r="AD178" s="675"/>
      <c r="AE178" s="171"/>
      <c r="AF178" s="672"/>
      <c r="AG178" s="158">
        <v>86</v>
      </c>
    </row>
    <row r="179" spans="1:47" s="4" customFormat="1" ht="53.25" customHeight="1" thickBot="1">
      <c r="A179" s="376" t="s">
        <v>421</v>
      </c>
      <c r="B179" s="270" t="s">
        <v>112</v>
      </c>
      <c r="C179" s="547" t="s">
        <v>303</v>
      </c>
      <c r="D179" s="162"/>
      <c r="E179" s="163"/>
      <c r="F179" s="162"/>
      <c r="G179" s="163"/>
      <c r="H179" s="162"/>
      <c r="I179" s="163"/>
      <c r="J179" s="162"/>
      <c r="K179" s="163"/>
      <c r="L179" s="163"/>
      <c r="M179" s="163"/>
      <c r="N179" s="163"/>
      <c r="O179" s="163"/>
      <c r="P179" s="163"/>
      <c r="Q179" s="163"/>
      <c r="R179" s="163"/>
      <c r="S179" s="163"/>
      <c r="T179" s="163"/>
      <c r="U179" s="163"/>
      <c r="V179" s="163"/>
      <c r="W179" s="163"/>
      <c r="X179" s="163"/>
      <c r="Y179" s="163"/>
      <c r="Z179" s="163"/>
      <c r="AA179" s="192"/>
      <c r="AB179" s="214"/>
      <c r="AC179" s="209"/>
      <c r="AD179" s="675"/>
      <c r="AE179" s="171"/>
      <c r="AF179" s="672"/>
      <c r="AG179" s="158">
        <v>87</v>
      </c>
    </row>
    <row r="180" spans="1:47" s="4" customFormat="1" ht="53.25" customHeight="1">
      <c r="A180" s="376" t="s">
        <v>78</v>
      </c>
      <c r="B180" s="270" t="s">
        <v>112</v>
      </c>
      <c r="C180" s="547" t="s">
        <v>304</v>
      </c>
      <c r="D180" s="162"/>
      <c r="E180" s="163"/>
      <c r="F180" s="162"/>
      <c r="G180" s="163"/>
      <c r="H180" s="162"/>
      <c r="I180" s="163"/>
      <c r="J180" s="162"/>
      <c r="K180" s="163"/>
      <c r="L180" s="163"/>
      <c r="M180" s="197"/>
      <c r="N180" s="163"/>
      <c r="O180" s="197"/>
      <c r="P180" s="163"/>
      <c r="Q180" s="197"/>
      <c r="R180" s="163"/>
      <c r="S180" s="197"/>
      <c r="T180" s="163"/>
      <c r="U180" s="197"/>
      <c r="V180" s="163"/>
      <c r="W180" s="197"/>
      <c r="X180" s="163"/>
      <c r="Y180" s="197"/>
      <c r="Z180" s="163"/>
      <c r="AA180" s="271"/>
      <c r="AB180" s="208">
        <f t="shared" si="24"/>
        <v>0</v>
      </c>
      <c r="AC180" s="209"/>
      <c r="AD180" s="675"/>
      <c r="AE180" s="171"/>
      <c r="AF180" s="672"/>
      <c r="AG180" s="158">
        <v>88</v>
      </c>
    </row>
    <row r="181" spans="1:47" s="4" customFormat="1" ht="53.25" customHeight="1" thickBot="1">
      <c r="A181" s="379" t="s">
        <v>166</v>
      </c>
      <c r="B181" s="285" t="s">
        <v>112</v>
      </c>
      <c r="C181" s="546" t="s">
        <v>305</v>
      </c>
      <c r="D181" s="177"/>
      <c r="E181" s="178"/>
      <c r="F181" s="177"/>
      <c r="G181" s="178"/>
      <c r="H181" s="177"/>
      <c r="I181" s="178"/>
      <c r="J181" s="177"/>
      <c r="K181" s="178"/>
      <c r="L181" s="198"/>
      <c r="M181" s="198"/>
      <c r="N181" s="198"/>
      <c r="O181" s="198"/>
      <c r="P181" s="198"/>
      <c r="Q181" s="198"/>
      <c r="R181" s="198"/>
      <c r="S181" s="198"/>
      <c r="T181" s="198"/>
      <c r="U181" s="198"/>
      <c r="V181" s="198"/>
      <c r="W181" s="198"/>
      <c r="X181" s="198"/>
      <c r="Y181" s="198"/>
      <c r="Z181" s="198"/>
      <c r="AA181" s="238"/>
      <c r="AB181" s="210">
        <f t="shared" si="24"/>
        <v>0</v>
      </c>
      <c r="AC181" s="211"/>
      <c r="AD181" s="675"/>
      <c r="AE181" s="171"/>
      <c r="AF181" s="672"/>
      <c r="AG181" s="158">
        <v>89</v>
      </c>
    </row>
    <row r="182" spans="1:47" s="4" customFormat="1" ht="53.25" customHeight="1">
      <c r="A182" s="876" t="s">
        <v>110</v>
      </c>
      <c r="B182" s="266" t="s">
        <v>113</v>
      </c>
      <c r="C182" s="547" t="s">
        <v>306</v>
      </c>
      <c r="D182" s="162"/>
      <c r="E182" s="163"/>
      <c r="F182" s="162"/>
      <c r="G182" s="163"/>
      <c r="H182" s="162"/>
      <c r="I182" s="163"/>
      <c r="J182" s="162"/>
      <c r="K182" s="163"/>
      <c r="L182" s="233"/>
      <c r="M182" s="233"/>
      <c r="N182" s="233"/>
      <c r="O182" s="233"/>
      <c r="P182" s="233"/>
      <c r="Q182" s="233"/>
      <c r="R182" s="233"/>
      <c r="S182" s="233"/>
      <c r="T182" s="233"/>
      <c r="U182" s="233"/>
      <c r="V182" s="233"/>
      <c r="W182" s="233"/>
      <c r="X182" s="233"/>
      <c r="Y182" s="233"/>
      <c r="Z182" s="233"/>
      <c r="AA182" s="233"/>
      <c r="AB182" s="208">
        <f t="shared" si="24"/>
        <v>0</v>
      </c>
      <c r="AC182" s="269" t="str">
        <f>CONCATENATE(IF(D171&lt;&gt;(D182+D183+D184)," * Total Hts Self by KP_Type  "&amp;$D$19&amp;" "&amp;$D$20&amp;" Is more than Total Hts Self by Self + Sex partner + Other"&amp;CHAR(10),""),IF(E171&lt;&gt;(E182+E183+E184)," * Total Hts Self by KP_Type  "&amp;$D$19&amp;" "&amp;$E$20&amp;" Is more than Total Hts Self by Self + Sex partner + Other"&amp;CHAR(10),""),IF(F171&lt;&gt;(F182+F183+F184)," * Total Hts Self by KP_Type  "&amp;$F$19&amp;" "&amp;$F$20&amp;" Is more than Total Hts Self by Self + Sex partner + Other"&amp;CHAR(10),""),IF(G171&lt;&gt;(G182+G183+G184)," * Total Hts Self by KP_Type  "&amp;$F$19&amp;" "&amp;$G$20&amp;" Is more than Total Hts Self by Self + Sex partner + Other"&amp;CHAR(10),""),IF(H171&lt;&gt;(H182+H183+H184)," * Total Hts Self by KP_Type  "&amp;$H$19&amp;" "&amp;$H$20&amp;" Is more than Total Hts Self by Self + Sex partner + Other"&amp;CHAR(10),""),IF(I171&lt;&gt;(I182+I183+I184)," * Total Hts Self by KP_Type  "&amp;$H$19&amp;" "&amp;$I$20&amp;" Is more than Total Hts Self by Self + Sex partner + Other"&amp;CHAR(10),""),IF(J171&lt;&gt;(J182+J183+J184)," * Total Hts Self by KP_Type  "&amp;$J$19&amp;" "&amp;$J$20&amp;" Is more than Total Hts Self by Self + Sex partner + Other"&amp;CHAR(10),""),IF(K171&lt;&gt;(K182+K183+K184)," * Total Hts Self by KP_Type  "&amp;$J$19&amp;" "&amp;$K$20&amp;" Is more than Total Hts Self by Self + Sex partner + Other"&amp;CHAR(10),""),IF(L171&lt;&gt;(L182+L183+L184)," * Total Hts Self by KP_Type  "&amp;$L$19&amp;" "&amp;$L$20&amp;" Is more than Total Hts Self by Self + Sex partner + Other"&amp;CHAR(10),""),IF(M171&lt;&gt;(M182+M183+M184)," * Total Hts Self by KP_Type  "&amp;$L$19&amp;" "&amp;$M$20&amp;" Is more than Total Hts Self by Self + Sex partner + Other"&amp;CHAR(10),""),IF(N171&lt;&gt;(N182+N183+N184)," * Total Hts Self by KP_Type  "&amp;$N$19&amp;" "&amp;$N$20&amp;" Is more than Total Hts Self by Self + Sex partner + Other"&amp;CHAR(10),""),IF(O171&lt;&gt;(O182+O183+O184)," * Total Hts Self by KP_Type  "&amp;$N$19&amp;" "&amp;$O$20&amp;" Is more than Total Hts Self by Self + Sex partner + Other"&amp;CHAR(10),""),IF(P171&lt;&gt;(P182+P183+P184)," * Total Hts Self by KP_Type  "&amp;$P$19&amp;" "&amp;$P$20&amp;" Is more than Total Hts Self by Self + Sex partner + Other"&amp;CHAR(10),""),IF(Q171&lt;&gt;(Q182+Q183+Q184)," * Total Hts Self by KP_Type  "&amp;$P$19&amp;" "&amp;$Q$20&amp;" Is more than Total Hts Self by Self + Sex partner + Other"&amp;CHAR(10),""),IF(R171&lt;&gt;(R182+R183+R184)," * Total Hts Self by KP_Type  "&amp;$R$19&amp;" "&amp;$R$20&amp;" Is more than Total Hts Self by Self + Sex partner + Other"&amp;CHAR(10),""),IF(S171&lt;&gt;(S182+S183+S184)," * Total Hts Self by KP_Type  "&amp;$R$19&amp;" "&amp;$S$20&amp;" Is more than Total Hts Self by Self + Sex partner + Other"&amp;CHAR(10),""),IF(T171&lt;&gt;(T182+T183+T184)," * Total Hts Self by KP_Type  "&amp;$T$19&amp;" "&amp;$T$20&amp;" Is more than Total Hts Self by Self + Sex partner + Other"&amp;CHAR(10),""),IF(U171&lt;&gt;(U182+U183+U184)," * Total Hts Self by KP_Type  "&amp;$T$19&amp;" "&amp;$U$20&amp;" Is more than Total Hts Self by Self + Sex partner + Other"&amp;CHAR(10),""),IF(V171&lt;&gt;(V182+V183+V184)," * Total Hts Self by KP_Type  "&amp;$V$19&amp;" "&amp;$V$20&amp;" Is more than Total Hts Self by Self + Sex partner + Other"&amp;CHAR(10),""),IF(W171&lt;&gt;(W182+W183+W184)," * Total Hts Self by KP_Type  "&amp;$V$19&amp;" "&amp;$W$20&amp;" Is more than Total Hts Self by Self + Sex partner + Other"&amp;CHAR(10),""),IF(X171&lt;&gt;(X182+X183+X184)," * Total Hts Self by KP_Type  "&amp;$X$19&amp;" "&amp;$X$20&amp;" Is more than Total Hts Self by Self + Sex partner + Other"&amp;CHAR(10),""),IF(Y171&lt;&gt;(Y182+Y183+Y184)," * Total Hts Self by KP_Type  "&amp;$X$19&amp;" "&amp;$Y$20&amp;" Is more than Total Hts Self by Self + Sex partner + Other"&amp;CHAR(10),""),IF(Z171&lt;&gt;(Z182+Z183+Z184)," * Total Hts Self by KP_Type  "&amp;$Z$19&amp;" "&amp;$Z$20&amp;" Is more than Total Hts Self by Self + Sex partner + Other"&amp;CHAR(10),""),IF(AA171&lt;&gt;(AA182+AA183+AA184)," * Total Hts Self by KP_Type  "&amp;$Z$19&amp;" "&amp;$AA$20&amp;" Is more than Total Hts Self by Self + Sex partner + Other"&amp;CHAR(10),""))</f>
        <v/>
      </c>
      <c r="AD182" s="675"/>
      <c r="AE182" s="171"/>
      <c r="AF182" s="672"/>
      <c r="AG182" s="158">
        <v>90</v>
      </c>
    </row>
    <row r="183" spans="1:47" s="6" customFormat="1" ht="53.25" customHeight="1">
      <c r="A183" s="773"/>
      <c r="B183" s="270" t="s">
        <v>114</v>
      </c>
      <c r="C183" s="547" t="s">
        <v>307</v>
      </c>
      <c r="D183" s="162"/>
      <c r="E183" s="163"/>
      <c r="F183" s="162"/>
      <c r="G183" s="163"/>
      <c r="H183" s="162"/>
      <c r="I183" s="163"/>
      <c r="J183" s="162"/>
      <c r="K183" s="163"/>
      <c r="L183" s="197"/>
      <c r="M183" s="197"/>
      <c r="N183" s="197"/>
      <c r="O183" s="197"/>
      <c r="P183" s="197"/>
      <c r="Q183" s="197"/>
      <c r="R183" s="197"/>
      <c r="S183" s="197"/>
      <c r="T183" s="197"/>
      <c r="U183" s="197"/>
      <c r="V183" s="197"/>
      <c r="W183" s="197"/>
      <c r="X183" s="197"/>
      <c r="Y183" s="197"/>
      <c r="Z183" s="197"/>
      <c r="AA183" s="197"/>
      <c r="AB183" s="208">
        <f t="shared" si="24"/>
        <v>0</v>
      </c>
      <c r="AC183" s="216"/>
      <c r="AD183" s="675"/>
      <c r="AE183" s="171"/>
      <c r="AF183" s="672"/>
      <c r="AG183" s="158">
        <v>91</v>
      </c>
      <c r="AH183" s="4"/>
      <c r="AI183" s="4"/>
      <c r="AJ183" s="4"/>
      <c r="AK183" s="4"/>
      <c r="AL183" s="4"/>
      <c r="AM183" s="4"/>
      <c r="AN183" s="4"/>
      <c r="AO183" s="4"/>
      <c r="AP183" s="4"/>
      <c r="AQ183" s="4"/>
      <c r="AR183" s="4"/>
      <c r="AS183" s="4"/>
      <c r="AT183" s="4"/>
      <c r="AU183" s="4"/>
    </row>
    <row r="184" spans="1:47" s="4" customFormat="1" ht="53.25" customHeight="1" thickBot="1">
      <c r="A184" s="877"/>
      <c r="B184" s="285" t="s">
        <v>13</v>
      </c>
      <c r="C184" s="546" t="s">
        <v>308</v>
      </c>
      <c r="D184" s="177"/>
      <c r="E184" s="178"/>
      <c r="F184" s="177"/>
      <c r="G184" s="178"/>
      <c r="H184" s="177"/>
      <c r="I184" s="178"/>
      <c r="J184" s="177"/>
      <c r="K184" s="178"/>
      <c r="L184" s="198"/>
      <c r="M184" s="198"/>
      <c r="N184" s="198"/>
      <c r="O184" s="198"/>
      <c r="P184" s="198"/>
      <c r="Q184" s="198"/>
      <c r="R184" s="198"/>
      <c r="S184" s="198"/>
      <c r="T184" s="198"/>
      <c r="U184" s="198"/>
      <c r="V184" s="198"/>
      <c r="W184" s="198"/>
      <c r="X184" s="198"/>
      <c r="Y184" s="198"/>
      <c r="Z184" s="198"/>
      <c r="AA184" s="198"/>
      <c r="AB184" s="210">
        <f t="shared" si="24"/>
        <v>0</v>
      </c>
      <c r="AC184" s="216"/>
      <c r="AD184" s="676"/>
      <c r="AE184" s="171"/>
      <c r="AF184" s="673"/>
      <c r="AG184" s="158">
        <v>92</v>
      </c>
    </row>
    <row r="185" spans="1:47" s="4" customFormat="1" ht="53.25" customHeight="1" thickBot="1">
      <c r="A185" s="688" t="s">
        <v>793</v>
      </c>
      <c r="B185" s="689"/>
      <c r="C185" s="692"/>
      <c r="D185" s="689"/>
      <c r="E185" s="689"/>
      <c r="F185" s="689"/>
      <c r="G185" s="689"/>
      <c r="H185" s="689"/>
      <c r="I185" s="689"/>
      <c r="J185" s="689"/>
      <c r="K185" s="689"/>
      <c r="L185" s="689"/>
      <c r="M185" s="689"/>
      <c r="N185" s="689"/>
      <c r="O185" s="689"/>
      <c r="P185" s="689"/>
      <c r="Q185" s="689"/>
      <c r="R185" s="689"/>
      <c r="S185" s="689"/>
      <c r="T185" s="689"/>
      <c r="U185" s="689"/>
      <c r="V185" s="689"/>
      <c r="W185" s="689"/>
      <c r="X185" s="689"/>
      <c r="Y185" s="689"/>
      <c r="Z185" s="689"/>
      <c r="AA185" s="689"/>
      <c r="AB185" s="692"/>
      <c r="AC185" s="689"/>
      <c r="AD185" s="689"/>
      <c r="AE185" s="689"/>
      <c r="AF185" s="691"/>
      <c r="AG185" s="158">
        <v>154</v>
      </c>
    </row>
    <row r="186" spans="1:47" s="4" customFormat="1" ht="53.25" customHeight="1" thickBot="1">
      <c r="A186" s="375" t="s">
        <v>184</v>
      </c>
      <c r="B186" s="159" t="s">
        <v>184</v>
      </c>
      <c r="C186" s="286" t="s">
        <v>309</v>
      </c>
      <c r="D186" s="201">
        <f t="shared" ref="D186:AB186" si="29">SUM(D187:D191)</f>
        <v>0</v>
      </c>
      <c r="E186" s="201">
        <f t="shared" si="29"/>
        <v>0</v>
      </c>
      <c r="F186" s="201">
        <f t="shared" si="29"/>
        <v>0</v>
      </c>
      <c r="G186" s="201">
        <f t="shared" si="29"/>
        <v>0</v>
      </c>
      <c r="H186" s="201">
        <f t="shared" si="29"/>
        <v>0</v>
      </c>
      <c r="I186" s="201">
        <f t="shared" si="29"/>
        <v>0</v>
      </c>
      <c r="J186" s="201">
        <f t="shared" si="29"/>
        <v>0</v>
      </c>
      <c r="K186" s="201">
        <f t="shared" si="29"/>
        <v>0</v>
      </c>
      <c r="L186" s="201">
        <f t="shared" si="29"/>
        <v>0</v>
      </c>
      <c r="M186" s="201">
        <f t="shared" si="29"/>
        <v>0</v>
      </c>
      <c r="N186" s="201">
        <f t="shared" si="29"/>
        <v>0</v>
      </c>
      <c r="O186" s="201">
        <f t="shared" si="29"/>
        <v>0</v>
      </c>
      <c r="P186" s="201">
        <f t="shared" si="29"/>
        <v>0</v>
      </c>
      <c r="Q186" s="201">
        <f t="shared" si="29"/>
        <v>0</v>
      </c>
      <c r="R186" s="201">
        <f t="shared" si="29"/>
        <v>0</v>
      </c>
      <c r="S186" s="201">
        <f t="shared" si="29"/>
        <v>0</v>
      </c>
      <c r="T186" s="201">
        <f t="shared" si="29"/>
        <v>0</v>
      </c>
      <c r="U186" s="201">
        <f t="shared" si="29"/>
        <v>0</v>
      </c>
      <c r="V186" s="201">
        <f t="shared" si="29"/>
        <v>0</v>
      </c>
      <c r="W186" s="201">
        <f t="shared" si="29"/>
        <v>0</v>
      </c>
      <c r="X186" s="201">
        <f t="shared" si="29"/>
        <v>0</v>
      </c>
      <c r="Y186" s="201">
        <f t="shared" si="29"/>
        <v>0</v>
      </c>
      <c r="Z186" s="201">
        <f t="shared" si="29"/>
        <v>0</v>
      </c>
      <c r="AA186" s="201">
        <f t="shared" si="29"/>
        <v>0</v>
      </c>
      <c r="AB186" s="201">
        <f t="shared" si="29"/>
        <v>0</v>
      </c>
      <c r="AC186" s="202" t="str">
        <f>CONCATENATE(IF(D186&gt;(D155+D157)," * Started on ART "&amp;$D$19&amp;" "&amp;$D$20&amp;" Is more Total Positive By modality"&amp;CHAR(10),""),IF(E186&gt;(E155+E157)," * Started on ART "&amp;$D$19&amp;" "&amp;$E$20&amp;" Is more Total Positive By modality"&amp;CHAR(10),""),IF(F186&gt;(F155+F157)," * Started on ART "&amp;$F$19&amp;" "&amp;$F$20&amp;" Is more Total Positive By modality"&amp;CHAR(10),""),IF(G186&gt;(G155+G157)," * Started on ART "&amp;$F$19&amp;" "&amp;$G$20&amp;" Is more Total Positive By modality"&amp;CHAR(10),""),IF(H186&gt;(H155+H157)," * Started on ART "&amp;$H$19&amp;" "&amp;$H$20&amp;" Is more Total Positive By modality"&amp;CHAR(10),""),IF(I186&gt;(I155+I157)," * Started on ART "&amp;$H$19&amp;" "&amp;$I$20&amp;" Is more Total Positive By modality"&amp;CHAR(10),""),IF(J186&gt;(J155+J157)," * Started on ART "&amp;$J$19&amp;" "&amp;$J$20&amp;" Is more Total Positive By modality"&amp;CHAR(10),""),IF(K186&gt;(K155+K157)," * Started on ART "&amp;$J$19&amp;" "&amp;$K$20&amp;" Is more Total Positive By modality"&amp;CHAR(10),""),IF(L186&gt;(L155+L157)," * Started on ART "&amp;$L$19&amp;" "&amp;$L$20&amp;" Is more Total Positive By modality"&amp;CHAR(10),""),IF(M186&gt;(M155+M157)," * Started on ART "&amp;$L$19&amp;" "&amp;$M$20&amp;" Is more Total Positive By modality"&amp;CHAR(10),""),IF(N186&gt;(N155+N157)," * Started on ART "&amp;$N$19&amp;" "&amp;$N$20&amp;" Is more Total Positive By modality"&amp;CHAR(10),""),IF(O186&gt;(O155+O157)," * Started on ART "&amp;$N$19&amp;" "&amp;$O$20&amp;" Is more Total Positive By modality"&amp;CHAR(10),""),IF(P186&gt;(P155+P157)," * Started on ART "&amp;$P$19&amp;" "&amp;$P$20&amp;" Is more Total Positive By modality"&amp;CHAR(10),""),IF(Q186&gt;(Q155+Q157)," * Started on ART "&amp;$P$19&amp;" "&amp;$Q$20&amp;" Is more Total Positive By modality"&amp;CHAR(10),""),IF(R186&gt;(R155+R157)," * Started on ART "&amp;$R$19&amp;" "&amp;$R$20&amp;" Is more Total Positive By modality"&amp;CHAR(10),""),IF(S186&gt;(S155+S157)," * Started on ART "&amp;$R$19&amp;" "&amp;$S$20&amp;" Is more Total Positive By modality"&amp;CHAR(10),""),IF(T186&gt;(T155+T157)," * Started on ART "&amp;$T$19&amp;" "&amp;$T$20&amp;" Is more Total Positive By modality"&amp;CHAR(10),""),IF(U186&gt;(U155+U157)," * Started on ART "&amp;$T$19&amp;" "&amp;$U$20&amp;" Is more Total Positive By modality"&amp;CHAR(10),""),IF(V186&gt;(V155+V157)," * Started on ART "&amp;$V$19&amp;" "&amp;$V$20&amp;" Is more Total Positive By modality"&amp;CHAR(10),""),IF(W186&gt;(W155+W157)," * Started on ART "&amp;$V$19&amp;" "&amp;$W$20&amp;" Is more Total Positive By modality"&amp;CHAR(10),""),IF(X186&gt;(X155+X157)," * Started on ART "&amp;$X$19&amp;" "&amp;$X$20&amp;" Is more Total Positive By modality"&amp;CHAR(10),""),IF(Y186&gt;(Y155+Y157)," * Started on ART "&amp;$X$19&amp;" "&amp;$Y$20&amp;" Is more Total Positive By modality"&amp;CHAR(10),""),IF(Z186&gt;(Z155+Z157)," * Started on ART "&amp;$Z$19&amp;" "&amp;$Z$20&amp;" Is more Total Positive By modality"&amp;CHAR(10),""),IF(AA186&gt;(AA155+AA157)," * Started on ART "&amp;$Z$19&amp;" "&amp;$AA$20&amp;" Is more Total Positive By modality"&amp;CHAR(10),""))</f>
        <v/>
      </c>
      <c r="AD186" s="674" t="str">
        <f>CONCATENATE(AC186,AC187,AC188,AC189,AC190,AC191)</f>
        <v/>
      </c>
      <c r="AE186" s="203" t="str">
        <f>CONCATENATE(IF(D186&lt;(D155+D157)," * Started on ART "&amp;$D$19&amp;" "&amp;$D$20&amp;" Is less than  Total Positive By modality"&amp;CHAR(10),""),IF(E186&lt;(E155+E157)," * Started on ART "&amp;$D$19&amp;" "&amp;$E$20&amp;" Is less than  Total Positive By modality"&amp;CHAR(10),""),IF(F186&lt;(F155+F157)," * Started on ART "&amp;$F$19&amp;" "&amp;$F$20&amp;" Is less than  Total Positive By modality"&amp;CHAR(10),""),IF(G186&lt;(G155+G157)," * Started on ART "&amp;$F$19&amp;" "&amp;$G$20&amp;" Is less than  Total Positive By modality"&amp;CHAR(10),""),IF(H186&lt;(H155+H157)," * Started on ART "&amp;$H$19&amp;" "&amp;$H$20&amp;" Is less than  Total Positive By modality"&amp;CHAR(10),""),IF(I186&lt;(I155+I157)," * Started on ART "&amp;$H$19&amp;" "&amp;$I$20&amp;" Is less than  Total Positive By modality"&amp;CHAR(10),""),IF(J186&lt;(J155+J157)," * Started on ART "&amp;$J$19&amp;" "&amp;$J$20&amp;" Is less than  Total Positive By modality"&amp;CHAR(10),""),IF(K186&lt;(K155+K157)," * Started on ART "&amp;$J$19&amp;" "&amp;$K$20&amp;" Is less than  Total Positive By modality"&amp;CHAR(10),""),IF(L186&lt;(L155+L157)," * Started on ART "&amp;$L$19&amp;" "&amp;$L$20&amp;" Is less than  Total Positive By modality"&amp;CHAR(10),""),IF(M186&lt;(M155+M157)," * Started on ART "&amp;$L$19&amp;" "&amp;$M$20&amp;" Is less than  Total Positive By modality"&amp;CHAR(10),""),IF(N186&lt;(N155+N157)," * Started on ART "&amp;$N$19&amp;" "&amp;$N$20&amp;" Is less than  Total Positive By modality"&amp;CHAR(10),""),IF(O186&lt;(O155+O157)," * Started on ART "&amp;$N$19&amp;" "&amp;$O$20&amp;" Is less than  Total Positive By modality"&amp;CHAR(10),""),IF(P186&lt;(P155+P157)," * Started on ART "&amp;$P$19&amp;" "&amp;$P$20&amp;" Is less than  Total Positive By modality"&amp;CHAR(10),""),IF(Q186&lt;(Q155+Q157)," * Started on ART "&amp;$P$19&amp;" "&amp;$Q$20&amp;" Is less than  Total Positive By modality"&amp;CHAR(10),""),IF(R186&lt;(R155+R157)," * Started on ART "&amp;$R$19&amp;" "&amp;$R$20&amp;" Is less than  Total Positive By modality"&amp;CHAR(10),""),IF(S186&lt;(S155+S157)," * Started on ART "&amp;$R$19&amp;" "&amp;$S$20&amp;" Is less than  Total Positive By modality"&amp;CHAR(10),""),IF(T186&lt;(T155+T157)," * Started on ART "&amp;$T$19&amp;" "&amp;$T$20&amp;" Is less than  Total Positive By modality"&amp;CHAR(10),""),IF(U186&lt;(U155+U157)," * Started on ART "&amp;$T$19&amp;" "&amp;$U$20&amp;" Is less than  Total Positive By modality"&amp;CHAR(10),""),IF(V186&lt;(V155+V157)," * Started on ART "&amp;$V$19&amp;" "&amp;$V$20&amp;" Is less than  Total Positive By modality"&amp;CHAR(10),""),IF(W186&lt;(W155+W157)," * Started on ART "&amp;$V$19&amp;" "&amp;$W$20&amp;" Is less than  Total Positive By modality"&amp;CHAR(10),""),IF(X186&lt;(X155+X157)," * Started on ART "&amp;$X$19&amp;" "&amp;$X$20&amp;" Is less than  Total Positive By modality"&amp;CHAR(10),""),IF(Y186&lt;(Y155+Y157)," * Started on ART "&amp;$X$19&amp;" "&amp;$Y$20&amp;" Is less than  Total Positive By modality"&amp;CHAR(10),""),IF(Z186&lt;(Z155+Z157)," * Started on ART "&amp;$Z$19&amp;" "&amp;$Z$20&amp;" Is less than  Total Positive By modality"&amp;CHAR(10),""),IF(AA186&lt;(AA155+AA157)," * Started on ART "&amp;$Z$19&amp;" "&amp;$AA$20&amp;" Is less than  Total Positive By modality"&amp;CHAR(10),""))</f>
        <v/>
      </c>
      <c r="AF186" s="671" t="str">
        <f>CONCATENATE(AE186,AE187,AE188,AE189,AE190,AE191)</f>
        <v/>
      </c>
      <c r="AG186" s="158">
        <v>155</v>
      </c>
      <c r="AH186" s="6"/>
      <c r="AI186" s="6"/>
      <c r="AJ186" s="6"/>
      <c r="AK186" s="6"/>
      <c r="AL186" s="6"/>
      <c r="AM186" s="6"/>
      <c r="AN186" s="6"/>
      <c r="AO186" s="6"/>
      <c r="AP186" s="6"/>
      <c r="AQ186" s="6"/>
      <c r="AR186" s="6"/>
      <c r="AS186" s="6"/>
      <c r="AT186" s="6"/>
      <c r="AU186" s="6"/>
    </row>
    <row r="187" spans="1:47" s="4" customFormat="1" ht="53.25" customHeight="1" thickBot="1">
      <c r="A187" s="540" t="s">
        <v>78</v>
      </c>
      <c r="B187" s="204" t="s">
        <v>189</v>
      </c>
      <c r="C187" s="545" t="s">
        <v>310</v>
      </c>
      <c r="D187" s="287"/>
      <c r="E187" s="183"/>
      <c r="F187" s="182"/>
      <c r="G187" s="183"/>
      <c r="H187" s="182"/>
      <c r="I187" s="183"/>
      <c r="J187" s="182"/>
      <c r="K187" s="183"/>
      <c r="L187" s="183"/>
      <c r="M187" s="196"/>
      <c r="N187" s="183"/>
      <c r="O187" s="196"/>
      <c r="P187" s="183"/>
      <c r="Q187" s="196"/>
      <c r="R187" s="183"/>
      <c r="S187" s="196"/>
      <c r="T187" s="183"/>
      <c r="U187" s="196"/>
      <c r="V187" s="183"/>
      <c r="W187" s="196"/>
      <c r="X187" s="183"/>
      <c r="Y187" s="196"/>
      <c r="Z187" s="183"/>
      <c r="AA187" s="288"/>
      <c r="AB187" s="205">
        <f>SUM(D187:AA187)</f>
        <v>0</v>
      </c>
      <c r="AC187" s="206"/>
      <c r="AD187" s="675"/>
      <c r="AE187" s="171"/>
      <c r="AF187" s="672"/>
      <c r="AG187" s="158">
        <v>156</v>
      </c>
    </row>
    <row r="188" spans="1:47" s="4" customFormat="1" ht="53.25" customHeight="1">
      <c r="A188" s="376" t="s">
        <v>76</v>
      </c>
      <c r="B188" s="207" t="s">
        <v>185</v>
      </c>
      <c r="C188" s="547" t="s">
        <v>311</v>
      </c>
      <c r="D188" s="289"/>
      <c r="E188" s="163"/>
      <c r="F188" s="162"/>
      <c r="G188" s="163"/>
      <c r="H188" s="162"/>
      <c r="I188" s="163"/>
      <c r="J188" s="162"/>
      <c r="K188" s="163"/>
      <c r="L188" s="197"/>
      <c r="M188" s="183"/>
      <c r="N188" s="197"/>
      <c r="O188" s="183"/>
      <c r="P188" s="197"/>
      <c r="Q188" s="183"/>
      <c r="R188" s="197"/>
      <c r="S188" s="183"/>
      <c r="T188" s="197"/>
      <c r="U188" s="183"/>
      <c r="V188" s="197"/>
      <c r="W188" s="183"/>
      <c r="X188" s="197"/>
      <c r="Y188" s="183"/>
      <c r="Z188" s="197"/>
      <c r="AA188" s="183"/>
      <c r="AB188" s="208">
        <f>SUM(D188:AA188)</f>
        <v>0</v>
      </c>
      <c r="AC188" s="209"/>
      <c r="AD188" s="675"/>
      <c r="AE188" s="171"/>
      <c r="AF188" s="672"/>
      <c r="AG188" s="158">
        <v>157</v>
      </c>
    </row>
    <row r="189" spans="1:47" s="4" customFormat="1" ht="53.25" customHeight="1">
      <c r="A189" s="376" t="s">
        <v>166</v>
      </c>
      <c r="B189" s="207" t="s">
        <v>186</v>
      </c>
      <c r="C189" s="547" t="s">
        <v>312</v>
      </c>
      <c r="D189" s="289"/>
      <c r="E189" s="163"/>
      <c r="F189" s="162"/>
      <c r="G189" s="163"/>
      <c r="H189" s="162"/>
      <c r="I189" s="163"/>
      <c r="J189" s="162"/>
      <c r="K189" s="163"/>
      <c r="L189" s="197"/>
      <c r="M189" s="197"/>
      <c r="N189" s="197"/>
      <c r="O189" s="197"/>
      <c r="P189" s="197"/>
      <c r="Q189" s="197"/>
      <c r="R189" s="197"/>
      <c r="S189" s="197"/>
      <c r="T189" s="197"/>
      <c r="U189" s="197"/>
      <c r="V189" s="197"/>
      <c r="W189" s="197"/>
      <c r="X189" s="197"/>
      <c r="Y189" s="197"/>
      <c r="Z189" s="197"/>
      <c r="AA189" s="290"/>
      <c r="AB189" s="208">
        <f>SUM(D189:AA189)</f>
        <v>0</v>
      </c>
      <c r="AC189" s="209"/>
      <c r="AD189" s="675"/>
      <c r="AE189" s="171"/>
      <c r="AF189" s="672"/>
      <c r="AG189" s="158">
        <v>159</v>
      </c>
    </row>
    <row r="190" spans="1:47" s="6" customFormat="1" ht="53.25" customHeight="1" thickBot="1">
      <c r="A190" s="376" t="s">
        <v>75</v>
      </c>
      <c r="B190" s="207" t="s">
        <v>187</v>
      </c>
      <c r="C190" s="547" t="s">
        <v>313</v>
      </c>
      <c r="D190" s="289"/>
      <c r="E190" s="163"/>
      <c r="F190" s="162"/>
      <c r="G190" s="163"/>
      <c r="H190" s="162"/>
      <c r="I190" s="163"/>
      <c r="J190" s="162"/>
      <c r="K190" s="163"/>
      <c r="L190" s="197"/>
      <c r="M190" s="197"/>
      <c r="N190" s="197"/>
      <c r="O190" s="197"/>
      <c r="P190" s="197"/>
      <c r="Q190" s="197"/>
      <c r="R190" s="197"/>
      <c r="S190" s="197"/>
      <c r="T190" s="197"/>
      <c r="U190" s="197"/>
      <c r="V190" s="197"/>
      <c r="W190" s="197"/>
      <c r="X190" s="197"/>
      <c r="Y190" s="197"/>
      <c r="Z190" s="197"/>
      <c r="AA190" s="290"/>
      <c r="AB190" s="210">
        <f>SUM(D190:AA190)</f>
        <v>0</v>
      </c>
      <c r="AC190" s="211"/>
      <c r="AD190" s="675"/>
      <c r="AE190" s="171"/>
      <c r="AF190" s="672"/>
      <c r="AG190" s="158">
        <v>160</v>
      </c>
      <c r="AH190" s="4"/>
      <c r="AI190" s="4"/>
      <c r="AJ190" s="4"/>
      <c r="AK190" s="4"/>
      <c r="AL190" s="4"/>
      <c r="AM190" s="4"/>
      <c r="AN190" s="4"/>
      <c r="AO190" s="4"/>
      <c r="AP190" s="4"/>
      <c r="AQ190" s="4"/>
      <c r="AR190" s="4"/>
      <c r="AS190" s="4"/>
      <c r="AT190" s="4"/>
      <c r="AU190" s="4"/>
    </row>
    <row r="191" spans="1:47" s="4" customFormat="1" ht="53.25" customHeight="1" thickBot="1">
      <c r="A191" s="377" t="s">
        <v>421</v>
      </c>
      <c r="B191" s="212" t="s">
        <v>188</v>
      </c>
      <c r="C191" s="546" t="s">
        <v>314</v>
      </c>
      <c r="D191" s="291"/>
      <c r="E191" s="178"/>
      <c r="F191" s="177"/>
      <c r="G191" s="178"/>
      <c r="H191" s="177"/>
      <c r="I191" s="178"/>
      <c r="J191" s="177"/>
      <c r="K191" s="178"/>
      <c r="L191" s="178"/>
      <c r="M191" s="178"/>
      <c r="N191" s="178"/>
      <c r="O191" s="178"/>
      <c r="P191" s="178"/>
      <c r="Q191" s="178"/>
      <c r="R191" s="178"/>
      <c r="S191" s="178"/>
      <c r="T191" s="178"/>
      <c r="U191" s="178"/>
      <c r="V191" s="178"/>
      <c r="W191" s="178"/>
      <c r="X191" s="178"/>
      <c r="Y191" s="178"/>
      <c r="Z191" s="178"/>
      <c r="AA191" s="213"/>
      <c r="AB191" s="214"/>
      <c r="AC191" s="209"/>
      <c r="AD191" s="675"/>
      <c r="AE191" s="171"/>
      <c r="AF191" s="673"/>
      <c r="AG191" s="158">
        <v>161</v>
      </c>
    </row>
    <row r="192" spans="1:47" s="4" customFormat="1" ht="53.25" customHeight="1" thickBot="1">
      <c r="A192" s="688" t="s">
        <v>794</v>
      </c>
      <c r="B192" s="689"/>
      <c r="C192" s="692"/>
      <c r="D192" s="689"/>
      <c r="E192" s="689"/>
      <c r="F192" s="689"/>
      <c r="G192" s="689"/>
      <c r="H192" s="689"/>
      <c r="I192" s="689"/>
      <c r="J192" s="689"/>
      <c r="K192" s="689"/>
      <c r="L192" s="689"/>
      <c r="M192" s="689"/>
      <c r="N192" s="689"/>
      <c r="O192" s="689"/>
      <c r="P192" s="689"/>
      <c r="Q192" s="689"/>
      <c r="R192" s="689"/>
      <c r="S192" s="689"/>
      <c r="T192" s="689"/>
      <c r="U192" s="689"/>
      <c r="V192" s="689"/>
      <c r="W192" s="689"/>
      <c r="X192" s="689"/>
      <c r="Y192" s="689"/>
      <c r="Z192" s="689"/>
      <c r="AA192" s="689"/>
      <c r="AB192" s="692"/>
      <c r="AC192" s="689"/>
      <c r="AD192" s="689"/>
      <c r="AE192" s="689"/>
      <c r="AF192" s="691"/>
      <c r="AG192" s="158">
        <v>154</v>
      </c>
    </row>
    <row r="193" spans="1:47" s="4" customFormat="1" ht="53.25" customHeight="1" thickBot="1">
      <c r="A193" s="375" t="s">
        <v>190</v>
      </c>
      <c r="B193" s="159" t="s">
        <v>190</v>
      </c>
      <c r="C193" s="286" t="s">
        <v>315</v>
      </c>
      <c r="D193" s="201">
        <f t="shared" ref="D193:L193" si="30">SUM(D194:D198)</f>
        <v>0</v>
      </c>
      <c r="E193" s="201">
        <f t="shared" si="30"/>
        <v>0</v>
      </c>
      <c r="F193" s="201">
        <f t="shared" si="30"/>
        <v>0</v>
      </c>
      <c r="G193" s="201">
        <f t="shared" si="30"/>
        <v>0</v>
      </c>
      <c r="H193" s="201">
        <f t="shared" si="30"/>
        <v>0</v>
      </c>
      <c r="I193" s="201">
        <f t="shared" si="30"/>
        <v>0</v>
      </c>
      <c r="J193" s="201">
        <f t="shared" si="30"/>
        <v>0</v>
      </c>
      <c r="K193" s="201">
        <f t="shared" si="30"/>
        <v>0</v>
      </c>
      <c r="L193" s="201">
        <f t="shared" si="30"/>
        <v>0</v>
      </c>
      <c r="M193" s="201">
        <f t="shared" ref="M193:AA193" si="31">SUM(M194:M198)</f>
        <v>0</v>
      </c>
      <c r="N193" s="201">
        <f t="shared" si="31"/>
        <v>0</v>
      </c>
      <c r="O193" s="201">
        <f t="shared" si="31"/>
        <v>0</v>
      </c>
      <c r="P193" s="201">
        <f t="shared" si="31"/>
        <v>0</v>
      </c>
      <c r="Q193" s="201">
        <f t="shared" si="31"/>
        <v>0</v>
      </c>
      <c r="R193" s="201">
        <f t="shared" si="31"/>
        <v>0</v>
      </c>
      <c r="S193" s="201">
        <f t="shared" si="31"/>
        <v>0</v>
      </c>
      <c r="T193" s="201">
        <f t="shared" si="31"/>
        <v>0</v>
      </c>
      <c r="U193" s="201">
        <f t="shared" si="31"/>
        <v>0</v>
      </c>
      <c r="V193" s="201">
        <f t="shared" si="31"/>
        <v>0</v>
      </c>
      <c r="W193" s="201">
        <f t="shared" si="31"/>
        <v>0</v>
      </c>
      <c r="X193" s="201">
        <f t="shared" si="31"/>
        <v>0</v>
      </c>
      <c r="Y193" s="201">
        <f t="shared" si="31"/>
        <v>0</v>
      </c>
      <c r="Z193" s="201">
        <f t="shared" si="31"/>
        <v>0</v>
      </c>
      <c r="AA193" s="201">
        <f t="shared" si="31"/>
        <v>0</v>
      </c>
      <c r="AB193" s="201">
        <f>SUM(AB194:AB198)</f>
        <v>0</v>
      </c>
      <c r="AC193" s="160" t="str">
        <f>CONCATENATE(IF(D207&gt;D193," * VL Done "&amp;$D$19&amp;" "&amp;$D$20&amp;" is more than TX_Curr"&amp;CHAR(10),""),IF(E207&gt;E193," * VL Done "&amp;$D$19&amp;" "&amp;$E$20&amp;" is more than TX_Curr"&amp;CHAR(10),""),IF(F207&gt;F193," * VL Done "&amp;$F$19&amp;" "&amp;$F$20&amp;" is more than TX_Curr"&amp;CHAR(10),""),IF(G207&gt;G193," * VL Done "&amp;$F$19&amp;" "&amp;$G$20&amp;" is more than TX_Curr"&amp;CHAR(10),""),IF(H207&gt;H193," * VL Done "&amp;$H$19&amp;" "&amp;$H$20&amp;" is more than TX_Curr"&amp;CHAR(10),""),IF(I207&gt;I193," * VL Done "&amp;$H$19&amp;" "&amp;$I$20&amp;" is more than TX_Curr"&amp;CHAR(10),""),IF(J207&gt;J193," * VL Done "&amp;$J$19&amp;" "&amp;$J$20&amp;" is more than TX_Curr"&amp;CHAR(10),""),IF(K207&gt;K193," * VL Done "&amp;$J$19&amp;" "&amp;$K$20&amp;" is more than TX_Curr"&amp;CHAR(10),""),IF(L207&gt;L193," * VL Done "&amp;$L$19&amp;" "&amp;$L$20&amp;" is more than TX_Curr"&amp;CHAR(10),""),IF(M207&gt;M193," * VL Done "&amp;$L$19&amp;" "&amp;$M$20&amp;" is more than TX_Curr"&amp;CHAR(10),""),IF(N207&gt;N193," * VL Done "&amp;$N$19&amp;" "&amp;$N$20&amp;" is more than TX_Curr"&amp;CHAR(10),""),IF(O207&gt;O193," * VL Done "&amp;$N$19&amp;" "&amp;$O$20&amp;" is more than TX_Curr"&amp;CHAR(10),""),IF(P207&gt;P193," * VL Done "&amp;$P$19&amp;" "&amp;$P$20&amp;" is more than TX_Curr"&amp;CHAR(10),""),IF(Q207&gt;Q193," * VL Done "&amp;$P$19&amp;" "&amp;$Q$20&amp;" is more than TX_Curr"&amp;CHAR(10),""),IF(R207&gt;R193," * VL Done "&amp;$R$19&amp;" "&amp;$R$20&amp;" is more than TX_Curr"&amp;CHAR(10),""),IF(S207&gt;S193," * VL Done "&amp;$R$19&amp;" "&amp;$S$20&amp;" is more than TX_Curr"&amp;CHAR(10),""),IF(T207&gt;T193," * VL Done "&amp;$T$19&amp;" "&amp;$T$20&amp;" is more than TX_Curr"&amp;CHAR(10),""),IF(U207&gt;U193," * VL Done "&amp;$T$19&amp;" "&amp;$U$20&amp;" is more than TX_Curr"&amp;CHAR(10),""),IF(V207&gt;V193," * VL Done "&amp;$V$19&amp;" "&amp;$V$20&amp;" is more than TX_Curr"&amp;CHAR(10),""),IF(W207&gt;W193," * VL Done "&amp;$V$19&amp;" "&amp;$W$20&amp;" is more than TX_Curr"&amp;CHAR(10),""),IF(X207&gt;X193," * VL Done "&amp;$X$19&amp;" "&amp;$X$20&amp;" is more than TX_Curr"&amp;CHAR(10),""),IF(Y207&gt;Y193," * VL Done "&amp;$X$19&amp;" "&amp;$Y$20&amp;" is more than TX_Curr"&amp;CHAR(10),""),IF(Z207&gt;Z193," * VL Done "&amp;$Z$19&amp;" "&amp;$Z$20&amp;" is more than TX_Curr"&amp;CHAR(10),""),IF(AA207&gt;AA193," * VL Done "&amp;$Z$19&amp;" "&amp;$AA$20&amp;" is more than TX_Curr"&amp;CHAR(10),""),IF(AB207&gt;AB193," * VL Done "&amp;$Z$19&amp;" "&amp;$AA$20&amp;" is more than TX_Curr"&amp;CHAR(10),""))</f>
        <v/>
      </c>
      <c r="AD193" s="674" t="str">
        <f>CONCATENATE(AC193,AC194,AC195,AC196,AC197,AC198)</f>
        <v/>
      </c>
      <c r="AE193" s="203" t="str">
        <f>IF(AB207&lt;AB193," * "&amp;AB193-AB207&amp;" Patients  have no VL Done . Please provide an explanation"&amp;CHAR(10),"")</f>
        <v/>
      </c>
      <c r="AF193" s="878" t="str">
        <f>CONCATENATE(AE193,AE195,AE194,AE196,AE197,AE198)</f>
        <v/>
      </c>
      <c r="AG193" s="158">
        <v>155</v>
      </c>
      <c r="AH193" s="6"/>
      <c r="AI193" s="6"/>
      <c r="AJ193" s="6"/>
      <c r="AK193" s="6"/>
      <c r="AL193" s="6"/>
      <c r="AM193" s="6"/>
      <c r="AN193" s="6"/>
      <c r="AO193" s="6"/>
      <c r="AP193" s="6"/>
      <c r="AQ193" s="6"/>
      <c r="AR193" s="6"/>
      <c r="AS193" s="6"/>
      <c r="AT193" s="6"/>
      <c r="AU193" s="6"/>
    </row>
    <row r="194" spans="1:47" s="4" customFormat="1" ht="53.25" customHeight="1" thickBot="1">
      <c r="A194" s="540" t="s">
        <v>78</v>
      </c>
      <c r="B194" s="204" t="s">
        <v>195</v>
      </c>
      <c r="C194" s="545" t="s">
        <v>316</v>
      </c>
      <c r="D194" s="287"/>
      <c r="E194" s="183"/>
      <c r="F194" s="182"/>
      <c r="G194" s="183"/>
      <c r="H194" s="182"/>
      <c r="I194" s="183"/>
      <c r="J194" s="182"/>
      <c r="K194" s="183"/>
      <c r="L194" s="183"/>
      <c r="M194" s="196"/>
      <c r="N194" s="183"/>
      <c r="O194" s="196"/>
      <c r="P194" s="183"/>
      <c r="Q194" s="196"/>
      <c r="R194" s="183"/>
      <c r="S194" s="196"/>
      <c r="T194" s="183"/>
      <c r="U194" s="196"/>
      <c r="V194" s="183"/>
      <c r="W194" s="196"/>
      <c r="X194" s="183"/>
      <c r="Y194" s="196"/>
      <c r="Z194" s="183"/>
      <c r="AA194" s="196"/>
      <c r="AB194" s="205">
        <f>SUM(D194:AA194)</f>
        <v>0</v>
      </c>
      <c r="AC194" s="160" t="str">
        <f>CONCATENATE(IF(D194&lt;(D209+D215)," * VL Done FSW "&amp;$D$19&amp;" "&amp;$D$20&amp;" is more than TX_CURR "&amp;CHAR(10),""),IF(E194&lt;(E209+E215)," * VL Done FSW "&amp;$D$19&amp;" "&amp;$E$20&amp;" is more than TX_CURR "&amp;CHAR(10),""),IF(F194&lt;(F209+F215)," * VL Done FSW "&amp;$F$19&amp;" "&amp;$F$20&amp;" is more than TX_CURR "&amp;CHAR(10),""),IF(G194&lt;(G209+G215)," * VL Done FSW "&amp;$F$19&amp;" "&amp;$G$20&amp;" is more than TX_CURR "&amp;CHAR(10),""),IF(H194&lt;(H209+H215)," * VL Done FSW "&amp;$H$19&amp;" "&amp;$H$20&amp;" is more than TX_CURR "&amp;CHAR(10),""),IF(I194&lt;(I209+I215)," * VL Done FSW "&amp;$H$19&amp;" "&amp;$I$20&amp;" is more than TX_CURR "&amp;CHAR(10),""),IF(J194&lt;(J209+J215)," * VL Done FSW "&amp;$J$19&amp;" "&amp;$J$20&amp;" is more than TX_CURR "&amp;CHAR(10),""),IF(K194&lt;(K209+K215)," * VL Done FSW "&amp;$J$19&amp;" "&amp;$K$20&amp;" is more than TX_CURR "&amp;CHAR(10),""),IF(L194&lt;(L209+L215)," * VL Done FSW "&amp;$L$19&amp;" "&amp;$L$20&amp;" is more than TX_CURR "&amp;CHAR(10),""),IF(M194&lt;(M209+M215)," * VL Done FSW "&amp;$L$19&amp;" "&amp;$M$20&amp;" is more than TX_CURR "&amp;CHAR(10),""),IF(N194&lt;(N209+N215)," * VL Done FSW "&amp;$N$19&amp;" "&amp;$N$20&amp;" is more than TX_CURR "&amp;CHAR(10),""),IF(O194&lt;(O209+O215)," * VL Done FSW "&amp;$N$19&amp;" "&amp;$O$20&amp;" is more than TX_CURR "&amp;CHAR(10),""),IF(P194&lt;(P209+P215)," * VL Done FSW "&amp;$P$19&amp;" "&amp;$P$20&amp;" is more than TX_CURR "&amp;CHAR(10),""),IF(Q194&lt;(Q209+Q215)," * VL Done FSW "&amp;$P$19&amp;" "&amp;$Q$20&amp;" is more than TX_CURR "&amp;CHAR(10),""),IF(R194&lt;(R209+R215)," * VL Done FSW "&amp;$R$19&amp;" "&amp;$R$20&amp;" is more than TX_CURR "&amp;CHAR(10),""),IF(S194&lt;(S209+S215)," * VL Done FSW "&amp;$R$19&amp;" "&amp;$S$20&amp;" is more than TX_CURR "&amp;CHAR(10),""),IF(T194&lt;(T209+T215)," * VL Done FSW "&amp;$T$19&amp;" "&amp;$T$20&amp;" is more than TX_CURR "&amp;CHAR(10),""),IF(U194&lt;(U209+U215)," * VL Done FSW "&amp;$T$19&amp;" "&amp;$U$20&amp;" is more than TX_CURR "&amp;CHAR(10),""),IF(V194&lt;(V209+V215)," * VL Done FSW "&amp;$V$19&amp;" "&amp;$V$20&amp;" is more than TX_CURR "&amp;CHAR(10),""),IF(W194&lt;(W209+W215)," * VL Done FSW "&amp;$V$19&amp;" "&amp;$W$20&amp;" is more than TX_CURR "&amp;CHAR(10),""),IF(X194&lt;(X209+X215)," * VL Done FSW "&amp;$X$19&amp;" "&amp;$X$20&amp;" is more than TX_CURR "&amp;CHAR(10),""),IF(Y194&lt;(Y209+Y215)," * VL Done FSW "&amp;$X$19&amp;" "&amp;$Y$20&amp;" is more than TX_CURR "&amp;CHAR(10),""),IF(Z194&lt;(Z209+Z215)," * VL Done FSW "&amp;$Z$19&amp;" "&amp;$Z$20&amp;" is more than TX_CURR "&amp;CHAR(10),""),IF(AA194&lt;(AA209+AA215)," * VL Done FSW "&amp;$Z$19&amp;" "&amp;$AA$20&amp;" is more than TX_CURR "&amp;CHAR(10),""))</f>
        <v/>
      </c>
      <c r="AD194" s="675"/>
      <c r="AE194" s="171"/>
      <c r="AF194" s="879"/>
      <c r="AG194" s="158">
        <v>156</v>
      </c>
    </row>
    <row r="195" spans="1:47" s="4" customFormat="1" ht="53.25" customHeight="1">
      <c r="A195" s="376" t="s">
        <v>76</v>
      </c>
      <c r="B195" s="207" t="s">
        <v>191</v>
      </c>
      <c r="C195" s="547" t="s">
        <v>317</v>
      </c>
      <c r="D195" s="289"/>
      <c r="E195" s="163"/>
      <c r="F195" s="162"/>
      <c r="G195" s="163"/>
      <c r="H195" s="162"/>
      <c r="I195" s="163"/>
      <c r="J195" s="162"/>
      <c r="K195" s="163"/>
      <c r="L195" s="197"/>
      <c r="M195" s="183"/>
      <c r="N195" s="197"/>
      <c r="O195" s="183"/>
      <c r="P195" s="197"/>
      <c r="Q195" s="183"/>
      <c r="R195" s="197"/>
      <c r="S195" s="183"/>
      <c r="T195" s="197"/>
      <c r="U195" s="183"/>
      <c r="V195" s="197"/>
      <c r="W195" s="183"/>
      <c r="X195" s="197"/>
      <c r="Y195" s="183"/>
      <c r="Z195" s="197"/>
      <c r="AA195" s="183"/>
      <c r="AB195" s="208">
        <f>SUM(D195:AA195)</f>
        <v>0</v>
      </c>
      <c r="AC195" s="209" t="str">
        <f>CONCATENATE(IF(D195&lt;(D210+D216)," * VL Done MSM "&amp;$D$19&amp;" "&amp;$D$20&amp;" is more than TX_CURR "&amp;CHAR(10),""),IF(E195&lt;(E210+E216)," * VL Done MSM "&amp;$D$19&amp;" "&amp;$E$20&amp;" is more than TX_CURR "&amp;CHAR(10),""),IF(F195&lt;(F210+F216)," * VL Done MSM "&amp;$F$19&amp;" "&amp;$F$20&amp;" is more than TX_CURR "&amp;CHAR(10),""),IF(G195&lt;(G210+G216)," * VL Done MSM "&amp;$F$19&amp;" "&amp;$G$20&amp;" is more than TX_CURR "&amp;CHAR(10),""),IF(H195&lt;(H210+H216)," * VL Done MSM "&amp;$H$19&amp;" "&amp;$H$20&amp;" is more than TX_CURR "&amp;CHAR(10),""),IF(I195&lt;(I210+I216)," * VL Done MSM "&amp;$H$19&amp;" "&amp;$I$20&amp;" is more than TX_CURR "&amp;CHAR(10),""),IF(J195&lt;(J210+J216)," * VL Done MSM "&amp;$J$19&amp;" "&amp;$J$20&amp;" is more than TX_CURR "&amp;CHAR(10),""),IF(K195&lt;(K210+K216)," * VL Done MSM "&amp;$J$19&amp;" "&amp;$K$20&amp;" is more than TX_CURR "&amp;CHAR(10),""),IF(L195&lt;(L210+L216)," * VL Done MSM "&amp;$L$19&amp;" "&amp;$L$20&amp;" is more than TX_CURR "&amp;CHAR(10),""),IF(M195&lt;(M210+M216)," * VL Done MSM "&amp;$L$19&amp;" "&amp;$M$20&amp;" is more than TX_CURR "&amp;CHAR(10),""),IF(N195&lt;(N210+N216)," * VL Done MSM "&amp;$N$19&amp;" "&amp;$N$20&amp;" is more than TX_CURR "&amp;CHAR(10),""),IF(O195&lt;(O210+O216)," * VL Done MSM "&amp;$N$19&amp;" "&amp;$O$20&amp;" is more than TX_CURR "&amp;CHAR(10),""),IF(P195&lt;(P210+P216)," * VL Done MSM "&amp;$P$19&amp;" "&amp;$P$20&amp;" is more than TX_CURR "&amp;CHAR(10),""),IF(Q195&lt;(Q210+Q216)," * VL Done MSM "&amp;$P$19&amp;" "&amp;$Q$20&amp;" is more than TX_CURR "&amp;CHAR(10),""),IF(R195&lt;(R210+R216)," * VL Done MSM "&amp;$R$19&amp;" "&amp;$R$20&amp;" is more than TX_CURR "&amp;CHAR(10),""),IF(S195&lt;(S210+S216)," * VL Done MSM "&amp;$R$19&amp;" "&amp;$S$20&amp;" is more than TX_CURR "&amp;CHAR(10),""),IF(T195&lt;(T210+T216)," * VL Done MSM "&amp;$T$19&amp;" "&amp;$T$20&amp;" is more than TX_CURR "&amp;CHAR(10),""),IF(U195&lt;(U210+U216)," * VL Done MSM "&amp;$T$19&amp;" "&amp;$U$20&amp;" is more than TX_CURR "&amp;CHAR(10),""),IF(V195&lt;(V210+V216)," * VL Done MSM "&amp;$V$19&amp;" "&amp;$V$20&amp;" is more than TX_CURR "&amp;CHAR(10),""),IF(W195&lt;(W210+W216)," * VL Done MSM "&amp;$V$19&amp;" "&amp;$W$20&amp;" is more than TX_CURR "&amp;CHAR(10),""),IF(X195&lt;(X210+X216)," * VL Done MSM "&amp;$X$19&amp;" "&amp;$X$20&amp;" is more than TX_CURR "&amp;CHAR(10),""),IF(Y195&lt;(Y210+Y216)," * VL Done MSM "&amp;$X$19&amp;" "&amp;$Y$20&amp;" is more than TX_CURR "&amp;CHAR(10),""),IF(Z195&lt;(Z210+Z216)," * VL Done MSM "&amp;$Z$19&amp;" "&amp;$Z$20&amp;" is more than TX_CURR "&amp;CHAR(10),""),IF(AA195&lt;(AA210+AA216)," * VL Done MSM "&amp;$Z$19&amp;" "&amp;$AA$20&amp;" is more than TX_CURR "&amp;CHAR(10),""))</f>
        <v/>
      </c>
      <c r="AD195" s="675"/>
      <c r="AE195" s="171"/>
      <c r="AF195" s="879"/>
      <c r="AG195" s="158">
        <v>157</v>
      </c>
    </row>
    <row r="196" spans="1:47" s="4" customFormat="1" ht="53.25" customHeight="1">
      <c r="A196" s="376" t="s">
        <v>166</v>
      </c>
      <c r="B196" s="207" t="s">
        <v>192</v>
      </c>
      <c r="C196" s="547" t="s">
        <v>318</v>
      </c>
      <c r="D196" s="289"/>
      <c r="E196" s="163"/>
      <c r="F196" s="162"/>
      <c r="G196" s="163"/>
      <c r="H196" s="162"/>
      <c r="I196" s="163"/>
      <c r="J196" s="162"/>
      <c r="K196" s="163"/>
      <c r="L196" s="197"/>
      <c r="M196" s="197"/>
      <c r="N196" s="197"/>
      <c r="O196" s="197"/>
      <c r="P196" s="197"/>
      <c r="Q196" s="197"/>
      <c r="R196" s="197"/>
      <c r="S196" s="197"/>
      <c r="T196" s="197"/>
      <c r="U196" s="197"/>
      <c r="V196" s="197"/>
      <c r="W196" s="197"/>
      <c r="X196" s="197"/>
      <c r="Y196" s="197"/>
      <c r="Z196" s="197"/>
      <c r="AA196" s="197"/>
      <c r="AB196" s="208">
        <f>SUM(D196:AA196)</f>
        <v>0</v>
      </c>
      <c r="AC196" s="209" t="str">
        <f>CONCATENATE(IF(D196&lt;(D211+D217)," * VL Done People in Prison "&amp;$D$19&amp;" "&amp;$D$20&amp;" is more than TX_CURR "&amp;CHAR(10),""),IF(E196&lt;(E211+E217)," * VL Done People in Prison "&amp;$D$19&amp;" "&amp;$E$20&amp;" is more than TX_CURR "&amp;CHAR(10),""),IF(F196&lt;(F211+F217)," * VL Done People in Prison "&amp;$F$19&amp;" "&amp;$F$20&amp;" is more than TX_CURR "&amp;CHAR(10),""),IF(G196&lt;(G211+G217)," * VL Done People in Prison "&amp;$F$19&amp;" "&amp;$G$20&amp;" is more than TX_CURR "&amp;CHAR(10),""),IF(H196&lt;(H211+H217)," * VL Done People in Prison "&amp;$H$19&amp;" "&amp;$H$20&amp;" is more than TX_CURR "&amp;CHAR(10),""),IF(I196&lt;(I211+I217)," * VL Done People in Prison "&amp;$H$19&amp;" "&amp;$I$20&amp;" is more than TX_CURR "&amp;CHAR(10),""),IF(J196&lt;(J211+J217)," * VL Done People in Prison "&amp;$J$19&amp;" "&amp;$J$20&amp;" is more than TX_CURR "&amp;CHAR(10),""),IF(K196&lt;(K211+K217)," * VL Done People in Prison "&amp;$J$19&amp;" "&amp;$K$20&amp;" is more than TX_CURR "&amp;CHAR(10),""),IF(L196&lt;(L211+L217)," * VL Done People in Prison "&amp;$L$19&amp;" "&amp;$L$20&amp;" is more than TX_CURR "&amp;CHAR(10),""),IF(M196&lt;(M211+M217)," * VL Done People in Prison "&amp;$L$19&amp;" "&amp;$M$20&amp;" is more than TX_CURR "&amp;CHAR(10),""),IF(N196&lt;(N211+N217)," * VL Done People in Prison "&amp;$N$19&amp;" "&amp;$N$20&amp;" is more than TX_CURR "&amp;CHAR(10),""),IF(O196&lt;(O211+O217)," * VL Done People in Prison "&amp;$N$19&amp;" "&amp;$O$20&amp;" is more than TX_CURR "&amp;CHAR(10),""),IF(P196&lt;(P211+P217)," * VL Done People in Prison "&amp;$P$19&amp;" "&amp;$P$20&amp;" is more than TX_CURR "&amp;CHAR(10),""),IF(Q196&lt;(Q211+Q217)," * VL Done People in Prison "&amp;$P$19&amp;" "&amp;$Q$20&amp;" is more than TX_CURR "&amp;CHAR(10),""),IF(R196&lt;(R211+R217)," * VL Done People in Prison "&amp;$R$19&amp;" "&amp;$R$20&amp;" is more than TX_CURR "&amp;CHAR(10),""),IF(S196&lt;(S211+S217)," * VL Done People in Prison "&amp;$R$19&amp;" "&amp;$S$20&amp;" is more than TX_CURR "&amp;CHAR(10),""),IF(T196&lt;(T211+T217)," * VL Done People in Prison "&amp;$T$19&amp;" "&amp;$T$20&amp;" is more than TX_CURR "&amp;CHAR(10),""),IF(U196&lt;(U211+U217)," * VL Done People in Prison "&amp;$T$19&amp;" "&amp;$U$20&amp;" is more than TX_CURR "&amp;CHAR(10),""),IF(V196&lt;(V211+V217)," * VL Done People in Prison "&amp;$V$19&amp;" "&amp;$V$20&amp;" is more than TX_CURR "&amp;CHAR(10),""),IF(W196&lt;(W211+W217)," * VL Done People in Prison "&amp;$V$19&amp;" "&amp;$W$20&amp;" is more than TX_CURR "&amp;CHAR(10),""),IF(X196&lt;(X211+X217)," * VL Done People in Prison "&amp;$X$19&amp;" "&amp;$X$20&amp;" is more than TX_CURR "&amp;CHAR(10),""),IF(Y196&lt;(Y211+Y217)," * VL Done People in Prison "&amp;$X$19&amp;" "&amp;$Y$20&amp;" is more than TX_CURR "&amp;CHAR(10),""),IF(Z196&lt;(Z211+Z217)," * VL Done People in Prison "&amp;$Z$19&amp;" "&amp;$Z$20&amp;" is more than TX_CURR "&amp;CHAR(10),""),IF(AA196&lt;(AA211+AA217)," * VL Done People in Prison "&amp;$Z$19&amp;" "&amp;$AA$20&amp;" is more than TX_CURR "&amp;CHAR(10),""))</f>
        <v/>
      </c>
      <c r="AD196" s="675"/>
      <c r="AE196" s="171"/>
      <c r="AF196" s="879"/>
      <c r="AG196" s="158">
        <v>159</v>
      </c>
    </row>
    <row r="197" spans="1:47" s="6" customFormat="1" ht="53.25" customHeight="1" thickBot="1">
      <c r="A197" s="376" t="s">
        <v>75</v>
      </c>
      <c r="B197" s="207" t="s">
        <v>193</v>
      </c>
      <c r="C197" s="547" t="s">
        <v>319</v>
      </c>
      <c r="D197" s="289"/>
      <c r="E197" s="163"/>
      <c r="F197" s="162"/>
      <c r="G197" s="163"/>
      <c r="H197" s="162"/>
      <c r="I197" s="163"/>
      <c r="J197" s="162"/>
      <c r="K197" s="163"/>
      <c r="L197" s="197"/>
      <c r="M197" s="197"/>
      <c r="N197" s="197"/>
      <c r="O197" s="197"/>
      <c r="P197" s="197"/>
      <c r="Q197" s="197"/>
      <c r="R197" s="197"/>
      <c r="S197" s="197"/>
      <c r="T197" s="197"/>
      <c r="U197" s="197"/>
      <c r="V197" s="197"/>
      <c r="W197" s="197"/>
      <c r="X197" s="197"/>
      <c r="Y197" s="197"/>
      <c r="Z197" s="197"/>
      <c r="AA197" s="197"/>
      <c r="AB197" s="210">
        <f>SUM(D197:AA197)</f>
        <v>0</v>
      </c>
      <c r="AC197" s="211" t="str">
        <f>CONCATENATE(IF(D197&lt;(D212+D218)," * VL Done People in Prison "&amp;$D$19&amp;" "&amp;$D$20&amp;" is more than TX_CURR "&amp;CHAR(10),""),IF(E197&lt;(E212+E218)," * VL Done People in Prison "&amp;$D$19&amp;" "&amp;$E$20&amp;" is more than TX_CURR "&amp;CHAR(10),""),IF(F197&lt;(F212+F218)," * VL Done People in Prison "&amp;$F$19&amp;" "&amp;$F$20&amp;" is more than TX_CURR "&amp;CHAR(10),""),IF(G197&lt;(G212+G218)," * VL Done People in Prison "&amp;$F$19&amp;" "&amp;$G$20&amp;" is more than TX_CURR "&amp;CHAR(10),""),IF(H197&lt;(H212+H218)," * VL Done People in Prison "&amp;$H$19&amp;" "&amp;$H$20&amp;" is more than TX_CURR "&amp;CHAR(10),""),IF(I197&lt;(I212+I218)," * VL Done People in Prison "&amp;$H$19&amp;" "&amp;$I$20&amp;" is more than TX_CURR "&amp;CHAR(10),""),IF(J197&lt;(J212+J218)," * VL Done People in Prison "&amp;$J$19&amp;" "&amp;$J$20&amp;" is more than TX_CURR "&amp;CHAR(10),""),IF(K197&lt;(K212+K218)," * VL Done People in Prison "&amp;$J$19&amp;" "&amp;$K$20&amp;" is more than TX_CURR "&amp;CHAR(10),""),IF(L197&lt;(L212+L218)," * VL Done People in Prison "&amp;$L$19&amp;" "&amp;$L$20&amp;" is more than TX_CURR "&amp;CHAR(10),""),IF(M197&lt;(M212+M218)," * VL Done People in Prison "&amp;$L$19&amp;" "&amp;$M$20&amp;" is more than TX_CURR "&amp;CHAR(10),""),IF(N197&lt;(N212+N218)," * VL Done People in Prison "&amp;$N$19&amp;" "&amp;$N$20&amp;" is more than TX_CURR "&amp;CHAR(10),""),IF(O197&lt;(O212+O218)," * VL Done People in Prison "&amp;$N$19&amp;" "&amp;$O$20&amp;" is more than TX_CURR "&amp;CHAR(10),""),IF(P197&lt;(P212+P218)," * VL Done People in Prison "&amp;$P$19&amp;" "&amp;$P$20&amp;" is more than TX_CURR "&amp;CHAR(10),""),IF(Q197&lt;(Q212+Q218)," * VL Done People in Prison "&amp;$P$19&amp;" "&amp;$Q$20&amp;" is more than TX_CURR "&amp;CHAR(10),""),IF(R197&lt;(R212+R218)," * VL Done People in Prison "&amp;$R$19&amp;" "&amp;$R$20&amp;" is more than TX_CURR "&amp;CHAR(10),""),IF(S197&lt;(S212+S218)," * VL Done People in Prison "&amp;$R$19&amp;" "&amp;$S$20&amp;" is more than TX_CURR "&amp;CHAR(10),""),IF(T197&lt;(T212+T218)," * VL Done People in Prison "&amp;$T$19&amp;" "&amp;$T$20&amp;" is more than TX_CURR "&amp;CHAR(10),""),IF(U197&lt;(U212+U218)," * VL Done People in Prison "&amp;$T$19&amp;" "&amp;$U$20&amp;" is more than TX_CURR "&amp;CHAR(10),""),IF(V197&lt;(V212+V218)," * VL Done People in Prison "&amp;$V$19&amp;" "&amp;$V$20&amp;" is more than TX_CURR "&amp;CHAR(10),""),IF(W197&lt;(W212+W218)," * VL Done People in Prison "&amp;$V$19&amp;" "&amp;$W$20&amp;" is more than TX_CURR "&amp;CHAR(10),""),IF(X197&lt;(X212+X218)," * VL Done People in Prison "&amp;$X$19&amp;" "&amp;$X$20&amp;" is more than TX_CURR "&amp;CHAR(10),""),IF(Y197&lt;(Y212+Y218)," * VL Done People in Prison "&amp;$X$19&amp;" "&amp;$Y$20&amp;" is more than TX_CURR "&amp;CHAR(10),""),IF(Z197&lt;(Z212+Z218)," * VL Done People in Prison "&amp;$Z$19&amp;" "&amp;$Z$20&amp;" is more than TX_CURR "&amp;CHAR(10),""),IF(AA197&lt;(AA212+AA218)," * VL Done People in Prison "&amp;$Z$19&amp;" "&amp;$AA$20&amp;" is more than TX_CURR "&amp;CHAR(10),""))</f>
        <v/>
      </c>
      <c r="AD197" s="675"/>
      <c r="AE197" s="171"/>
      <c r="AF197" s="879"/>
      <c r="AG197" s="158">
        <v>160</v>
      </c>
      <c r="AH197" s="4"/>
      <c r="AI197" s="4"/>
      <c r="AJ197" s="4"/>
      <c r="AK197" s="4"/>
      <c r="AL197" s="4"/>
      <c r="AM197" s="4"/>
      <c r="AN197" s="4"/>
      <c r="AO197" s="4"/>
      <c r="AP197" s="4"/>
      <c r="AQ197" s="4"/>
      <c r="AR197" s="4"/>
      <c r="AS197" s="4"/>
      <c r="AT197" s="4"/>
      <c r="AU197" s="4"/>
    </row>
    <row r="198" spans="1:47" s="4" customFormat="1" ht="53.25" customHeight="1" thickBot="1">
      <c r="A198" s="377" t="s">
        <v>421</v>
      </c>
      <c r="B198" s="212" t="s">
        <v>194</v>
      </c>
      <c r="C198" s="546" t="s">
        <v>320</v>
      </c>
      <c r="D198" s="291"/>
      <c r="E198" s="178"/>
      <c r="F198" s="177"/>
      <c r="G198" s="178"/>
      <c r="H198" s="177"/>
      <c r="I198" s="178"/>
      <c r="J198" s="177"/>
      <c r="K198" s="178"/>
      <c r="L198" s="178"/>
      <c r="M198" s="178"/>
      <c r="N198" s="178"/>
      <c r="O198" s="178"/>
      <c r="P198" s="178"/>
      <c r="Q198" s="178"/>
      <c r="R198" s="178"/>
      <c r="S198" s="178"/>
      <c r="T198" s="178"/>
      <c r="U198" s="178"/>
      <c r="V198" s="178"/>
      <c r="W198" s="178"/>
      <c r="X198" s="178"/>
      <c r="Y198" s="178"/>
      <c r="Z198" s="178"/>
      <c r="AA198" s="213"/>
      <c r="AB198" s="214"/>
      <c r="AC198" s="209" t="str">
        <f>IF(AB198&lt;(AB213+AB219)," * VL Done People in Prison "&amp;$Z$19&amp;" "&amp;$AB$20&amp;" is more than TX_CURR "&amp;CHAR(10),"")</f>
        <v/>
      </c>
      <c r="AD198" s="675"/>
      <c r="AE198" s="171"/>
      <c r="AF198" s="880"/>
      <c r="AG198" s="158">
        <v>161</v>
      </c>
    </row>
    <row r="199" spans="1:47" s="4" customFormat="1" ht="53.25" customHeight="1" thickBot="1">
      <c r="A199" s="688" t="s">
        <v>795</v>
      </c>
      <c r="B199" s="689"/>
      <c r="C199" s="692"/>
      <c r="D199" s="689"/>
      <c r="E199" s="689"/>
      <c r="F199" s="689"/>
      <c r="G199" s="689"/>
      <c r="H199" s="689"/>
      <c r="I199" s="689"/>
      <c r="J199" s="689"/>
      <c r="K199" s="689"/>
      <c r="L199" s="689"/>
      <c r="M199" s="689"/>
      <c r="N199" s="689"/>
      <c r="O199" s="689"/>
      <c r="P199" s="689"/>
      <c r="Q199" s="689"/>
      <c r="R199" s="689"/>
      <c r="S199" s="689"/>
      <c r="T199" s="689"/>
      <c r="U199" s="689"/>
      <c r="V199" s="689"/>
      <c r="W199" s="689"/>
      <c r="X199" s="689"/>
      <c r="Y199" s="689"/>
      <c r="Z199" s="689"/>
      <c r="AA199" s="689"/>
      <c r="AB199" s="692"/>
      <c r="AC199" s="689"/>
      <c r="AD199" s="689"/>
      <c r="AE199" s="689"/>
      <c r="AF199" s="691"/>
      <c r="AG199" s="158">
        <v>154</v>
      </c>
    </row>
    <row r="200" spans="1:47" s="4" customFormat="1" ht="53.25" customHeight="1" thickBot="1">
      <c r="A200" s="375" t="s">
        <v>196</v>
      </c>
      <c r="B200" s="292" t="s">
        <v>196</v>
      </c>
      <c r="C200" s="286" t="s">
        <v>321</v>
      </c>
      <c r="D200" s="201">
        <f t="shared" ref="D200:AB200" si="32">SUM(D201:D205)</f>
        <v>0</v>
      </c>
      <c r="E200" s="201">
        <f t="shared" si="32"/>
        <v>0</v>
      </c>
      <c r="F200" s="201">
        <f t="shared" si="32"/>
        <v>0</v>
      </c>
      <c r="G200" s="201">
        <f t="shared" si="32"/>
        <v>0</v>
      </c>
      <c r="H200" s="201">
        <f t="shared" si="32"/>
        <v>0</v>
      </c>
      <c r="I200" s="201">
        <f t="shared" si="32"/>
        <v>0</v>
      </c>
      <c r="J200" s="201">
        <f t="shared" si="32"/>
        <v>0</v>
      </c>
      <c r="K200" s="201">
        <f t="shared" si="32"/>
        <v>0</v>
      </c>
      <c r="L200" s="201">
        <f t="shared" si="32"/>
        <v>0</v>
      </c>
      <c r="M200" s="201">
        <f t="shared" si="32"/>
        <v>0</v>
      </c>
      <c r="N200" s="201">
        <f t="shared" si="32"/>
        <v>0</v>
      </c>
      <c r="O200" s="201">
        <f t="shared" si="32"/>
        <v>0</v>
      </c>
      <c r="P200" s="201">
        <f t="shared" si="32"/>
        <v>0</v>
      </c>
      <c r="Q200" s="201">
        <f t="shared" si="32"/>
        <v>0</v>
      </c>
      <c r="R200" s="201">
        <f t="shared" si="32"/>
        <v>0</v>
      </c>
      <c r="S200" s="201">
        <f t="shared" si="32"/>
        <v>0</v>
      </c>
      <c r="T200" s="201">
        <f t="shared" si="32"/>
        <v>0</v>
      </c>
      <c r="U200" s="201">
        <f t="shared" si="32"/>
        <v>0</v>
      </c>
      <c r="V200" s="201">
        <f t="shared" si="32"/>
        <v>0</v>
      </c>
      <c r="W200" s="201">
        <f t="shared" si="32"/>
        <v>0</v>
      </c>
      <c r="X200" s="201">
        <f t="shared" si="32"/>
        <v>0</v>
      </c>
      <c r="Y200" s="201">
        <f t="shared" si="32"/>
        <v>0</v>
      </c>
      <c r="Z200" s="201">
        <f t="shared" si="32"/>
        <v>0</v>
      </c>
      <c r="AA200" s="201">
        <f t="shared" si="32"/>
        <v>0</v>
      </c>
      <c r="AB200" s="201">
        <f t="shared" si="32"/>
        <v>0</v>
      </c>
      <c r="AC200" s="202"/>
      <c r="AD200" s="674" t="str">
        <f>CONCATENATE(AC200,AC201,AC202,AC203,AC204,AC205)</f>
        <v/>
      </c>
      <c r="AE200" s="203"/>
      <c r="AF200" s="671" t="str">
        <f>CONCATENATE(AE200,AE201,AE202,AE203,AE204,AE205)</f>
        <v/>
      </c>
      <c r="AG200" s="158">
        <v>155</v>
      </c>
      <c r="AH200" s="6"/>
      <c r="AI200" s="6"/>
      <c r="AJ200" s="6"/>
      <c r="AK200" s="6"/>
      <c r="AL200" s="6"/>
      <c r="AM200" s="6"/>
      <c r="AN200" s="6"/>
      <c r="AO200" s="6"/>
      <c r="AP200" s="6"/>
      <c r="AQ200" s="6"/>
      <c r="AR200" s="6"/>
      <c r="AS200" s="6"/>
      <c r="AT200" s="6"/>
      <c r="AU200" s="6"/>
    </row>
    <row r="201" spans="1:47" s="4" customFormat="1" ht="53.25" customHeight="1" thickBot="1">
      <c r="A201" s="540" t="s">
        <v>78</v>
      </c>
      <c r="B201" s="204" t="s">
        <v>201</v>
      </c>
      <c r="C201" s="545" t="s">
        <v>322</v>
      </c>
      <c r="D201" s="287"/>
      <c r="E201" s="183"/>
      <c r="F201" s="182"/>
      <c r="G201" s="183"/>
      <c r="H201" s="182"/>
      <c r="I201" s="183"/>
      <c r="J201" s="182"/>
      <c r="K201" s="183"/>
      <c r="L201" s="183"/>
      <c r="M201" s="196"/>
      <c r="N201" s="183"/>
      <c r="O201" s="196"/>
      <c r="P201" s="183"/>
      <c r="Q201" s="196"/>
      <c r="R201" s="183"/>
      <c r="S201" s="196"/>
      <c r="T201" s="183"/>
      <c r="U201" s="196"/>
      <c r="V201" s="183"/>
      <c r="W201" s="196"/>
      <c r="X201" s="183"/>
      <c r="Y201" s="196"/>
      <c r="Z201" s="183"/>
      <c r="AA201" s="288"/>
      <c r="AB201" s="205">
        <f>SUM(D201:AA201)</f>
        <v>0</v>
      </c>
      <c r="AC201" s="206"/>
      <c r="AD201" s="675"/>
      <c r="AE201" s="171"/>
      <c r="AF201" s="672"/>
      <c r="AG201" s="158">
        <v>156</v>
      </c>
    </row>
    <row r="202" spans="1:47" s="4" customFormat="1" ht="53.25" customHeight="1">
      <c r="A202" s="376" t="s">
        <v>76</v>
      </c>
      <c r="B202" s="207" t="s">
        <v>197</v>
      </c>
      <c r="C202" s="547" t="s">
        <v>323</v>
      </c>
      <c r="D202" s="289"/>
      <c r="E202" s="163"/>
      <c r="F202" s="162"/>
      <c r="G202" s="163"/>
      <c r="H202" s="162"/>
      <c r="I202" s="163"/>
      <c r="J202" s="162"/>
      <c r="K202" s="163"/>
      <c r="L202" s="197"/>
      <c r="M202" s="183"/>
      <c r="N202" s="197"/>
      <c r="O202" s="183"/>
      <c r="P202" s="197"/>
      <c r="Q202" s="183"/>
      <c r="R202" s="197"/>
      <c r="S202" s="183"/>
      <c r="T202" s="197"/>
      <c r="U202" s="183"/>
      <c r="V202" s="197"/>
      <c r="W202" s="183"/>
      <c r="X202" s="197"/>
      <c r="Y202" s="183"/>
      <c r="Z202" s="197"/>
      <c r="AA202" s="183"/>
      <c r="AB202" s="208">
        <f>SUM(D202:AA202)</f>
        <v>0</v>
      </c>
      <c r="AC202" s="209"/>
      <c r="AD202" s="675"/>
      <c r="AE202" s="171"/>
      <c r="AF202" s="672"/>
      <c r="AG202" s="158">
        <v>157</v>
      </c>
    </row>
    <row r="203" spans="1:47" s="4" customFormat="1" ht="53.25" customHeight="1">
      <c r="A203" s="376" t="s">
        <v>166</v>
      </c>
      <c r="B203" s="207" t="s">
        <v>198</v>
      </c>
      <c r="C203" s="547" t="s">
        <v>324</v>
      </c>
      <c r="D203" s="289"/>
      <c r="E203" s="163"/>
      <c r="F203" s="162"/>
      <c r="G203" s="163"/>
      <c r="H203" s="162"/>
      <c r="I203" s="163"/>
      <c r="J203" s="162"/>
      <c r="K203" s="163"/>
      <c r="L203" s="197"/>
      <c r="M203" s="197"/>
      <c r="N203" s="197"/>
      <c r="O203" s="197"/>
      <c r="P203" s="197"/>
      <c r="Q203" s="197"/>
      <c r="R203" s="197"/>
      <c r="S203" s="197"/>
      <c r="T203" s="197"/>
      <c r="U203" s="197"/>
      <c r="V203" s="197"/>
      <c r="W203" s="197"/>
      <c r="X203" s="197"/>
      <c r="Y203" s="197"/>
      <c r="Z203" s="197"/>
      <c r="AA203" s="290"/>
      <c r="AB203" s="208">
        <f>SUM(D203:AA203)</f>
        <v>0</v>
      </c>
      <c r="AC203" s="209"/>
      <c r="AD203" s="675"/>
      <c r="AE203" s="171"/>
      <c r="AF203" s="672"/>
      <c r="AG203" s="158">
        <v>159</v>
      </c>
    </row>
    <row r="204" spans="1:47" s="4" customFormat="1" ht="53.25" customHeight="1" thickBot="1">
      <c r="A204" s="376" t="s">
        <v>75</v>
      </c>
      <c r="B204" s="207" t="s">
        <v>199</v>
      </c>
      <c r="C204" s="547" t="s">
        <v>325</v>
      </c>
      <c r="D204" s="289"/>
      <c r="E204" s="163"/>
      <c r="F204" s="162"/>
      <c r="G204" s="163"/>
      <c r="H204" s="162"/>
      <c r="I204" s="163"/>
      <c r="J204" s="162"/>
      <c r="K204" s="163"/>
      <c r="L204" s="197"/>
      <c r="M204" s="197"/>
      <c r="N204" s="197"/>
      <c r="O204" s="197"/>
      <c r="P204" s="197"/>
      <c r="Q204" s="197"/>
      <c r="R204" s="197"/>
      <c r="S204" s="197"/>
      <c r="T204" s="197"/>
      <c r="U204" s="197"/>
      <c r="V204" s="197"/>
      <c r="W204" s="197"/>
      <c r="X204" s="197"/>
      <c r="Y204" s="197"/>
      <c r="Z204" s="197"/>
      <c r="AA204" s="290"/>
      <c r="AB204" s="210">
        <f>SUM(D204:AA204)</f>
        <v>0</v>
      </c>
      <c r="AC204" s="211"/>
      <c r="AD204" s="675"/>
      <c r="AE204" s="171"/>
      <c r="AF204" s="672"/>
      <c r="AG204" s="158">
        <v>160</v>
      </c>
    </row>
    <row r="205" spans="1:47" s="6" customFormat="1" ht="53.25" customHeight="1" thickBot="1">
      <c r="A205" s="377" t="s">
        <v>421</v>
      </c>
      <c r="B205" s="212" t="s">
        <v>200</v>
      </c>
      <c r="C205" s="546" t="s">
        <v>326</v>
      </c>
      <c r="D205" s="291"/>
      <c r="E205" s="178"/>
      <c r="F205" s="177"/>
      <c r="G205" s="178"/>
      <c r="H205" s="177"/>
      <c r="I205" s="178"/>
      <c r="J205" s="177"/>
      <c r="K205" s="178"/>
      <c r="L205" s="178"/>
      <c r="M205" s="178"/>
      <c r="N205" s="178"/>
      <c r="O205" s="178"/>
      <c r="P205" s="178"/>
      <c r="Q205" s="178"/>
      <c r="R205" s="178"/>
      <c r="S205" s="178"/>
      <c r="T205" s="178"/>
      <c r="U205" s="178"/>
      <c r="V205" s="178"/>
      <c r="W205" s="178"/>
      <c r="X205" s="178"/>
      <c r="Y205" s="178"/>
      <c r="Z205" s="178"/>
      <c r="AA205" s="213"/>
      <c r="AB205" s="214"/>
      <c r="AC205" s="209"/>
      <c r="AD205" s="675"/>
      <c r="AE205" s="171"/>
      <c r="AF205" s="673"/>
      <c r="AG205" s="158">
        <v>161</v>
      </c>
      <c r="AH205" s="4"/>
      <c r="AI205" s="4"/>
      <c r="AJ205" s="4"/>
      <c r="AK205" s="4"/>
      <c r="AL205" s="4"/>
      <c r="AM205" s="4"/>
      <c r="AN205" s="4"/>
      <c r="AO205" s="4"/>
      <c r="AP205" s="4"/>
      <c r="AQ205" s="4"/>
      <c r="AR205" s="4"/>
      <c r="AS205" s="4"/>
      <c r="AT205" s="4"/>
      <c r="AU205" s="4"/>
    </row>
    <row r="206" spans="1:47" s="4" customFormat="1" ht="53.25" customHeight="1" thickBot="1">
      <c r="A206" s="688" t="s">
        <v>796</v>
      </c>
      <c r="B206" s="689"/>
      <c r="C206" s="690"/>
      <c r="D206" s="689"/>
      <c r="E206" s="689"/>
      <c r="F206" s="689"/>
      <c r="G206" s="689"/>
      <c r="H206" s="689"/>
      <c r="I206" s="689"/>
      <c r="J206" s="689"/>
      <c r="K206" s="689"/>
      <c r="L206" s="689"/>
      <c r="M206" s="689"/>
      <c r="N206" s="689"/>
      <c r="O206" s="689"/>
      <c r="P206" s="689"/>
      <c r="Q206" s="689"/>
      <c r="R206" s="689"/>
      <c r="S206" s="689"/>
      <c r="T206" s="689"/>
      <c r="U206" s="689"/>
      <c r="V206" s="689"/>
      <c r="W206" s="689"/>
      <c r="X206" s="689"/>
      <c r="Y206" s="689"/>
      <c r="Z206" s="689"/>
      <c r="AA206" s="689"/>
      <c r="AB206" s="692"/>
      <c r="AC206" s="689"/>
      <c r="AD206" s="689"/>
      <c r="AE206" s="689"/>
      <c r="AF206" s="691"/>
      <c r="AG206" s="158">
        <v>154</v>
      </c>
    </row>
    <row r="207" spans="1:47" s="4" customFormat="1" ht="53.25" customHeight="1" thickBot="1">
      <c r="A207" s="539" t="s">
        <v>202</v>
      </c>
      <c r="B207" s="539" t="s">
        <v>215</v>
      </c>
      <c r="C207" s="153" t="s">
        <v>327</v>
      </c>
      <c r="D207" s="200">
        <f t="shared" ref="D207:AB207" si="33">SUM(D208,D214)</f>
        <v>0</v>
      </c>
      <c r="E207" s="201">
        <f t="shared" si="33"/>
        <v>0</v>
      </c>
      <c r="F207" s="201">
        <f t="shared" si="33"/>
        <v>0</v>
      </c>
      <c r="G207" s="201">
        <f t="shared" si="33"/>
        <v>0</v>
      </c>
      <c r="H207" s="201">
        <f t="shared" si="33"/>
        <v>0</v>
      </c>
      <c r="I207" s="201">
        <f t="shared" si="33"/>
        <v>0</v>
      </c>
      <c r="J207" s="201">
        <f t="shared" si="33"/>
        <v>0</v>
      </c>
      <c r="K207" s="201">
        <f t="shared" si="33"/>
        <v>0</v>
      </c>
      <c r="L207" s="201">
        <f t="shared" si="33"/>
        <v>0</v>
      </c>
      <c r="M207" s="201">
        <f t="shared" si="33"/>
        <v>0</v>
      </c>
      <c r="N207" s="201">
        <f t="shared" si="33"/>
        <v>0</v>
      </c>
      <c r="O207" s="201">
        <f t="shared" si="33"/>
        <v>0</v>
      </c>
      <c r="P207" s="201">
        <f t="shared" si="33"/>
        <v>0</v>
      </c>
      <c r="Q207" s="201">
        <f t="shared" si="33"/>
        <v>0</v>
      </c>
      <c r="R207" s="201">
        <f t="shared" si="33"/>
        <v>0</v>
      </c>
      <c r="S207" s="201">
        <f t="shared" si="33"/>
        <v>0</v>
      </c>
      <c r="T207" s="201">
        <f t="shared" si="33"/>
        <v>0</v>
      </c>
      <c r="U207" s="201">
        <f t="shared" si="33"/>
        <v>0</v>
      </c>
      <c r="V207" s="201">
        <f t="shared" si="33"/>
        <v>0</v>
      </c>
      <c r="W207" s="201">
        <f t="shared" si="33"/>
        <v>0</v>
      </c>
      <c r="X207" s="201">
        <f t="shared" si="33"/>
        <v>0</v>
      </c>
      <c r="Y207" s="201">
        <f t="shared" si="33"/>
        <v>0</v>
      </c>
      <c r="Z207" s="201">
        <f t="shared" si="33"/>
        <v>0</v>
      </c>
      <c r="AA207" s="201">
        <f t="shared" si="33"/>
        <v>0</v>
      </c>
      <c r="AB207" s="293">
        <f t="shared" si="33"/>
        <v>0</v>
      </c>
      <c r="AC207" s="160" t="str">
        <f>CONCATENATE(IF(D220&gt;D207," * VL Suppressed "&amp;$D$19&amp;" "&amp;$D$20&amp;" is more than VL Done"&amp;CHAR(10),""),IF(E220&gt;E207," * VL Suppressed "&amp;$D$19&amp;" "&amp;$E$20&amp;" is more than VL Done"&amp;CHAR(10),""),IF(F220&gt;F207," * VL Suppressed "&amp;$F$19&amp;" "&amp;$F$20&amp;" is more than VL Done"&amp;CHAR(10),""),IF(G220&gt;G207," * VL Suppressed "&amp;$F$19&amp;" "&amp;$G$20&amp;" is more than VL Done"&amp;CHAR(10),""),IF(H220&gt;H207," * VL Suppressed "&amp;$H$19&amp;" "&amp;$H$20&amp;" is more than VL Done"&amp;CHAR(10),""),IF(I220&gt;I207," * VL Suppressed "&amp;$H$19&amp;" "&amp;$I$20&amp;" is more than VL Done"&amp;CHAR(10),""),IF(J220&gt;J207," * VL Suppressed "&amp;$J$19&amp;" "&amp;$J$20&amp;" is more than VL Done"&amp;CHAR(10),""),IF(K220&gt;K207," * VL Suppressed "&amp;$J$19&amp;" "&amp;$K$20&amp;" is more than VL Done"&amp;CHAR(10),""),IF(L220&gt;L207," * VL Suppressed "&amp;$L$19&amp;" "&amp;$L$20&amp;" is more than VL Done"&amp;CHAR(10),""),IF(M220&gt;M207," * VL Suppressed "&amp;$L$19&amp;" "&amp;$M$20&amp;" is more than VL Done"&amp;CHAR(10),""),IF(N220&gt;N207," * VL Suppressed "&amp;$N$19&amp;" "&amp;$N$20&amp;" is more than VL Done"&amp;CHAR(10),""),IF(O220&gt;O207," * VL Suppressed "&amp;$N$19&amp;" "&amp;$O$20&amp;" is more than VL Done"&amp;CHAR(10),""),IF(P220&gt;P207," * VL Suppressed "&amp;$P$19&amp;" "&amp;$P$20&amp;" is more than VL Done"&amp;CHAR(10),""),IF(Q220&gt;Q207," * VL Suppressed "&amp;$P$19&amp;" "&amp;$Q$20&amp;" is more than VL Done"&amp;CHAR(10),""),IF(R220&gt;R207," * VL Suppressed "&amp;$R$19&amp;" "&amp;$R$20&amp;" is more than VL Done"&amp;CHAR(10),""),IF(S220&gt;S207," * VL Suppressed "&amp;$R$19&amp;" "&amp;$S$20&amp;" is more than VL Done"&amp;CHAR(10),""),IF(T220&gt;T207," * VL Suppressed "&amp;$T$19&amp;" "&amp;$T$20&amp;" is more than VL Done"&amp;CHAR(10),""),IF(U220&gt;U207," * VL Suppressed "&amp;$T$19&amp;" "&amp;$U$20&amp;" is more than VL Done"&amp;CHAR(10),""),IF(V220&gt;V207," * VL Suppressed "&amp;$V$19&amp;" "&amp;$V$20&amp;" is more than VL Done"&amp;CHAR(10),""),IF(W220&gt;W207," * VL Suppressed "&amp;$V$19&amp;" "&amp;$W$20&amp;" is more than VL Done"&amp;CHAR(10),""),IF(X220&gt;X207," * VL Suppressed "&amp;$X$19&amp;" "&amp;$X$20&amp;" is more than VL Done"&amp;CHAR(10),""),IF(Y220&gt;Y207," * VL Suppressed "&amp;$X$19&amp;" "&amp;$Y$20&amp;" is more than VL Done"&amp;CHAR(10),""),IF(Z220&gt;Z207," * VL Suppressed "&amp;$Z$19&amp;" "&amp;$Z$20&amp;" is more than VL Done"&amp;CHAR(10),""),IF(AA220&gt;AA207," * VL Suppressed "&amp;$Z$19&amp;" "&amp;$AA$20&amp;" is more than VL Done"&amp;CHAR(10),""),IF(AB220&gt;AB168262," * VL Suppressed "&amp;$Z$19&amp;" "&amp;$AA$20&amp;" is more than VL Done"&amp;CHAR(10),""))</f>
        <v/>
      </c>
      <c r="AD207" s="543"/>
      <c r="AE207" s="538"/>
      <c r="AF207" s="544"/>
      <c r="AG207" s="158"/>
    </row>
    <row r="208" spans="1:47" s="4" customFormat="1" ht="53.25" customHeight="1" thickBot="1">
      <c r="A208" s="375" t="s">
        <v>203</v>
      </c>
      <c r="B208" s="294" t="s">
        <v>203</v>
      </c>
      <c r="C208" s="153" t="s">
        <v>328</v>
      </c>
      <c r="D208" s="200">
        <f t="shared" ref="D208:L208" si="34">SUM(D209:D213)</f>
        <v>0</v>
      </c>
      <c r="E208" s="201">
        <f t="shared" si="34"/>
        <v>0</v>
      </c>
      <c r="F208" s="201">
        <f t="shared" si="34"/>
        <v>0</v>
      </c>
      <c r="G208" s="201">
        <f t="shared" si="34"/>
        <v>0</v>
      </c>
      <c r="H208" s="201">
        <f t="shared" si="34"/>
        <v>0</v>
      </c>
      <c r="I208" s="201">
        <f t="shared" si="34"/>
        <v>0</v>
      </c>
      <c r="J208" s="201">
        <f t="shared" si="34"/>
        <v>0</v>
      </c>
      <c r="K208" s="201">
        <f t="shared" si="34"/>
        <v>0</v>
      </c>
      <c r="L208" s="201">
        <f t="shared" si="34"/>
        <v>0</v>
      </c>
      <c r="M208" s="201">
        <f t="shared" ref="M208:AB208" si="35">SUM(M209:M213)</f>
        <v>0</v>
      </c>
      <c r="N208" s="201">
        <f t="shared" si="35"/>
        <v>0</v>
      </c>
      <c r="O208" s="201">
        <f t="shared" si="35"/>
        <v>0</v>
      </c>
      <c r="P208" s="201">
        <f t="shared" si="35"/>
        <v>0</v>
      </c>
      <c r="Q208" s="201">
        <f t="shared" si="35"/>
        <v>0</v>
      </c>
      <c r="R208" s="201">
        <f t="shared" si="35"/>
        <v>0</v>
      </c>
      <c r="S208" s="201">
        <f t="shared" si="35"/>
        <v>0</v>
      </c>
      <c r="T208" s="201">
        <f t="shared" si="35"/>
        <v>0</v>
      </c>
      <c r="U208" s="201">
        <f t="shared" si="35"/>
        <v>0</v>
      </c>
      <c r="V208" s="201">
        <f t="shared" si="35"/>
        <v>0</v>
      </c>
      <c r="W208" s="201">
        <f t="shared" si="35"/>
        <v>0</v>
      </c>
      <c r="X208" s="201">
        <f t="shared" si="35"/>
        <v>0</v>
      </c>
      <c r="Y208" s="201">
        <f t="shared" si="35"/>
        <v>0</v>
      </c>
      <c r="Z208" s="201">
        <f t="shared" si="35"/>
        <v>0</v>
      </c>
      <c r="AA208" s="201">
        <f t="shared" si="35"/>
        <v>0</v>
      </c>
      <c r="AB208" s="201">
        <f t="shared" si="35"/>
        <v>0</v>
      </c>
      <c r="AC208" s="295" t="str">
        <f>CONCATENATE(IF(D221&gt;D208," * VL suppressed Routine"&amp;$D$19&amp;" "&amp;$D$20&amp;" is more than VL Done Routine"&amp;CHAR(10),""),IF(E221&gt;E208," * VL suppressed Routine "&amp;$D$19&amp;" "&amp;$E$20&amp;" is more than VL Done Routine"&amp;CHAR(10),""),IF(F221&gt;F208," * VL suppressed Routine "&amp;$F$19&amp;" "&amp;$F$20&amp;" is more than VL Done Routine"&amp;CHAR(10),""),IF(G221&gt;G208," * VL suppressed Routine "&amp;$F$19&amp;" "&amp;$G$20&amp;" is more than VL Done Routine"&amp;CHAR(10),""),IF(H221&gt;H208," * VL suppressed Routine "&amp;$H$19&amp;" "&amp;$H$20&amp;" is more than VL Done Routine"&amp;CHAR(10),""),IF(I221&gt;I208," * VL suppressed Routine "&amp;$H$19&amp;" "&amp;$I$20&amp;" is more than VL Done Routine"&amp;CHAR(10),""),IF(J221&gt;J208," * VL suppressed Routine "&amp;$J$19&amp;" "&amp;$J$20&amp;" is more than VL Done Routine"&amp;CHAR(10),""),IF(K221&gt;K208," * VL suppressed Routine "&amp;$J$19&amp;" "&amp;$K$20&amp;" is more than VL Done Routine"&amp;CHAR(10),""),IF(L221&gt;L208," * VL suppressed Routine "&amp;$L$19&amp;" "&amp;$L$20&amp;" is more than VL Done Routine"&amp;CHAR(10),""),IF(M221&gt;M208," * VL suppressed Routine "&amp;$L$19&amp;" "&amp;$M$20&amp;" is more than VL Done Routine"&amp;CHAR(10),""),IF(N221&gt;N208," * VL suppressed Routine "&amp;$N$19&amp;" "&amp;$N$20&amp;" is more than VL Done Routine"&amp;CHAR(10),""),IF(O221&gt;O208," * VL suppressed Routine "&amp;$N$19&amp;" "&amp;$O$20&amp;" is more than VL Done Routine"&amp;CHAR(10),""),IF(P221&gt;P208," * VL suppressed Routine "&amp;$P$19&amp;" "&amp;$P$20&amp;" is more than VL Done Routine"&amp;CHAR(10),""),IF(Q221&gt;Q208," * VL suppressed Routine "&amp;$P$19&amp;" "&amp;$Q$20&amp;" is more than VL Done Routine"&amp;CHAR(10),""),IF(R221&gt;R208," * VL suppressed Routine "&amp;$R$19&amp;" "&amp;$R$20&amp;" is more than VL Done Routine"&amp;CHAR(10),""),IF(S221&gt;S208," * VL suppressed Routine "&amp;$R$19&amp;" "&amp;$S$20&amp;" is more than VL Done Routine"&amp;CHAR(10),""),IF(T221&gt;T208," * VL suppressed Routine "&amp;$T$19&amp;" "&amp;$T$20&amp;" is more than VL Done Routine"&amp;CHAR(10),""),IF(U221&gt;U208," * VL suppressed Routine "&amp;$T$19&amp;" "&amp;$U$20&amp;" is more than VL Done Routine"&amp;CHAR(10),""),IF(V221&gt;V208," * VL suppressed Routine "&amp;$V$19&amp;" "&amp;$V$20&amp;" is more than VL Done Routine"&amp;CHAR(10),""),IF(W221&gt;W208," * VL suppressed Routine "&amp;$V$19&amp;" "&amp;$W$20&amp;" is more than VL Done Routine"&amp;CHAR(10),""),IF(X221&gt;X208," * VL suppressed Routine "&amp;$X$19&amp;" "&amp;$X$20&amp;" is more than VL Done Routine"&amp;CHAR(10),""),IF(Y221&gt;Y208," * VL suppressed Routine "&amp;$X$19&amp;" "&amp;$Y$20&amp;" is more than VL Done Routine"&amp;CHAR(10),""),IF(Z221&gt;Z208," * VL suppressed Routine "&amp;$Z$19&amp;" "&amp;$Z$20&amp;" is more than VL Done Routine"&amp;CHAR(10),""),IF(AA221&gt;AA208," * VL suppressed Routine "&amp;$Z$19&amp;" "&amp;$AA$20&amp;" is more than VL Done Routine"&amp;CHAR(10),""),IF(AB221&gt;AB208," * VL suppressed Routine "&amp;$AB$19&amp;" "&amp;$AB$20&amp;" is more than VL Done Routine"&amp;CHAR(10),""))</f>
        <v/>
      </c>
      <c r="AD208" s="674" t="str">
        <f>CONCATENATE(AC208,AC209,AC210,AC211,AC212,AC213,AC214,AC215,AC216,AC217,AC218,AC219,AC220,AC221,AC222,AC223,AC224,AC225,AC226,AC227,AC228,AC229,AC230,AC231,AC232,AC194,AC195,AC196,AC197,AC198)</f>
        <v/>
      </c>
      <c r="AE208" s="203" t="str">
        <f>IF((AB207-AB220)&gt;1," * "&amp;(((AB207-AB220)/AB207)*100)&amp;"% of Patients  are not virally suppressed . Please provide an explanation"&amp;CHAR(10),"")</f>
        <v/>
      </c>
      <c r="AF208" s="674" t="str">
        <f>CONCATENATE(AE208,AE209,AE210,AE211,AE212,AE213,AE214,AE215,AE216,AE217,AE218,AE219,AE220,AE221,AE222,AE223,AE224,AE225,AE226,AE227,AE228,AE229,AE230,AE231,AE232)</f>
        <v/>
      </c>
      <c r="AG208" s="158">
        <v>155</v>
      </c>
      <c r="AH208" s="6"/>
      <c r="AI208" s="6"/>
      <c r="AJ208" s="6"/>
      <c r="AK208" s="6"/>
      <c r="AL208" s="6"/>
      <c r="AM208" s="6"/>
      <c r="AN208" s="6"/>
      <c r="AO208" s="6"/>
      <c r="AP208" s="6"/>
      <c r="AQ208" s="6"/>
      <c r="AR208" s="6"/>
      <c r="AS208" s="6"/>
      <c r="AT208" s="6"/>
      <c r="AU208" s="6"/>
    </row>
    <row r="209" spans="1:47" s="4" customFormat="1" ht="53.25" customHeight="1" thickBot="1">
      <c r="A209" s="540" t="s">
        <v>78</v>
      </c>
      <c r="B209" s="204" t="s">
        <v>204</v>
      </c>
      <c r="C209" s="547" t="s">
        <v>329</v>
      </c>
      <c r="D209" s="182"/>
      <c r="E209" s="183"/>
      <c r="F209" s="182"/>
      <c r="G209" s="183"/>
      <c r="H209" s="182"/>
      <c r="I209" s="183"/>
      <c r="J209" s="182"/>
      <c r="K209" s="183"/>
      <c r="L209" s="183"/>
      <c r="M209" s="196"/>
      <c r="N209" s="183"/>
      <c r="O209" s="196"/>
      <c r="P209" s="183"/>
      <c r="Q209" s="196"/>
      <c r="R209" s="183"/>
      <c r="S209" s="196"/>
      <c r="T209" s="183"/>
      <c r="U209" s="196"/>
      <c r="V209" s="183"/>
      <c r="W209" s="196"/>
      <c r="X209" s="183"/>
      <c r="Y209" s="196"/>
      <c r="Z209" s="183"/>
      <c r="AA209" s="196"/>
      <c r="AB209" s="205">
        <f>SUM(D209:AA209)</f>
        <v>0</v>
      </c>
      <c r="AC209" s="295" t="str">
        <f>CONCATENATE(IF(D222&gt;D209," * VL suppressed Routine FSW "&amp;$D$19&amp;" "&amp;$D$20&amp;" is more than VL Done Routine"&amp;CHAR(10),""),IF(E222&gt;E209," * VL suppressed Routine FSW "&amp;$D$19&amp;" "&amp;$E$20&amp;" is more than VL Done Routine"&amp;CHAR(10),""),IF(F222&gt;F209," * VL suppressed Routine FSW "&amp;$F$19&amp;" "&amp;$F$20&amp;" is more than VL Done Routine"&amp;CHAR(10),""),IF(G222&gt;G209," * VL suppressed Routine FSW "&amp;$F$19&amp;" "&amp;$G$20&amp;" is more than VL Done Routine"&amp;CHAR(10),""),IF(H222&gt;H209," * VL suppressed Routine FSW "&amp;$H$19&amp;" "&amp;$H$20&amp;" is more than VL Done Routine"&amp;CHAR(10),""),IF(I222&gt;I209," * VL suppressed Routine FSW "&amp;$H$19&amp;" "&amp;$I$20&amp;" is more than VL Done Routine"&amp;CHAR(10),""),IF(J222&gt;J209," * VL suppressed Routine FSW "&amp;$J$19&amp;" "&amp;$J$20&amp;" is more than VL Done Routine"&amp;CHAR(10),""),IF(K222&gt;K209," * VL suppressed Routine FSW "&amp;$J$19&amp;" "&amp;$K$20&amp;" is more than VL Done Routine"&amp;CHAR(10),""),IF(L222&gt;L209," * VL suppressed Routine FSW "&amp;$L$19&amp;" "&amp;$L$20&amp;" is more than VL Done Routine"&amp;CHAR(10),""),IF(M222&gt;M209," * VL suppressed Routine FSW "&amp;$L$19&amp;" "&amp;$M$20&amp;" is more than VL Done Routine"&amp;CHAR(10),""),IF(N222&gt;N209," * VL suppressed Routine FSW "&amp;$N$19&amp;" "&amp;$N$20&amp;" is more than VL Done Routine"&amp;CHAR(10),""),IF(O222&gt;O209," * VL suppressed Routine FSW "&amp;$N$19&amp;" "&amp;$O$20&amp;" is more than VL Done Routine"&amp;CHAR(10),""),IF(P222&gt;P209," * VL suppressed Routine FSW "&amp;$P$19&amp;" "&amp;$P$20&amp;" is more than VL Done Routine"&amp;CHAR(10),""),IF(Q222&gt;Q209," * VL suppressed Routine FSW "&amp;$P$19&amp;" "&amp;$Q$20&amp;" is more than VL Done Routine"&amp;CHAR(10),""),IF(R222&gt;R209," * VL suppressed Routine FSW "&amp;$R$19&amp;" "&amp;$R$20&amp;" is more than VL Done Routine"&amp;CHAR(10),""),IF(S222&gt;S209," * VL suppressed Routine FSW "&amp;$R$19&amp;" "&amp;$S$20&amp;" is more than VL Done Routine"&amp;CHAR(10),""),IF(T222&gt;T209," * VL suppressed Routine FSW "&amp;$T$19&amp;" "&amp;$T$20&amp;" is more than VL Done Routine"&amp;CHAR(10),""),IF(U222&gt;U209," * VL suppressed Routine FSW "&amp;$T$19&amp;" "&amp;$U$20&amp;" is more than VL Done Routine"&amp;CHAR(10),""),IF(V222&gt;V209," * VL suppressed Routine FSW "&amp;$V$19&amp;" "&amp;$V$20&amp;" is more than VL Done Routine"&amp;CHAR(10),""),IF(W222&gt;W209," * VL suppressed Routine FSW "&amp;$V$19&amp;" "&amp;$W$20&amp;" is more than VL Done Routine"&amp;CHAR(10),""),IF(X222&gt;X209," * VL suppressed Routine FSW "&amp;$X$19&amp;" "&amp;$X$20&amp;" is more than VL Done Routine"&amp;CHAR(10),""),IF(Y222&gt;Y209," * VL suppressed Routine FSW "&amp;$X$19&amp;" "&amp;$Y$20&amp;" is more than VL Done Routine"&amp;CHAR(10),""),IF(Z222&gt;Z209," * VL suppressed Routine FSW "&amp;$Z$19&amp;" "&amp;$Z$20&amp;" is more than VL Done Routine"&amp;CHAR(10),""),IF(AA222&gt;AA209," * VL suppressed Routine FSW "&amp;$Z$19&amp;" "&amp;$AA$20&amp;" is more than VL Done Routine"&amp;CHAR(10),""),IF(AB222&gt;AB209," * VL suppressed Routine FSW "&amp;$AB$19&amp;" "&amp;$AB$20&amp;" is more than VL Done Routine"&amp;CHAR(10),""))</f>
        <v/>
      </c>
      <c r="AD209" s="675"/>
      <c r="AE209" s="171"/>
      <c r="AF209" s="675"/>
      <c r="AG209" s="158">
        <v>156</v>
      </c>
    </row>
    <row r="210" spans="1:47" s="4" customFormat="1" ht="53.25" customHeight="1">
      <c r="A210" s="376" t="s">
        <v>76</v>
      </c>
      <c r="B210" s="207" t="s">
        <v>205</v>
      </c>
      <c r="C210" s="547" t="s">
        <v>330</v>
      </c>
      <c r="D210" s="162"/>
      <c r="E210" s="163"/>
      <c r="F210" s="162"/>
      <c r="G210" s="163"/>
      <c r="H210" s="162"/>
      <c r="I210" s="163"/>
      <c r="J210" s="162"/>
      <c r="K210" s="163"/>
      <c r="L210" s="197"/>
      <c r="M210" s="183"/>
      <c r="N210" s="197"/>
      <c r="O210" s="183"/>
      <c r="P210" s="197"/>
      <c r="Q210" s="183"/>
      <c r="R210" s="197"/>
      <c r="S210" s="183"/>
      <c r="T210" s="197"/>
      <c r="U210" s="183"/>
      <c r="V210" s="197"/>
      <c r="W210" s="183"/>
      <c r="X210" s="197"/>
      <c r="Y210" s="183"/>
      <c r="Z210" s="197"/>
      <c r="AA210" s="183"/>
      <c r="AB210" s="208">
        <f>SUM(D210:AA210)</f>
        <v>0</v>
      </c>
      <c r="AC210" s="295" t="str">
        <f>CONCATENATE(IF(D223&gt;D210," * VL suppressed Routine MSM "&amp;$D$19&amp;" "&amp;$D$20&amp;" is more than VL Done Routine"&amp;CHAR(10),""),IF(E223&gt;E210," * VL suppressed Routine MSM "&amp;$D$19&amp;" "&amp;$E$20&amp;" is more than VL Done Routine"&amp;CHAR(10),""),IF(F223&gt;F210," * VL suppressed Routine MSM "&amp;$F$19&amp;" "&amp;$F$20&amp;" is more than VL Done Routine"&amp;CHAR(10),""),IF(G223&gt;G210," * VL suppressed Routine MSM "&amp;$F$19&amp;" "&amp;$G$20&amp;" is more than VL Done Routine"&amp;CHAR(10),""),IF(H223&gt;H210," * VL suppressed Routine MSM "&amp;$H$19&amp;" "&amp;$H$20&amp;" is more than VL Done Routine"&amp;CHAR(10),""),IF(I223&gt;I210," * VL suppressed Routine MSM "&amp;$H$19&amp;" "&amp;$I$20&amp;" is more than VL Done Routine"&amp;CHAR(10),""),IF(J223&gt;J210," * VL suppressed Routine MSM "&amp;$J$19&amp;" "&amp;$J$20&amp;" is more than VL Done Routine"&amp;CHAR(10),""),IF(K223&gt;K210," * VL suppressed Routine MSM "&amp;$J$19&amp;" "&amp;$K$20&amp;" is more than VL Done Routine"&amp;CHAR(10),""),IF(L223&gt;L210," * VL suppressed Routine MSM "&amp;$L$19&amp;" "&amp;$L$20&amp;" is more than VL Done Routine"&amp;CHAR(10),""),IF(M223&gt;M210," * VL suppressed Routine MSM "&amp;$L$19&amp;" "&amp;$M$20&amp;" is more than VL Done Routine"&amp;CHAR(10),""),IF(N223&gt;N210," * VL suppressed Routine MSM "&amp;$N$19&amp;" "&amp;$N$20&amp;" is more than VL Done Routine"&amp;CHAR(10),""),IF(O223&gt;O210," * VL suppressed Routine MSM "&amp;$N$19&amp;" "&amp;$O$20&amp;" is more than VL Done Routine"&amp;CHAR(10),""),IF(P223&gt;P210," * VL suppressed Routine MSM "&amp;$P$19&amp;" "&amp;$P$20&amp;" is more than VL Done Routine"&amp;CHAR(10),""),IF(Q223&gt;Q210," * VL suppressed Routine MSM "&amp;$P$19&amp;" "&amp;$Q$20&amp;" is more than VL Done Routine"&amp;CHAR(10),""),IF(R223&gt;R210," * VL suppressed Routine MSM "&amp;$R$19&amp;" "&amp;$R$20&amp;" is more than VL Done Routine"&amp;CHAR(10),""),IF(S223&gt;S210," * VL suppressed Routine MSM "&amp;$R$19&amp;" "&amp;$S$20&amp;" is more than VL Done Routine"&amp;CHAR(10),""),IF(T223&gt;T210," * VL suppressed Routine MSM "&amp;$T$19&amp;" "&amp;$T$20&amp;" is more than VL Done Routine"&amp;CHAR(10),""),IF(U223&gt;U210," * VL suppressed Routine MSM "&amp;$T$19&amp;" "&amp;$U$20&amp;" is more than VL Done Routine"&amp;CHAR(10),""),IF(V223&gt;V210," * VL suppressed Routine MSM "&amp;$V$19&amp;" "&amp;$V$20&amp;" is more than VL Done Routine"&amp;CHAR(10),""),IF(W223&gt;W210," * VL suppressed Routine MSM "&amp;$V$19&amp;" "&amp;$W$20&amp;" is more than VL Done Routine"&amp;CHAR(10),""),IF(X223&gt;X210," * VL suppressed Routine MSM "&amp;$X$19&amp;" "&amp;$X$20&amp;" is more than VL Done Routine"&amp;CHAR(10),""),IF(Y223&gt;Y210," * VL suppressed Routine MSM "&amp;$X$19&amp;" "&amp;$Y$20&amp;" is more than VL Done Routine"&amp;CHAR(10),""),IF(Z223&gt;Z210," * VL suppressed Routine MSM "&amp;$Z$19&amp;" "&amp;$Z$20&amp;" is more than VL Done Routine"&amp;CHAR(10),""),IF(AA223&gt;AA210," * VL suppressed Routine MSM "&amp;$Z$19&amp;" "&amp;$AA$20&amp;" is more than VL Done Routine"&amp;CHAR(10),""),IF(AB223&gt;AB210," * VL suppressed Routine MSM "&amp;$AB$19&amp;" "&amp;$AB$20&amp;" is more than VL Done Routine"&amp;CHAR(10),""))</f>
        <v/>
      </c>
      <c r="AD210" s="675"/>
      <c r="AE210" s="171"/>
      <c r="AF210" s="675"/>
      <c r="AG210" s="158">
        <v>157</v>
      </c>
    </row>
    <row r="211" spans="1:47" s="6" customFormat="1" ht="53.25" customHeight="1">
      <c r="A211" s="376" t="s">
        <v>166</v>
      </c>
      <c r="B211" s="207" t="s">
        <v>206</v>
      </c>
      <c r="C211" s="547" t="s">
        <v>331</v>
      </c>
      <c r="D211" s="162"/>
      <c r="E211" s="163"/>
      <c r="F211" s="162"/>
      <c r="G211" s="163"/>
      <c r="H211" s="162"/>
      <c r="I211" s="163"/>
      <c r="J211" s="162"/>
      <c r="K211" s="163"/>
      <c r="L211" s="197"/>
      <c r="M211" s="197"/>
      <c r="N211" s="197"/>
      <c r="O211" s="197"/>
      <c r="P211" s="197"/>
      <c r="Q211" s="197"/>
      <c r="R211" s="197"/>
      <c r="S211" s="197"/>
      <c r="T211" s="197"/>
      <c r="U211" s="197"/>
      <c r="V211" s="197"/>
      <c r="W211" s="197"/>
      <c r="X211" s="197"/>
      <c r="Y211" s="197"/>
      <c r="Z211" s="197"/>
      <c r="AA211" s="197"/>
      <c r="AB211" s="208">
        <f>SUM(D211:AA211)</f>
        <v>0</v>
      </c>
      <c r="AC211" s="295" t="str">
        <f>CONCATENATE(IF(D224&gt;D211," * VL suppressed Routine People In Prison "&amp;$D$19&amp;" "&amp;$D$20&amp;" is more than VL Done Routine People In Prison Routine"&amp;CHAR(10),""),IF(E224&gt;E211," * VL suppressed Routine People In Prison "&amp;$D$19&amp;" "&amp;$E$20&amp;" is more than VL Done Routine People In Prison Routine"&amp;CHAR(10),""),IF(F224&gt;F211," * VL suppressed Routine People In Prison "&amp;$F$19&amp;" "&amp;$F$20&amp;" is more than VL Done Routine People In Prison Routine"&amp;CHAR(10),""),IF(G224&gt;G211," * VL suppressed Routine People In Prison "&amp;$F$19&amp;" "&amp;$G$20&amp;" is more than VL Done Routine People In Prison Routine"&amp;CHAR(10),""),IF(H224&gt;H211," * VL suppressed Routine People In Prison "&amp;$H$19&amp;" "&amp;$H$20&amp;" is more than VL Done Routine People In Prison Routine"&amp;CHAR(10),""),IF(I224&gt;I211," * VL suppressed Routine People In Prison "&amp;$H$19&amp;" "&amp;$I$20&amp;" is more than VL Done Routine People In Prison Routine"&amp;CHAR(10),""),IF(J224&gt;J211," * VL suppressed Routine People In Prison "&amp;$J$19&amp;" "&amp;$J$20&amp;" is more than VL Done Routine People In Prison Routine"&amp;CHAR(10),""),IF(K224&gt;K211," * VL suppressed Routine People In Prison "&amp;$J$19&amp;" "&amp;$K$20&amp;" is more than VL Done Routine People In Prison Routine"&amp;CHAR(10),""),IF(L224&gt;L211," * VL suppressed Routine People In Prison "&amp;$L$19&amp;" "&amp;$L$20&amp;" is more than VL Done Routine People In Prison Routine"&amp;CHAR(10),""),IF(M224&gt;M211," * VL suppressed Routine People In Prison "&amp;$L$19&amp;" "&amp;$M$20&amp;" is more than VL Done Routine People In Prison Routine"&amp;CHAR(10),""),IF(N224&gt;N211," * VL suppressed Routine People In Prison "&amp;$N$19&amp;" "&amp;$N$20&amp;" is more than VL Done Routine People In Prison Routine"&amp;CHAR(10),""),IF(O224&gt;O211," * VL suppressed Routine People In Prison "&amp;$N$19&amp;" "&amp;$O$20&amp;" is more than VL Done Routine People In Prison Routine"&amp;CHAR(10),""),IF(P224&gt;P211," * VL suppressed Routine People In Prison "&amp;$P$19&amp;" "&amp;$P$20&amp;" is more than VL Done Routine People In Prison Routine"&amp;CHAR(10),""),IF(Q224&gt;Q211," * VL suppressed Routine People In Prison "&amp;$P$19&amp;" "&amp;$Q$20&amp;" is more than VL Done Routine People In Prison Routine"&amp;CHAR(10),""),IF(R224&gt;R211," * VL suppressed Routine People In Prison "&amp;$R$19&amp;" "&amp;$R$20&amp;" is more than VL Done Routine People In Prison Routine"&amp;CHAR(10),""),IF(S224&gt;S211," * VL suppressed Routine People In Prison "&amp;$R$19&amp;" "&amp;$S$20&amp;" is more than VL Done Routine People In Prison Routine"&amp;CHAR(10),""),IF(T224&gt;T211," * VL suppressed Routine People In Prison "&amp;$T$19&amp;" "&amp;$T$20&amp;" is more than VL Done Routine People In Prison Routine"&amp;CHAR(10),""),IF(U224&gt;U211," * VL suppressed Routine People In Prison "&amp;$T$19&amp;" "&amp;$U$20&amp;" is more than VL Done Routine People In Prison Routine"&amp;CHAR(10),""),IF(V224&gt;V211," * VL suppressed Routine People In Prison "&amp;$V$19&amp;" "&amp;$V$20&amp;" is more than VL Done Routine People In Prison Routine"&amp;CHAR(10),""),IF(W224&gt;W211," * VL suppressed Routine People In Prison "&amp;$V$19&amp;" "&amp;$W$20&amp;" is more than VL Done Routine People In Prison Routine"&amp;CHAR(10),""),IF(X224&gt;X211," * VL suppressed Routine People In Prison "&amp;$X$19&amp;" "&amp;$X$20&amp;" is more than VL Done Routine People In Prison Routine"&amp;CHAR(10),""),IF(Y224&gt;Y211," * VL suppressed Routine People In Prison "&amp;$X$19&amp;" "&amp;$Y$20&amp;" is more than VL Done Routine People In Prison Routine"&amp;CHAR(10),""),IF(Z224&gt;Z211," * VL suppressed Routine People In Prison "&amp;$Z$19&amp;" "&amp;$Z$20&amp;" is more than VL Done Routine People In Prison Routine"&amp;CHAR(10),""),IF(AA224&gt;AA211," * VL suppressed Routine People In Prison "&amp;$Z$19&amp;" "&amp;$AA$20&amp;" is more than VL Done Routine People In Prison Routine"&amp;CHAR(10),""),IF(AB224&gt;AB211," * VL suppressed Routine People In Prison "&amp;$AB$19&amp;" "&amp;$AB$20&amp;" is more than VL Done Routine People In Prison Routine"&amp;CHAR(10),""))</f>
        <v/>
      </c>
      <c r="AD211" s="675"/>
      <c r="AE211" s="171"/>
      <c r="AF211" s="675"/>
      <c r="AG211" s="158">
        <v>159</v>
      </c>
      <c r="AH211" s="4"/>
      <c r="AI211" s="4"/>
      <c r="AJ211" s="4"/>
      <c r="AK211" s="4"/>
      <c r="AL211" s="4"/>
      <c r="AM211" s="4"/>
      <c r="AN211" s="4"/>
      <c r="AO211" s="4"/>
      <c r="AP211" s="4"/>
      <c r="AQ211" s="4"/>
      <c r="AR211" s="4"/>
      <c r="AS211" s="4"/>
      <c r="AT211" s="4"/>
      <c r="AU211" s="4"/>
    </row>
    <row r="212" spans="1:47" s="4" customFormat="1" ht="53.25" customHeight="1" thickBot="1">
      <c r="A212" s="376" t="s">
        <v>75</v>
      </c>
      <c r="B212" s="207" t="s">
        <v>207</v>
      </c>
      <c r="C212" s="547" t="s">
        <v>332</v>
      </c>
      <c r="D212" s="162"/>
      <c r="E212" s="163"/>
      <c r="F212" s="162"/>
      <c r="G212" s="163"/>
      <c r="H212" s="162"/>
      <c r="I212" s="163"/>
      <c r="J212" s="162"/>
      <c r="K212" s="163"/>
      <c r="L212" s="197"/>
      <c r="M212" s="197"/>
      <c r="N212" s="197"/>
      <c r="O212" s="197"/>
      <c r="P212" s="197"/>
      <c r="Q212" s="197"/>
      <c r="R212" s="197"/>
      <c r="S212" s="197"/>
      <c r="T212" s="197"/>
      <c r="U212" s="197"/>
      <c r="V212" s="197"/>
      <c r="W212" s="197"/>
      <c r="X212" s="197"/>
      <c r="Y212" s="197"/>
      <c r="Z212" s="197"/>
      <c r="AA212" s="197"/>
      <c r="AB212" s="210">
        <f>SUM(D212:AA212)</f>
        <v>0</v>
      </c>
      <c r="AC212" s="295" t="str">
        <f>CONCATENATE(IF(D225&gt;D212," * VL suppressed Routine PWID "&amp;$D$19&amp;" "&amp;$D$20&amp;" is more than VL Done Routine PWID Routine"&amp;CHAR(10),""),IF(E225&gt;E212," * VL suppressed Routine PWID "&amp;$D$19&amp;" "&amp;$E$20&amp;" is more than VL Done Routine PWID Routine"&amp;CHAR(10),""),IF(F225&gt;F212," * VL suppressed Routine PWID "&amp;$F$19&amp;" "&amp;$F$20&amp;" is more than VL Done Routine PWID Routine"&amp;CHAR(10),""),IF(G225&gt;G212," * VL suppressed Routine PWID "&amp;$F$19&amp;" "&amp;$G$20&amp;" is more than VL Done Routine PWID Routine"&amp;CHAR(10),""),IF(H225&gt;H212," * VL suppressed Routine PWID "&amp;$H$19&amp;" "&amp;$H$20&amp;" is more than VL Done Routine PWID Routine"&amp;CHAR(10),""),IF(I225&gt;I212," * VL suppressed Routine PWID "&amp;$H$19&amp;" "&amp;$I$20&amp;" is more than VL Done Routine PWID Routine"&amp;CHAR(10),""),IF(J225&gt;J212," * VL suppressed Routine PWID "&amp;$J$19&amp;" "&amp;$J$20&amp;" is more than VL Done Routine PWID Routine"&amp;CHAR(10),""),IF(K225&gt;K212," * VL suppressed Routine PWID "&amp;$J$19&amp;" "&amp;$K$20&amp;" is more than VL Done Routine PWID Routine"&amp;CHAR(10),""),IF(L225&gt;L212," * VL suppressed Routine PWID "&amp;$L$19&amp;" "&amp;$L$20&amp;" is more than VL Done Routine PWID Routine"&amp;CHAR(10),""),IF(M225&gt;M212," * VL suppressed Routine PWID "&amp;$L$19&amp;" "&amp;$M$20&amp;" is more than VL Done Routine PWID Routine"&amp;CHAR(10),""),IF(N225&gt;N212," * VL suppressed Routine PWID "&amp;$N$19&amp;" "&amp;$N$20&amp;" is more than VL Done Routine PWID Routine"&amp;CHAR(10),""),IF(O225&gt;O212," * VL suppressed Routine PWID "&amp;$N$19&amp;" "&amp;$O$20&amp;" is more than VL Done Routine PWID Routine"&amp;CHAR(10),""),IF(P225&gt;P212," * VL suppressed Routine PWID "&amp;$P$19&amp;" "&amp;$P$20&amp;" is more than VL Done Routine PWID Routine"&amp;CHAR(10),""),IF(Q225&gt;Q212," * VL suppressed Routine PWID "&amp;$P$19&amp;" "&amp;$Q$20&amp;" is more than VL Done Routine PWID Routine"&amp;CHAR(10),""),IF(R225&gt;R212," * VL suppressed Routine PWID "&amp;$R$19&amp;" "&amp;$R$20&amp;" is more than VL Done Routine PWID Routine"&amp;CHAR(10),""),IF(S225&gt;S212," * VL suppressed Routine PWID "&amp;$R$19&amp;" "&amp;$S$20&amp;" is more than VL Done Routine PWID Routine"&amp;CHAR(10),""),IF(T225&gt;T212," * VL suppressed Routine PWID "&amp;$T$19&amp;" "&amp;$T$20&amp;" is more than VL Done Routine PWID Routine"&amp;CHAR(10),""),IF(U225&gt;U212," * VL suppressed Routine PWID "&amp;$T$19&amp;" "&amp;$U$20&amp;" is more than VL Done Routine PWID Routine"&amp;CHAR(10),""),IF(V225&gt;V212," * VL suppressed Routine PWID "&amp;$V$19&amp;" "&amp;$V$20&amp;" is more than VL Done Routine PWID Routine"&amp;CHAR(10),""),IF(W225&gt;W212," * VL suppressed Routine PWID "&amp;$V$19&amp;" "&amp;$W$20&amp;" is more than VL Done Routine PWID Routine"&amp;CHAR(10),""),IF(X225&gt;X212," * VL suppressed Routine PWID "&amp;$X$19&amp;" "&amp;$X$20&amp;" is more than VL Done Routine PWID Routine"&amp;CHAR(10),""),IF(Y225&gt;Y212," * VL suppressed Routine PWID "&amp;$X$19&amp;" "&amp;$Y$20&amp;" is more than VL Done Routine PWID Routine"&amp;CHAR(10),""),IF(Z225&gt;Z212," * VL suppressed Routine PWID "&amp;$Z$19&amp;" "&amp;$Z$20&amp;" is more than VL Done Routine PWID Routine"&amp;CHAR(10),""),IF(AA225&gt;AA212," * VL suppressed Routine PWID "&amp;$Z$19&amp;" "&amp;$AA$20&amp;" is more than VL Done Routine PWID Routine"&amp;CHAR(10),""),IF(AB225&gt;AB212," * VL suppressed Routine PWID "&amp;$AB$19&amp;" "&amp;$AB$20&amp;" is more than VL Done Routine PWID Routine"&amp;CHAR(10),""))</f>
        <v/>
      </c>
      <c r="AD212" s="675"/>
      <c r="AE212" s="171"/>
      <c r="AF212" s="675"/>
      <c r="AG212" s="158">
        <v>160</v>
      </c>
    </row>
    <row r="213" spans="1:47" s="4" customFormat="1" ht="53.25" customHeight="1" thickBot="1">
      <c r="A213" s="377" t="s">
        <v>421</v>
      </c>
      <c r="B213" s="212" t="s">
        <v>208</v>
      </c>
      <c r="C213" s="547" t="s">
        <v>333</v>
      </c>
      <c r="D213" s="177"/>
      <c r="E213" s="178"/>
      <c r="F213" s="177"/>
      <c r="G213" s="178"/>
      <c r="H213" s="177"/>
      <c r="I213" s="178"/>
      <c r="J213" s="177"/>
      <c r="K213" s="178"/>
      <c r="L213" s="178"/>
      <c r="M213" s="178"/>
      <c r="N213" s="178"/>
      <c r="O213" s="178"/>
      <c r="P213" s="178"/>
      <c r="Q213" s="178"/>
      <c r="R213" s="178"/>
      <c r="S213" s="178"/>
      <c r="T213" s="178"/>
      <c r="U213" s="178"/>
      <c r="V213" s="178"/>
      <c r="W213" s="178"/>
      <c r="X213" s="178"/>
      <c r="Y213" s="178"/>
      <c r="Z213" s="178"/>
      <c r="AA213" s="213"/>
      <c r="AB213" s="214"/>
      <c r="AC213" s="295" t="str">
        <f>CONCATENATE(IF(D226&gt;D213," * VL suppressed Routine TG "&amp;$D$19&amp;" "&amp;$D$20&amp;" is more than VL Done Routine TG Routine"&amp;CHAR(10),""),IF(E226&gt;E213," * VL suppressed Routine TG "&amp;$D$19&amp;" "&amp;$E$20&amp;" is more than VL Done Routine TG Routine"&amp;CHAR(10),""),IF(F226&gt;F213," * VL suppressed Routine TG "&amp;$F$19&amp;" "&amp;$F$20&amp;" is more than VL Done Routine TG Routine"&amp;CHAR(10),""),IF(G226&gt;G213," * VL suppressed Routine TG "&amp;$F$19&amp;" "&amp;$G$20&amp;" is more than VL Done Routine TG Routine"&amp;CHAR(10),""),IF(H226&gt;H213," * VL suppressed Routine TG "&amp;$H$19&amp;" "&amp;$H$20&amp;" is more than VL Done Routine TG Routine"&amp;CHAR(10),""),IF(I226&gt;I213," * VL suppressed Routine TG "&amp;$H$19&amp;" "&amp;$I$20&amp;" is more than VL Done Routine TG Routine"&amp;CHAR(10),""),IF(J226&gt;J213," * VL suppressed Routine TG "&amp;$J$19&amp;" "&amp;$J$20&amp;" is more than VL Done Routine TG Routine"&amp;CHAR(10),""),IF(K226&gt;K213," * VL suppressed Routine TG "&amp;$J$19&amp;" "&amp;$K$20&amp;" is more than VL Done Routine TG Routine"&amp;CHAR(10),""),IF(L226&gt;L213," * VL suppressed Routine TG "&amp;$L$19&amp;" "&amp;$L$20&amp;" is more than VL Done Routine TG Routine"&amp;CHAR(10),""),IF(M226&gt;M213," * VL suppressed Routine TG "&amp;$L$19&amp;" "&amp;$M$20&amp;" is more than VL Done Routine TG Routine"&amp;CHAR(10),""),IF(N226&gt;N213," * VL suppressed Routine TG "&amp;$N$19&amp;" "&amp;$N$20&amp;" is more than VL Done Routine TG Routine"&amp;CHAR(10),""),IF(O226&gt;O213," * VL suppressed Routine TG "&amp;$N$19&amp;" "&amp;$O$20&amp;" is more than VL Done Routine TG Routine"&amp;CHAR(10),""),IF(P226&gt;P213," * VL suppressed Routine TG "&amp;$P$19&amp;" "&amp;$P$20&amp;" is more than VL Done Routine TG Routine"&amp;CHAR(10),""),IF(Q226&gt;Q213," * VL suppressed Routine TG "&amp;$P$19&amp;" "&amp;$Q$20&amp;" is more than VL Done Routine TG Routine"&amp;CHAR(10),""),IF(R226&gt;R213," * VL suppressed Routine TG "&amp;$R$19&amp;" "&amp;$R$20&amp;" is more than VL Done Routine TG Routine"&amp;CHAR(10),""),IF(S226&gt;S213," * VL suppressed Routine TG "&amp;$R$19&amp;" "&amp;$S$20&amp;" is more than VL Done Routine TG Routine"&amp;CHAR(10),""),IF(T226&gt;T213," * VL suppressed Routine TG "&amp;$T$19&amp;" "&amp;$T$20&amp;" is more than VL Done Routine TG Routine"&amp;CHAR(10),""),IF(U226&gt;U213," * VL suppressed Routine TG "&amp;$T$19&amp;" "&amp;$U$20&amp;" is more than VL Done Routine TG Routine"&amp;CHAR(10),""),IF(V226&gt;V213," * VL suppressed Routine TG "&amp;$V$19&amp;" "&amp;$V$20&amp;" is more than VL Done Routine TG Routine"&amp;CHAR(10),""),IF(W226&gt;W213," * VL suppressed Routine TG "&amp;$V$19&amp;" "&amp;$W$20&amp;" is more than VL Done Routine TG Routine"&amp;CHAR(10),""),IF(X226&gt;X213," * VL suppressed Routine TG "&amp;$X$19&amp;" "&amp;$X$20&amp;" is more than VL Done Routine TG Routine"&amp;CHAR(10),""),IF(Y226&gt;Y213," * VL suppressed Routine TG "&amp;$X$19&amp;" "&amp;$Y$20&amp;" is more than VL Done Routine TG Routine"&amp;CHAR(10),""),IF(Z226&gt;Z213," * VL suppressed Routine TG "&amp;$Z$19&amp;" "&amp;$Z$20&amp;" is more than VL Done Routine TG Routine"&amp;CHAR(10),""),IF(AA226&gt;AA213," * VL suppressed Routine TG "&amp;$Z$19&amp;" "&amp;$AA$20&amp;" is more than VL Done Routine TG Routine"&amp;CHAR(10),""),IF(AB226&gt;AB213," * VL suppressed Routine TG "&amp;$AB$19&amp;" "&amp;$AB$20&amp;" is more than VL Done Routine TG Routine"&amp;CHAR(10),""))</f>
        <v/>
      </c>
      <c r="AD213" s="675"/>
      <c r="AE213" s="171"/>
      <c r="AF213" s="675"/>
      <c r="AG213" s="158">
        <v>161</v>
      </c>
    </row>
    <row r="214" spans="1:47" s="4" customFormat="1" ht="53.25" customHeight="1" thickBot="1">
      <c r="A214" s="375" t="s">
        <v>209</v>
      </c>
      <c r="B214" s="294" t="s">
        <v>209</v>
      </c>
      <c r="C214" s="153" t="s">
        <v>334</v>
      </c>
      <c r="D214" s="200">
        <f t="shared" ref="D214:L214" si="36">SUM(D215:D219)</f>
        <v>0</v>
      </c>
      <c r="E214" s="201">
        <f t="shared" si="36"/>
        <v>0</v>
      </c>
      <c r="F214" s="201">
        <f t="shared" si="36"/>
        <v>0</v>
      </c>
      <c r="G214" s="201">
        <f t="shared" si="36"/>
        <v>0</v>
      </c>
      <c r="H214" s="201">
        <f t="shared" si="36"/>
        <v>0</v>
      </c>
      <c r="I214" s="201">
        <f t="shared" si="36"/>
        <v>0</v>
      </c>
      <c r="J214" s="201">
        <f t="shared" si="36"/>
        <v>0</v>
      </c>
      <c r="K214" s="201">
        <f t="shared" si="36"/>
        <v>0</v>
      </c>
      <c r="L214" s="201">
        <f t="shared" si="36"/>
        <v>0</v>
      </c>
      <c r="M214" s="201">
        <f t="shared" ref="M214:AA214" si="37">SUM(M215:M219)</f>
        <v>0</v>
      </c>
      <c r="N214" s="201">
        <f t="shared" si="37"/>
        <v>0</v>
      </c>
      <c r="O214" s="201">
        <f t="shared" si="37"/>
        <v>0</v>
      </c>
      <c r="P214" s="201">
        <f t="shared" si="37"/>
        <v>0</v>
      </c>
      <c r="Q214" s="201">
        <f t="shared" si="37"/>
        <v>0</v>
      </c>
      <c r="R214" s="201">
        <f t="shared" si="37"/>
        <v>0</v>
      </c>
      <c r="S214" s="201">
        <f t="shared" si="37"/>
        <v>0</v>
      </c>
      <c r="T214" s="201">
        <f t="shared" si="37"/>
        <v>0</v>
      </c>
      <c r="U214" s="201">
        <f t="shared" si="37"/>
        <v>0</v>
      </c>
      <c r="V214" s="201">
        <f t="shared" si="37"/>
        <v>0</v>
      </c>
      <c r="W214" s="201">
        <f t="shared" si="37"/>
        <v>0</v>
      </c>
      <c r="X214" s="201">
        <f t="shared" si="37"/>
        <v>0</v>
      </c>
      <c r="Y214" s="201">
        <f t="shared" si="37"/>
        <v>0</v>
      </c>
      <c r="Z214" s="201">
        <f t="shared" si="37"/>
        <v>0</v>
      </c>
      <c r="AA214" s="201">
        <f t="shared" si="37"/>
        <v>0</v>
      </c>
      <c r="AB214" s="201">
        <f>SUM(AB215:AB219)</f>
        <v>0</v>
      </c>
      <c r="AC214" s="295" t="str">
        <f>CONCATENATE(IF(D227&gt;D214," * VL suppressed Targeted"&amp;$D$19&amp;" "&amp;$D$20&amp;" is more than VL Done Targeted"&amp;CHAR(10),""),IF(E227&gt;E214," * VL suppressed Targeted "&amp;$D$19&amp;" "&amp;$E$20&amp;" is more than VL Done Targeted"&amp;CHAR(10),""),IF(F227&gt;F214," * VL suppressed Targeted "&amp;$F$19&amp;" "&amp;$F$20&amp;" is more than VL Done Targeted"&amp;CHAR(10),""),IF(G227&gt;G214," * VL suppressed Targeted "&amp;$F$19&amp;" "&amp;$G$20&amp;" is more than VL Done Targeted"&amp;CHAR(10),""),IF(H227&gt;H214," * VL suppressed Targeted "&amp;$H$19&amp;" "&amp;$H$20&amp;" is more than VL Done Targeted"&amp;CHAR(10),""),IF(I227&gt;I214," * VL suppressed Targeted "&amp;$H$19&amp;" "&amp;$I$20&amp;" is more than VL Done Targeted"&amp;CHAR(10),""),IF(J227&gt;J214," * VL suppressed Targeted "&amp;$J$19&amp;" "&amp;$J$20&amp;" is more than VL Done Targeted"&amp;CHAR(10),""),IF(K227&gt;K214," * VL suppressed Targeted "&amp;$J$19&amp;" "&amp;$K$20&amp;" is more than VL Done Targeted"&amp;CHAR(10),""),IF(L227&gt;L214," * VL suppressed Targeted "&amp;$L$19&amp;" "&amp;$L$20&amp;" is more than VL Done Targeted"&amp;CHAR(10),""),IF(M227&gt;M214," * VL suppressed Targeted "&amp;$L$19&amp;" "&amp;$M$20&amp;" is more than VL Done Targeted"&amp;CHAR(10),""),IF(N227&gt;N214," * VL suppressed Targeted "&amp;$N$19&amp;" "&amp;$N$20&amp;" is more than VL Done Targeted"&amp;CHAR(10),""),IF(O227&gt;O214," * VL suppressed Targeted "&amp;$N$19&amp;" "&amp;$O$20&amp;" is more than VL Done Targeted"&amp;CHAR(10),""),IF(P227&gt;P214," * VL suppressed Targeted "&amp;$P$19&amp;" "&amp;$P$20&amp;" is more than VL Done Targeted"&amp;CHAR(10),""),IF(Q227&gt;Q214," * VL suppressed Targeted "&amp;$P$19&amp;" "&amp;$Q$20&amp;" is more than VL Done Targeted"&amp;CHAR(10),""),IF(R227&gt;R214," * VL suppressed Targeted "&amp;$R$19&amp;" "&amp;$R$20&amp;" is more than VL Done Targeted"&amp;CHAR(10),""),IF(S227&gt;S214," * VL suppressed Targeted "&amp;$R$19&amp;" "&amp;$S$20&amp;" is more than VL Done Targeted"&amp;CHAR(10),""),IF(T227&gt;T214," * VL suppressed Targeted "&amp;$T$19&amp;" "&amp;$T$20&amp;" is more than VL Done Targeted"&amp;CHAR(10),""),IF(U227&gt;U214," * VL suppressed Targeted "&amp;$T$19&amp;" "&amp;$U$20&amp;" is more than VL Done Targeted"&amp;CHAR(10),""),IF(V227&gt;V214," * VL suppressed Targeted "&amp;$V$19&amp;" "&amp;$V$20&amp;" is more than VL Done Targeted"&amp;CHAR(10),""),IF(W227&gt;W214," * VL suppressed Targeted "&amp;$V$19&amp;" "&amp;$W$20&amp;" is more than VL Done Targeted"&amp;CHAR(10),""),IF(X227&gt;X214," * VL suppressed Targeted "&amp;$X$19&amp;" "&amp;$X$20&amp;" is more than VL Done Targeted"&amp;CHAR(10),""),IF(Y227&gt;Y214," * VL suppressed Targeted "&amp;$X$19&amp;" "&amp;$Y$20&amp;" is more than VL Done Targeted"&amp;CHAR(10),""),IF(Z227&gt;Z214," * VL suppressed Targeted "&amp;$Z$19&amp;" "&amp;$Z$20&amp;" is more than VL Done Targeted"&amp;CHAR(10),""),IF(AA227&gt;AA214," * VL suppressed Targeted "&amp;$Z$19&amp;" "&amp;$AA$20&amp;" is more than VL Done Targeted"&amp;CHAR(10),""),IF(AB227&gt;AB214," * VL suppressed Targeted "&amp;$AB$19&amp;" "&amp;$AB$20&amp;" is more than VL Done Targeted"&amp;CHAR(10),""))</f>
        <v/>
      </c>
      <c r="AD214" s="675"/>
      <c r="AE214" s="203"/>
      <c r="AF214" s="675"/>
      <c r="AG214" s="158">
        <v>155</v>
      </c>
      <c r="AH214" s="6"/>
      <c r="AI214" s="6"/>
      <c r="AJ214" s="6"/>
      <c r="AK214" s="6"/>
      <c r="AL214" s="6"/>
      <c r="AM214" s="6"/>
      <c r="AN214" s="6"/>
      <c r="AO214" s="6"/>
      <c r="AP214" s="6"/>
      <c r="AQ214" s="6"/>
      <c r="AR214" s="6"/>
      <c r="AS214" s="6"/>
      <c r="AT214" s="6"/>
      <c r="AU214" s="6"/>
    </row>
    <row r="215" spans="1:47" s="4" customFormat="1" ht="53.25" customHeight="1" thickBot="1">
      <c r="A215" s="540" t="s">
        <v>78</v>
      </c>
      <c r="B215" s="204" t="s">
        <v>210</v>
      </c>
      <c r="C215" s="547" t="s">
        <v>335</v>
      </c>
      <c r="D215" s="182"/>
      <c r="E215" s="183"/>
      <c r="F215" s="182"/>
      <c r="G215" s="183"/>
      <c r="H215" s="182"/>
      <c r="I215" s="183"/>
      <c r="J215" s="182"/>
      <c r="K215" s="183"/>
      <c r="L215" s="183"/>
      <c r="M215" s="196"/>
      <c r="N215" s="183"/>
      <c r="O215" s="196"/>
      <c r="P215" s="183"/>
      <c r="Q215" s="196"/>
      <c r="R215" s="183"/>
      <c r="S215" s="196"/>
      <c r="T215" s="183"/>
      <c r="U215" s="196"/>
      <c r="V215" s="183"/>
      <c r="W215" s="196"/>
      <c r="X215" s="183"/>
      <c r="Y215" s="196"/>
      <c r="Z215" s="183"/>
      <c r="AA215" s="196"/>
      <c r="AB215" s="205">
        <f>SUM(D215:AA215)</f>
        <v>0</v>
      </c>
      <c r="AC215" s="295" t="str">
        <f>CONCATENATE(IF(D228&gt;D215," * VL suppressed Targeted FSW "&amp;$D$19&amp;" "&amp;$D$20&amp;" is more than VL Done Targeted"&amp;CHAR(10),""),IF(E228&gt;E215," * VL suppressed Targeted FSW "&amp;$D$19&amp;" "&amp;$E$20&amp;" is more than VL Done Targeted"&amp;CHAR(10),""),IF(F228&gt;F215," * VL suppressed Targeted FSW "&amp;$F$19&amp;" "&amp;$F$20&amp;" is more than VL Done Targeted"&amp;CHAR(10),""),IF(G228&gt;G215," * VL suppressed Targeted FSW "&amp;$F$19&amp;" "&amp;$G$20&amp;" is more than VL Done Targeted"&amp;CHAR(10),""),IF(H228&gt;H215," * VL suppressed Targeted FSW "&amp;$H$19&amp;" "&amp;$H$20&amp;" is more than VL Done Targeted"&amp;CHAR(10),""),IF(I228&gt;I215," * VL suppressed Targeted FSW "&amp;$H$19&amp;" "&amp;$I$20&amp;" is more than VL Done Targeted"&amp;CHAR(10),""),IF(J228&gt;J215," * VL suppressed Targeted FSW "&amp;$J$19&amp;" "&amp;$J$20&amp;" is more than VL Done Targeted"&amp;CHAR(10),""),IF(K228&gt;K215," * VL suppressed Targeted FSW "&amp;$J$19&amp;" "&amp;$K$20&amp;" is more than VL Done Targeted"&amp;CHAR(10),""),IF(L228&gt;L215," * VL suppressed Targeted FSW "&amp;$L$19&amp;" "&amp;$L$20&amp;" is more than VL Done Targeted"&amp;CHAR(10),""),IF(M228&gt;M215," * VL suppressed Targeted FSW "&amp;$L$19&amp;" "&amp;$M$20&amp;" is more than VL Done Targeted"&amp;CHAR(10),""),IF(N228&gt;N215," * VL suppressed Targeted FSW "&amp;$N$19&amp;" "&amp;$N$20&amp;" is more than VL Done Targeted"&amp;CHAR(10),""),IF(O228&gt;O215," * VL suppressed Targeted FSW "&amp;$N$19&amp;" "&amp;$O$20&amp;" is more than VL Done Targeted"&amp;CHAR(10),""),IF(P228&gt;P215," * VL suppressed Targeted FSW "&amp;$P$19&amp;" "&amp;$P$20&amp;" is more than VL Done Targeted"&amp;CHAR(10),""),IF(Q228&gt;Q215," * VL suppressed Targeted FSW "&amp;$P$19&amp;" "&amp;$Q$20&amp;" is more than VL Done Targeted"&amp;CHAR(10),""),IF(R228&gt;R215," * VL suppressed Targeted FSW "&amp;$R$19&amp;" "&amp;$R$20&amp;" is more than VL Done Targeted"&amp;CHAR(10),""),IF(S228&gt;S215," * VL suppressed Targeted FSW "&amp;$R$19&amp;" "&amp;$S$20&amp;" is more than VL Done Targeted"&amp;CHAR(10),""),IF(T228&gt;T215," * VL suppressed Targeted FSW "&amp;$T$19&amp;" "&amp;$T$20&amp;" is more than VL Done Targeted"&amp;CHAR(10),""),IF(U228&gt;U215," * VL suppressed Targeted FSW "&amp;$T$19&amp;" "&amp;$U$20&amp;" is more than VL Done Targeted"&amp;CHAR(10),""),IF(V228&gt;V215," * VL suppressed Targeted FSW "&amp;$V$19&amp;" "&amp;$V$20&amp;" is more than VL Done Targeted"&amp;CHAR(10),""),IF(W228&gt;W215," * VL suppressed Targeted FSW "&amp;$V$19&amp;" "&amp;$W$20&amp;" is more than VL Done Targeted"&amp;CHAR(10),""),IF(X228&gt;X215," * VL suppressed Targeted FSW "&amp;$X$19&amp;" "&amp;$X$20&amp;" is more than VL Done Targeted"&amp;CHAR(10),""),IF(Y228&gt;Y215," * VL suppressed Targeted FSW "&amp;$X$19&amp;" "&amp;$Y$20&amp;" is more than VL Done Targeted"&amp;CHAR(10),""),IF(Z228&gt;Z215," * VL suppressed Targeted FSW "&amp;$Z$19&amp;" "&amp;$Z$20&amp;" is more than VL Done Targeted"&amp;CHAR(10),""),IF(AA228&gt;AA215," * VL suppressed Targeted FSW "&amp;$Z$19&amp;" "&amp;$AA$20&amp;" is more than VL Done Targeted"&amp;CHAR(10),""),IF(AB228&gt;AB215," * VL suppressed Targeted FSW "&amp;$AB$19&amp;" "&amp;$AB$20&amp;" is more than VL Done Targeted"&amp;CHAR(10),""))</f>
        <v/>
      </c>
      <c r="AD215" s="675"/>
      <c r="AE215" s="171" t="str">
        <f>CONCATENATE(IF(D215&gt;D209," * VL Done Targeted [FSW]"&amp;$D$19&amp;" "&amp;$D$20&amp;" is VL Done Routine"&amp;CHAR(10),""),IF(E215&gt;E209," * VL Done Targeted [FSW] "&amp;$D$19&amp;" "&amp;$E$20&amp;" is VL Done Routine"&amp;CHAR(10),""),IF(F215&gt;F209," * VL Done Targeted [FSW] "&amp;$F$19&amp;" "&amp;$F$20&amp;" is VL Done Routine"&amp;CHAR(10),""),IF(G215&gt;G209," * VL Done Targeted [FSW] "&amp;$F$19&amp;" "&amp;$G$20&amp;" is VL Done Routine"&amp;CHAR(10),""),IF(H215&gt;H209," * VL Done Targeted [FSW] "&amp;$H$19&amp;" "&amp;$H$20&amp;" is VL Done Routine"&amp;CHAR(10),""),IF(I215&gt;I209," * VL Done Targeted [FSW] "&amp;$H$19&amp;" "&amp;$I$20&amp;" is VL Done Routine"&amp;CHAR(10),""),IF(J215&gt;J209," * VL Done Targeted [FSW] "&amp;$J$19&amp;" "&amp;$J$20&amp;" is VL Done Routine"&amp;CHAR(10),""),IF(K215&gt;K209," * VL Done Targeted [FSW] "&amp;$J$19&amp;" "&amp;$K$20&amp;" is VL Done Routine"&amp;CHAR(10),""),IF(L215&gt;L209," * VL Done Targeted [FSW] "&amp;$L$19&amp;" "&amp;$L$20&amp;" is VL Done Routine"&amp;CHAR(10),""),IF(M215&gt;M209," * VL Done Targeted [FSW] "&amp;$L$19&amp;" "&amp;$M$20&amp;" is VL Done Routine"&amp;CHAR(10),""),IF(N215&gt;N209," * VL Done Targeted [FSW] "&amp;$N$19&amp;" "&amp;$N$20&amp;" is VL Done Routine"&amp;CHAR(10),""),IF(O215&gt;O209," * VL Done Targeted [FSW] "&amp;$N$19&amp;" "&amp;$O$20&amp;" is VL Done Routine"&amp;CHAR(10),""),IF(P215&gt;P209," * VL Done Targeted [FSW] "&amp;$P$19&amp;" "&amp;$P$20&amp;" is VL Done Routine"&amp;CHAR(10),""),IF(Q215&gt;Q209," * VL Done Targeted [FSW] "&amp;$P$19&amp;" "&amp;$Q$20&amp;" is VL Done Routine"&amp;CHAR(10),""),IF(R215&gt;R209," * VL Done Targeted [FSW] "&amp;$R$19&amp;" "&amp;$R$20&amp;" is VL Done Routine"&amp;CHAR(10),""),IF(S215&gt;S209," * VL Done Targeted [FSW] "&amp;$R$19&amp;" "&amp;$S$20&amp;" is VL Done Routine"&amp;CHAR(10),""),IF(T215&gt;T209," * VL Done Targeted [FSW] "&amp;$T$19&amp;" "&amp;$T$20&amp;" is VL Done Routine"&amp;CHAR(10),""),IF(U215&gt;U209," * VL Done Targeted [FSW] "&amp;$T$19&amp;" "&amp;$U$20&amp;" is VL Done Routine"&amp;CHAR(10),""),IF(V215&gt;V209," * VL Done Targeted [FSW] "&amp;$V$19&amp;" "&amp;$V$20&amp;" is VL Done Routine"&amp;CHAR(10),""),IF(W215&gt;W209," * VL Done Targeted [FSW] "&amp;$V$19&amp;" "&amp;$W$20&amp;" is VL Done Routine"&amp;CHAR(10),""),IF(X215&gt;X209," * VL Done Targeted [FSW] "&amp;$X$19&amp;" "&amp;$X$20&amp;" is VL Done Routine"&amp;CHAR(10),""),IF(Y215&gt;Y209," * VL Done Targeted [FSW] "&amp;$X$19&amp;" "&amp;$Y$20&amp;" is VL Done Routine"&amp;CHAR(10),""),IF(Z215&gt;Z209," * VL Done Targeted [FSW] "&amp;$Z$19&amp;" "&amp;$Z$20&amp;" is VL Done Routine"&amp;CHAR(10),""),IF(AA215&gt;AA209," * VL Done Targeted [PWID] "&amp;$Z$19&amp;" "&amp;$AA$20&amp;" is VL Done Routine"&amp;CHAR(10),""),IF(AB215&gt;AB209," * VL Done Targeted [FSW] "&amp;$AB$19&amp;" "&amp;$AB$20&amp;" is VL Done Routine"&amp;CHAR(10),""))</f>
        <v/>
      </c>
      <c r="AF215" s="675"/>
      <c r="AG215" s="158">
        <v>156</v>
      </c>
    </row>
    <row r="216" spans="1:47" s="4" customFormat="1" ht="53.25" customHeight="1">
      <c r="A216" s="376" t="s">
        <v>76</v>
      </c>
      <c r="B216" s="207" t="s">
        <v>211</v>
      </c>
      <c r="C216" s="547" t="s">
        <v>336</v>
      </c>
      <c r="D216" s="162"/>
      <c r="E216" s="163"/>
      <c r="F216" s="162"/>
      <c r="G216" s="163"/>
      <c r="H216" s="162"/>
      <c r="I216" s="163"/>
      <c r="J216" s="162"/>
      <c r="K216" s="163"/>
      <c r="L216" s="197"/>
      <c r="M216" s="183"/>
      <c r="N216" s="197"/>
      <c r="O216" s="183"/>
      <c r="P216" s="197"/>
      <c r="Q216" s="183"/>
      <c r="R216" s="197"/>
      <c r="S216" s="183"/>
      <c r="T216" s="197"/>
      <c r="U216" s="183"/>
      <c r="V216" s="197"/>
      <c r="W216" s="183"/>
      <c r="X216" s="197"/>
      <c r="Y216" s="183"/>
      <c r="Z216" s="197"/>
      <c r="AA216" s="183"/>
      <c r="AB216" s="208">
        <f>SUM(D216:AA216)</f>
        <v>0</v>
      </c>
      <c r="AC216" s="295" t="str">
        <f>CONCATENATE(IF(D229&gt;D216," * VL suppressed Targeted MSM "&amp;$D$19&amp;" "&amp;$D$20&amp;" is more than VL Done Targeted"&amp;CHAR(10),""),IF(E229&gt;E216," * VL suppressed Targeted MSM "&amp;$D$19&amp;" "&amp;$E$20&amp;" is more than VL Done Targeted"&amp;CHAR(10),""),IF(F229&gt;F216," * VL suppressed Targeted MSM "&amp;$F$19&amp;" "&amp;$F$20&amp;" is more than VL Done Targeted"&amp;CHAR(10),""),IF(G229&gt;G216," * VL suppressed Targeted MSM "&amp;$F$19&amp;" "&amp;$G$20&amp;" is more than VL Done Targeted"&amp;CHAR(10),""),IF(H229&gt;H216," * VL suppressed Targeted MSM "&amp;$H$19&amp;" "&amp;$H$20&amp;" is more than VL Done Targeted"&amp;CHAR(10),""),IF(I229&gt;I216," * VL suppressed Targeted MSM "&amp;$H$19&amp;" "&amp;$I$20&amp;" is more than VL Done Targeted"&amp;CHAR(10),""),IF(J229&gt;J216," * VL suppressed Targeted MSM "&amp;$J$19&amp;" "&amp;$J$20&amp;" is more than VL Done Targeted"&amp;CHAR(10),""),IF(K229&gt;K216," * VL suppressed Targeted MSM "&amp;$J$19&amp;" "&amp;$K$20&amp;" is more than VL Done Targeted"&amp;CHAR(10),""),IF(L229&gt;L216," * VL suppressed Targeted MSM "&amp;$L$19&amp;" "&amp;$L$20&amp;" is more than VL Done Targeted"&amp;CHAR(10),""),IF(M229&gt;M216," * VL suppressed Targeted MSM "&amp;$L$19&amp;" "&amp;$M$20&amp;" is more than VL Done Targeted"&amp;CHAR(10),""),IF(N229&gt;N216," * VL suppressed Targeted MSM "&amp;$N$19&amp;" "&amp;$N$20&amp;" is more than VL Done Targeted"&amp;CHAR(10),""),IF(O229&gt;O216," * VL suppressed Targeted MSM "&amp;$N$19&amp;" "&amp;$O$20&amp;" is more than VL Done Targeted"&amp;CHAR(10),""),IF(P229&gt;P216," * VL suppressed Targeted MSM "&amp;$P$19&amp;" "&amp;$P$20&amp;" is more than VL Done Targeted"&amp;CHAR(10),""),IF(Q229&gt;Q216," * VL suppressed Targeted MSM "&amp;$P$19&amp;" "&amp;$Q$20&amp;" is more than VL Done Targeted"&amp;CHAR(10),""),IF(R229&gt;R216," * VL suppressed Targeted MSM "&amp;$R$19&amp;" "&amp;$R$20&amp;" is more than VL Done Targeted"&amp;CHAR(10),""),IF(S229&gt;S216," * VL suppressed Targeted MSM "&amp;$R$19&amp;" "&amp;$S$20&amp;" is more than VL Done Targeted"&amp;CHAR(10),""),IF(T229&gt;T216," * VL suppressed Targeted MSM "&amp;$T$19&amp;" "&amp;$T$20&amp;" is more than VL Done Targeted"&amp;CHAR(10),""),IF(U229&gt;U216," * VL suppressed Targeted MSM "&amp;$T$19&amp;" "&amp;$U$20&amp;" is more than VL Done Targeted"&amp;CHAR(10),""),IF(V229&gt;V216," * VL suppressed Targeted MSM "&amp;$V$19&amp;" "&amp;$V$20&amp;" is more than VL Done Targeted"&amp;CHAR(10),""),IF(W229&gt;W216," * VL suppressed Targeted MSM "&amp;$V$19&amp;" "&amp;$W$20&amp;" is more than VL Done Targeted"&amp;CHAR(10),""),IF(X229&gt;X216," * VL suppressed Targeted MSM "&amp;$X$19&amp;" "&amp;$X$20&amp;" is more than VL Done Targeted"&amp;CHAR(10),""),IF(Y229&gt;Y216," * VL suppressed Targeted MSM "&amp;$X$19&amp;" "&amp;$Y$20&amp;" is more than VL Done Targeted"&amp;CHAR(10),""),IF(Z229&gt;Z216," * VL suppressed Targeted MSM "&amp;$Z$19&amp;" "&amp;$Z$20&amp;" is more than VL Done Targeted"&amp;CHAR(10),""),IF(AA229&gt;AA216," * VL suppressed Targeted MSM "&amp;$Z$19&amp;" "&amp;$AA$20&amp;" is more than VL Done Targeted"&amp;CHAR(10),""),IF(AB229&gt;AB216," * VL suppressed Targeted MSM "&amp;$AB$19&amp;" "&amp;$AB$20&amp;" is more than VL Done Targeted"&amp;CHAR(10),""))</f>
        <v/>
      </c>
      <c r="AD216" s="675"/>
      <c r="AE216" s="171" t="str">
        <f>CONCATENATE(IF(D216&gt;D210," * VL Done Targeted [MSM]"&amp;$D$19&amp;" "&amp;$D$20&amp;" is more than VL Done Routine"&amp;CHAR(10),""),IF(E216&gt;E210," * VL Done Targeted [MSM] "&amp;$D$19&amp;" "&amp;$E$20&amp;" is more than VL Done Routine"&amp;CHAR(10),""),IF(F216&gt;F210," * VL Done Targeted [MSM] "&amp;$F$19&amp;" "&amp;$F$20&amp;" is more than VL Done Routine"&amp;CHAR(10),""),IF(G216&gt;G210," * VL Done Targeted [MSM] "&amp;$F$19&amp;" "&amp;$G$20&amp;" is more than VL Done Routine"&amp;CHAR(10),""),IF(H216&gt;H210," * VL Done Targeted [MSM] "&amp;$H$19&amp;" "&amp;$H$20&amp;" is more than VL Done Routine"&amp;CHAR(10),""),IF(I216&gt;I210," * VL Done Targeted [MSM] "&amp;$H$19&amp;" "&amp;$I$20&amp;" is more than VL Done Routine"&amp;CHAR(10),""),IF(J216&gt;J210," * VL Done Targeted [MSM] "&amp;$J$19&amp;" "&amp;$J$20&amp;" is more than VL Done Routine"&amp;CHAR(10),""),IF(K216&gt;K210," * VL Done Targeted [MSM] "&amp;$J$19&amp;" "&amp;$K$20&amp;" is more than VL Done Routine"&amp;CHAR(10),""),IF(L216&gt;L210," * VL Done Targeted [MSM] "&amp;$L$19&amp;" "&amp;$L$20&amp;" is more than VL Done Routine"&amp;CHAR(10),""),IF(M216&gt;M210," * VL Done Targeted [MSM] "&amp;$L$19&amp;" "&amp;$M$20&amp;" is more than VL Done Routine"&amp;CHAR(10),""),IF(N216&gt;N210," * VL Done Targeted [MSM] "&amp;$N$19&amp;" "&amp;$N$20&amp;" is more than VL Done Routine"&amp;CHAR(10),""),IF(O216&gt;O210," * VL Done Targeted [MSM] "&amp;$N$19&amp;" "&amp;$O$20&amp;" is more than VL Done Routine"&amp;CHAR(10),""),IF(P216&gt;P210," * VL Done Targeted [MSM] "&amp;$P$19&amp;" "&amp;$P$20&amp;" is more than VL Done Routine"&amp;CHAR(10),""),IF(Q216&gt;Q210," * VL Done Targeted [MSM] "&amp;$P$19&amp;" "&amp;$Q$20&amp;" is more than VL Done Routine"&amp;CHAR(10),""),IF(R216&gt;R210," * VL Done Targeted [MSM] "&amp;$R$19&amp;" "&amp;$R$20&amp;" is more than VL Done Routine"&amp;CHAR(10),""),IF(S216&gt;S210," * VL Done Targeted [MSM] "&amp;$R$19&amp;" "&amp;$S$20&amp;" is more than VL Done Routine"&amp;CHAR(10),""),IF(T216&gt;T210," * VL Done Targeted [MSM] "&amp;$T$19&amp;" "&amp;$T$20&amp;" is more than VL Done Routine"&amp;CHAR(10),""),IF(U216&gt;U210," * VL Done Targeted [MSM] "&amp;$T$19&amp;" "&amp;$U$20&amp;" is more than VL Done Routine"&amp;CHAR(10),""),IF(V216&gt;V210," * VL Done Targeted [MSM] "&amp;$V$19&amp;" "&amp;$V$20&amp;" is more than VL Done Routine"&amp;CHAR(10),""),IF(W216&gt;W210," * VL Done Targeted [MSM] "&amp;$V$19&amp;" "&amp;$W$20&amp;" is more than VL Done Routine"&amp;CHAR(10),""),IF(X216&gt;X210," * VL Done Targeted [MSM] "&amp;$X$19&amp;" "&amp;$X$20&amp;" is more than VL Done Routine"&amp;CHAR(10),""),IF(Y216&gt;Y210," * VL Done Targeted [MSM] "&amp;$X$19&amp;" "&amp;$Y$20&amp;" is more than VL Done Routine"&amp;CHAR(10),""),IF(Z216&gt;Z210," * VL Done Targeted [MSM] "&amp;$Z$19&amp;" "&amp;$Z$20&amp;" is more than VL Done Routine"&amp;CHAR(10),""),IF(AA216&gt;AA210," * VL Done Targeted [MSM] "&amp;$Z$19&amp;" "&amp;$AA$20&amp;" is more than VL Done Routine"&amp;CHAR(10),""),IF(AB216&gt;AB210," * VL Done Targeted [MSM] "&amp;$AB$19&amp;" "&amp;$AB$20&amp;" is more than VL Done Routine"&amp;CHAR(10),""))</f>
        <v/>
      </c>
      <c r="AF216" s="675"/>
      <c r="AG216" s="158">
        <v>157</v>
      </c>
    </row>
    <row r="217" spans="1:47" s="4" customFormat="1" ht="53.25" customHeight="1">
      <c r="A217" s="376" t="s">
        <v>166</v>
      </c>
      <c r="B217" s="207" t="s">
        <v>212</v>
      </c>
      <c r="C217" s="547" t="s">
        <v>337</v>
      </c>
      <c r="D217" s="162"/>
      <c r="E217" s="163"/>
      <c r="F217" s="162"/>
      <c r="G217" s="163"/>
      <c r="H217" s="162"/>
      <c r="I217" s="163"/>
      <c r="J217" s="162"/>
      <c r="K217" s="163"/>
      <c r="L217" s="197"/>
      <c r="M217" s="197"/>
      <c r="N217" s="197"/>
      <c r="O217" s="197"/>
      <c r="P217" s="197"/>
      <c r="Q217" s="197"/>
      <c r="R217" s="197"/>
      <c r="S217" s="197"/>
      <c r="T217" s="197"/>
      <c r="U217" s="197"/>
      <c r="V217" s="197"/>
      <c r="W217" s="197"/>
      <c r="X217" s="197"/>
      <c r="Y217" s="197"/>
      <c r="Z217" s="197"/>
      <c r="AA217" s="197"/>
      <c r="AB217" s="208">
        <f>SUM(D217:AA217)</f>
        <v>0</v>
      </c>
      <c r="AC217" s="295" t="str">
        <f>CONCATENATE(IF(D230&gt;D217," * VL suppressed Targeted People In Prison "&amp;$D$19&amp;" "&amp;$D$20&amp;" is more than VL Done Targeted People In Prison"&amp;CHAR(10),""),IF(E230&gt;E217," * VL suppressed Targeted People In Prison "&amp;$D$19&amp;" "&amp;$E$20&amp;" is more than VL Done Targeted People In Prison"&amp;CHAR(10),""),IF(F230&gt;F217," * VL suppressed Targeted People In Prison "&amp;$F$19&amp;" "&amp;$F$20&amp;" is more than VL Done Targeted People In Prison"&amp;CHAR(10),""),IF(G230&gt;G217," * VL suppressed Targeted People In Prison "&amp;$F$19&amp;" "&amp;$G$20&amp;" is more than VL Done Targeted People In Prison"&amp;CHAR(10),""),IF(H230&gt;H217," * VL suppressed Targeted People In Prison "&amp;$H$19&amp;" "&amp;$H$20&amp;" is more than VL Done Targeted People In Prison"&amp;CHAR(10),""),IF(I230&gt;I217," * VL suppressed Targeted People In Prison "&amp;$H$19&amp;" "&amp;$I$20&amp;" is more than VL Done Targeted People In Prison"&amp;CHAR(10),""),IF(J230&gt;J217," * VL suppressed Targeted People In Prison "&amp;$J$19&amp;" "&amp;$J$20&amp;" is more than VL Done Targeted People In Prison"&amp;CHAR(10),""),IF(K230&gt;K217," * VL suppressed Targeted People In Prison "&amp;$J$19&amp;" "&amp;$K$20&amp;" is more than VL Done Targeted People In Prison"&amp;CHAR(10),""),IF(L230&gt;L217," * VL suppressed Targeted People In Prison "&amp;$L$19&amp;" "&amp;$L$20&amp;" is more than VL Done Targeted People In Prison"&amp;CHAR(10),""),IF(M230&gt;M217," * VL suppressed Targeted People In Prison "&amp;$L$19&amp;" "&amp;$M$20&amp;" is more than VL Done Targeted People In Prison"&amp;CHAR(10),""),IF(N230&gt;N217," * VL suppressed Targeted People In Prison "&amp;$N$19&amp;" "&amp;$N$20&amp;" is more than VL Done Targeted People In Prison"&amp;CHAR(10),""),IF(O230&gt;O217," * VL suppressed Targeted People In Prison "&amp;$N$19&amp;" "&amp;$O$20&amp;" is more than VL Done Targeted People In Prison"&amp;CHAR(10),""),IF(P230&gt;P217," * VL suppressed Targeted People In Prison "&amp;$P$19&amp;" "&amp;$P$20&amp;" is more than VL Done Targeted People In Prison"&amp;CHAR(10),""),IF(Q230&gt;Q217," * VL suppressed Targeted People In Prison "&amp;$P$19&amp;" "&amp;$Q$20&amp;" is more than VL Done Targeted People In Prison"&amp;CHAR(10),""),IF(R230&gt;R217," * VL suppressed Targeted People In Prison "&amp;$R$19&amp;" "&amp;$R$20&amp;" is more than VL Done Targeted People In Prison"&amp;CHAR(10),""),IF(S230&gt;S217," * VL suppressed Targeted People In Prison "&amp;$R$19&amp;" "&amp;$S$20&amp;" is more than VL Done Targeted People In Prison"&amp;CHAR(10),""),IF(T230&gt;T217," * VL suppressed Targeted People In Prison "&amp;$T$19&amp;" "&amp;$T$20&amp;" is more than VL Done Targeted People In Prison"&amp;CHAR(10),""),IF(U230&gt;U217," * VL suppressed Targeted People In Prison "&amp;$T$19&amp;" "&amp;$U$20&amp;" is more than VL Done Targeted People In Prison"&amp;CHAR(10),""),IF(V230&gt;V217," * VL suppressed Targeted People In Prison "&amp;$V$19&amp;" "&amp;$V$20&amp;" is more than VL Done Targeted People In Prison"&amp;CHAR(10),""),IF(W230&gt;W217," * VL suppressed Targeted People In Prison "&amp;$V$19&amp;" "&amp;$W$20&amp;" is more than VL Done Targeted People In Prison"&amp;CHAR(10),""),IF(X230&gt;X217," * VL suppressed Targeted People In Prison "&amp;$X$19&amp;" "&amp;$X$20&amp;" is more than VL Done Targeted People In Prison"&amp;CHAR(10),""),IF(Y230&gt;Y217," * VL suppressed Targeted People In Prison "&amp;$X$19&amp;" "&amp;$Y$20&amp;" is more than VL Done Targeted People In Prison"&amp;CHAR(10),""),IF(Z230&gt;Z217," * VL suppressed Targeted People In Prison "&amp;$Z$19&amp;" "&amp;$Z$20&amp;" is more than VL Done Targeted People In Prison"&amp;CHAR(10),""),IF(AA230&gt;AA217," * VL suppressed Targeted People In Prison "&amp;$Z$19&amp;" "&amp;$AA$20&amp;" is more than VL Done Targeted People In Prison"&amp;CHAR(10),""),IF(AB230&gt;AB217," * VL suppressed Targeted People In Prison "&amp;$AB$19&amp;" "&amp;$AB$20&amp;" is more than VL Done Targeted People In Prison"&amp;CHAR(10),""))</f>
        <v/>
      </c>
      <c r="AD217" s="675"/>
      <c r="AE217" s="171" t="str">
        <f>CONCATENATE(IF(D217&gt;D211," * VL Done Targeted [People in Prison]"&amp;$D$19&amp;" "&amp;$D$20&amp;" is more than VL Done Routine"&amp;CHAR(10),""),IF(E217&gt;E211," * VL Done Targeted [People in Prison] "&amp;$D$19&amp;" "&amp;$E$20&amp;" is more than VL Done Routine"&amp;CHAR(10),""),IF(F217&gt;F211," * VL Done Targeted [People in Prison] "&amp;$F$19&amp;" "&amp;$F$20&amp;" is more than VL Done Routine"&amp;CHAR(10),""),IF(G217&gt;G211," * VL Done Targeted [People in Prison] "&amp;$F$19&amp;" "&amp;$G$20&amp;" is more than VL Done Routine"&amp;CHAR(10),""),IF(H217&gt;H211," * VL Done Targeted [People in Prison] "&amp;$H$19&amp;" "&amp;$H$20&amp;" is more than VL Done Routine"&amp;CHAR(10),""),IF(I217&gt;I211," * VL Done Targeted [People in Prison] "&amp;$H$19&amp;" "&amp;$I$20&amp;" is more than VL Done Routine"&amp;CHAR(10),""),IF(J217&gt;J211," * VL Done Targeted [People in Prison] "&amp;$J$19&amp;" "&amp;$J$20&amp;" is more than VL Done Routine"&amp;CHAR(10),""),IF(K217&gt;K211," * VL Done Targeted [People in Prison] "&amp;$J$19&amp;" "&amp;$K$20&amp;" is more than VL Done Routine"&amp;CHAR(10),""),IF(L217&gt;L211," * VL Done Targeted [People in Prison] "&amp;$L$19&amp;" "&amp;$L$20&amp;" is more than VL Done Routine"&amp;CHAR(10),""),IF(M217&gt;M211," * VL Done Targeted [People in Prison] "&amp;$L$19&amp;" "&amp;$M$20&amp;" is more than VL Done Routine"&amp;CHAR(10),""),IF(N217&gt;N211," * VL Done Targeted [People in Prison] "&amp;$N$19&amp;" "&amp;$N$20&amp;" is more than VL Done Routine"&amp;CHAR(10),""),IF(O217&gt;O211," * VL Done Targeted [People in Prison] "&amp;$N$19&amp;" "&amp;$O$20&amp;" is more than VL Done Routine"&amp;CHAR(10),""),IF(P217&gt;P211," * VL Done Targeted [People in Prison] "&amp;$P$19&amp;" "&amp;$P$20&amp;" is more than VL Done Routine"&amp;CHAR(10),""),IF(Q217&gt;Q211," * VL Done Targeted [People in Prison] "&amp;$P$19&amp;" "&amp;$Q$20&amp;" is more than VL Done Routine"&amp;CHAR(10),""),IF(R217&gt;R211," * VL Done Targeted [People in Prison] "&amp;$R$19&amp;" "&amp;$R$20&amp;" is more than VL Done Routine"&amp;CHAR(10),""),IF(S217&gt;S211," * VL Done Targeted [People in Prison] "&amp;$R$19&amp;" "&amp;$S$20&amp;" is more than VL Done Routine"&amp;CHAR(10),""),IF(T217&gt;T211," * VL Done Targeted [People in Prison] "&amp;$T$19&amp;" "&amp;$T$20&amp;" is more than VL Done Routine"&amp;CHAR(10),""),IF(U217&gt;U211," * VL Done Targeted [People in Prison] "&amp;$T$19&amp;" "&amp;$U$20&amp;" is more than VL Done Routine"&amp;CHAR(10),""),IF(V217&gt;V211," * VL Done Targeted [People in Prison] "&amp;$V$19&amp;" "&amp;$V$20&amp;" is more than VL Done Routine"&amp;CHAR(10),""),IF(W217&gt;W211," * VL Done Targeted [People in Prison] "&amp;$V$19&amp;" "&amp;$W$20&amp;" is more than VL Done Routine"&amp;CHAR(10),""),IF(X217&gt;X211," * VL Done Targeted [People in Prison] "&amp;$X$19&amp;" "&amp;$X$20&amp;" is more than VL Done Routine"&amp;CHAR(10),""),IF(Y217&gt;Y211," * VL Done Targeted [People in Prison] "&amp;$X$19&amp;" "&amp;$Y$20&amp;" is more than VL Done Routine"&amp;CHAR(10),""),IF(Z217&gt;Z211," * VL Done Targeted [People in Prison] "&amp;$Z$19&amp;" "&amp;$Z$20&amp;" is more than VL Done Routine"&amp;CHAR(10),""),IF(AA217&gt;AA211," * VL Done Targeted [People in Prison] "&amp;$Z$19&amp;" "&amp;$AA$20&amp;" is more than VL Done Routine"&amp;CHAR(10),""),IF(AB217&gt;AB211," * VL Done Targeted [People in Prison] "&amp;$AB$19&amp;" "&amp;$AB$20&amp;" is more than VL Done Routine"&amp;CHAR(10),""))</f>
        <v/>
      </c>
      <c r="AF217" s="675"/>
      <c r="AG217" s="158">
        <v>159</v>
      </c>
    </row>
    <row r="218" spans="1:47" s="6" customFormat="1" ht="53.25" customHeight="1" thickBot="1">
      <c r="A218" s="376" t="s">
        <v>75</v>
      </c>
      <c r="B218" s="207" t="s">
        <v>213</v>
      </c>
      <c r="C218" s="547" t="s">
        <v>338</v>
      </c>
      <c r="D218" s="162"/>
      <c r="E218" s="163"/>
      <c r="F218" s="162"/>
      <c r="G218" s="163"/>
      <c r="H218" s="162"/>
      <c r="I218" s="163"/>
      <c r="J218" s="162"/>
      <c r="K218" s="163"/>
      <c r="L218" s="197"/>
      <c r="M218" s="197"/>
      <c r="N218" s="197"/>
      <c r="O218" s="197"/>
      <c r="P218" s="197"/>
      <c r="Q218" s="197"/>
      <c r="R218" s="197"/>
      <c r="S218" s="197"/>
      <c r="T218" s="197"/>
      <c r="U218" s="197"/>
      <c r="V218" s="197"/>
      <c r="W218" s="197"/>
      <c r="X218" s="197"/>
      <c r="Y218" s="197"/>
      <c r="Z218" s="197"/>
      <c r="AA218" s="197"/>
      <c r="AB218" s="210">
        <f>SUM(D218:AA218)</f>
        <v>0</v>
      </c>
      <c r="AC218" s="295" t="str">
        <f>CONCATENATE(IF(D231&gt;D218," * VL suppressed Targeted PWID "&amp;$D$19&amp;" "&amp;$D$20&amp;" is more than VL Done Targeted Targeted"&amp;CHAR(10),""),IF(E231&gt;E218," * VL suppressed Targeted PWID "&amp;$D$19&amp;" "&amp;$E$20&amp;" is more than VL Done Targeted Targeted"&amp;CHAR(10),""),IF(F231&gt;F218," * VL suppressed Targeted PWID "&amp;$F$19&amp;" "&amp;$F$20&amp;" is more than VL Done Targeted Targeted"&amp;CHAR(10),""),IF(G231&gt;G218," * VL suppressed Targeted PWID "&amp;$F$19&amp;" "&amp;$G$20&amp;" is more than VL Done Targeted Targeted"&amp;CHAR(10),""),IF(H231&gt;H218," * VL suppressed Targeted PWID "&amp;$H$19&amp;" "&amp;$H$20&amp;" is more than VL Done Targeted Targeted"&amp;CHAR(10),""),IF(I231&gt;I218," * VL suppressed Targeted PWID "&amp;$H$19&amp;" "&amp;$I$20&amp;" is more than VL Done Targeted Targeted"&amp;CHAR(10),""),IF(J231&gt;J218," * VL suppressed Targeted PWID "&amp;$J$19&amp;" "&amp;$J$20&amp;" is more than VL Done Targeted Targeted"&amp;CHAR(10),""),IF(K231&gt;K218," * VL suppressed Targeted PWID "&amp;$J$19&amp;" "&amp;$K$20&amp;" is more than VL Done Targeted Targeted"&amp;CHAR(10),""),IF(L231&gt;L218," * VL suppressed Targeted PWID "&amp;$L$19&amp;" "&amp;$L$20&amp;" is more than VL Done Targeted Targeted"&amp;CHAR(10),""),IF(M231&gt;M218," * VL suppressed Targeted PWID "&amp;$L$19&amp;" "&amp;$M$20&amp;" is more than VL Done Targeted Targeted"&amp;CHAR(10),""),IF(N231&gt;N218," * VL suppressed Targeted PWID "&amp;$N$19&amp;" "&amp;$N$20&amp;" is more than VL Done Targeted Targeted"&amp;CHAR(10),""),IF(O231&gt;O218," * VL suppressed Targeted PWID "&amp;$N$19&amp;" "&amp;$O$20&amp;" is more than VL Done Targeted Targeted"&amp;CHAR(10),""),IF(P231&gt;P218," * VL suppressed Targeted PWID "&amp;$P$19&amp;" "&amp;$P$20&amp;" is more than VL Done Targeted Targeted"&amp;CHAR(10),""),IF(Q231&gt;Q218," * VL suppressed Targeted PWID "&amp;$P$19&amp;" "&amp;$Q$20&amp;" is more than VL Done Targeted Targeted"&amp;CHAR(10),""),IF(R231&gt;R218," * VL suppressed Targeted PWID "&amp;$R$19&amp;" "&amp;$R$20&amp;" is more than VL Done Targeted Targeted"&amp;CHAR(10),""),IF(S231&gt;S218," * VL suppressed Targeted PWID "&amp;$R$19&amp;" "&amp;$S$20&amp;" is more than VL Done Targeted Targeted"&amp;CHAR(10),""),IF(T231&gt;T218," * VL suppressed Targeted PWID "&amp;$T$19&amp;" "&amp;$T$20&amp;" is more than VL Done Targeted Targeted"&amp;CHAR(10),""),IF(U231&gt;U218," * VL suppressed Targeted PWID "&amp;$T$19&amp;" "&amp;$U$20&amp;" is more than VL Done Targeted Targeted"&amp;CHAR(10),""),IF(V231&gt;V218," * VL suppressed Targeted PWID "&amp;$V$19&amp;" "&amp;$V$20&amp;" is more than VL Done Targeted Targeted"&amp;CHAR(10),""),IF(W231&gt;W218," * VL suppressed Targeted PWID "&amp;$V$19&amp;" "&amp;$W$20&amp;" is more than VL Done Targeted Targeted"&amp;CHAR(10),""),IF(X231&gt;X218," * VL suppressed Targeted PWID "&amp;$X$19&amp;" "&amp;$X$20&amp;" is more than VL Done Targeted Targeted"&amp;CHAR(10),""),IF(Y231&gt;Y218," * VL suppressed Targeted PWID "&amp;$X$19&amp;" "&amp;$Y$20&amp;" is more than VL Done Targeted Targeted"&amp;CHAR(10),""),IF(Z231&gt;Z218," * VL suppressed Targeted PWID "&amp;$Z$19&amp;" "&amp;$Z$20&amp;" is more than VL Done Targeted Targeted"&amp;CHAR(10),""),IF(AA231&gt;AA218," * VL suppressed Targeted PWID "&amp;$Z$19&amp;" "&amp;$AA$20&amp;" is more than VL Done Targeted Targeted"&amp;CHAR(10),""),IF(AB231&gt;AB218," * VL suppressed Targeted PWID "&amp;$AB$19&amp;" "&amp;$AB$20&amp;" is more than VL Done Targeted Targeted"&amp;CHAR(10),""))</f>
        <v/>
      </c>
      <c r="AD218" s="675"/>
      <c r="AE218" s="171" t="str">
        <f>CONCATENATE(IF(D218&gt;D212," * VL Done Targeted [PWID]"&amp;$D$19&amp;" "&amp;$D$20&amp;" is more than VL Done Routine"&amp;CHAR(10),""),IF(E218&gt;E212," * VL Done Targeted [PWID] "&amp;$D$19&amp;" "&amp;$E$20&amp;" is more than VL Done Routine"&amp;CHAR(10),""),IF(F218&gt;F212," * VL Done Targeted [PWID] "&amp;$F$19&amp;" "&amp;$F$20&amp;" is more than VL Done Routine"&amp;CHAR(10),""),IF(G218&gt;G212," * VL Done Targeted [PWID] "&amp;$F$19&amp;" "&amp;$G$20&amp;" is more than VL Done Routine"&amp;CHAR(10),""),IF(H218&gt;H212," * VL Done Targeted [PWID] "&amp;$H$19&amp;" "&amp;$H$20&amp;" is more than VL Done Routine"&amp;CHAR(10),""),IF(I218&gt;I212," * VL Done Targeted [PWID] "&amp;$H$19&amp;" "&amp;$I$20&amp;" is more than VL Done Routine"&amp;CHAR(10),""),IF(J218&gt;J212," * VL Done Targeted [PWID] "&amp;$J$19&amp;" "&amp;$J$20&amp;" is more than VL Done Routine"&amp;CHAR(10),""),IF(K218&gt;K212," * VL Done Targeted [PWID] "&amp;$J$19&amp;" "&amp;$K$20&amp;" is more than VL Done Routine"&amp;CHAR(10),""),IF(L218&gt;L212," * VL Done Targeted [PWID] "&amp;$L$19&amp;" "&amp;$L$20&amp;" is more than VL Done Routine"&amp;CHAR(10),""),IF(M218&gt;M212," * VL Done Targeted [PWID] "&amp;$L$19&amp;" "&amp;$M$20&amp;" is more than VL Done Routine"&amp;CHAR(10),""),IF(N218&gt;N212," * VL Done Targeted [PWID] "&amp;$N$19&amp;" "&amp;$N$20&amp;" is more than VL Done Routine"&amp;CHAR(10),""),IF(O218&gt;O212," * VL Done Targeted [PWID] "&amp;$N$19&amp;" "&amp;$O$20&amp;" is more than VL Done Routine"&amp;CHAR(10),""),IF(P218&gt;P212," * VL Done Targeted [PWID] "&amp;$P$19&amp;" "&amp;$P$20&amp;" is more than VL Done Routine"&amp;CHAR(10),""),IF(Q218&gt;Q212," * VL Done Targeted [PWID] "&amp;$P$19&amp;" "&amp;$Q$20&amp;" is more than VL Done Routine"&amp;CHAR(10),""),IF(R218&gt;R212," * VL Done Targeted [PWID] "&amp;$R$19&amp;" "&amp;$R$20&amp;" is more than VL Done Routine"&amp;CHAR(10),""),IF(S218&gt;S212," * VL Done Targeted [PWID] "&amp;$R$19&amp;" "&amp;$S$20&amp;" is more than VL Done Routine"&amp;CHAR(10),""),IF(T218&gt;T212," * VL Done Targeted [PWID] "&amp;$T$19&amp;" "&amp;$T$20&amp;" is more than VL Done Routine"&amp;CHAR(10),""),IF(U218&gt;U212," * VL Done Targeted [PWID] "&amp;$T$19&amp;" "&amp;$U$20&amp;" is more than VL Done Routine"&amp;CHAR(10),""),IF(V218&gt;V212," * VL Done Targeted [PWID] "&amp;$V$19&amp;" "&amp;$V$20&amp;" is more than VL Done Routine"&amp;CHAR(10),""),IF(W218&gt;W212," * VL Done Targeted [PWID] "&amp;$V$19&amp;" "&amp;$W$20&amp;" is more than VL Done Routine"&amp;CHAR(10),""),IF(X218&gt;X212," * VL Done Targeted [PWID] "&amp;$X$19&amp;" "&amp;$X$20&amp;" is more than VL Done Routine"&amp;CHAR(10),""),IF(Y218&gt;Y212," * VL Done Targeted [PWID] "&amp;$X$19&amp;" "&amp;$Y$20&amp;" is more than VL Done Routine"&amp;CHAR(10),""),IF(Z218&gt;Z212," * VL Done Targeted [PWID] "&amp;$Z$19&amp;" "&amp;$Z$20&amp;" is more than VL Done Routine"&amp;CHAR(10),""),IF(AA218&gt;AA212," * VL Done Targeted [PWID] "&amp;$Z$19&amp;" "&amp;$AA$20&amp;" is more than VL Done Routine"&amp;CHAR(10),""),IF(AB218&gt;AB212," * VL Done Targeted [PWID] "&amp;$AB$19&amp;" "&amp;$AB$20&amp;" is more than VL Done Routine"&amp;CHAR(10),""))</f>
        <v/>
      </c>
      <c r="AF218" s="675"/>
      <c r="AG218" s="158">
        <v>160</v>
      </c>
      <c r="AH218" s="4"/>
      <c r="AI218" s="4"/>
      <c r="AJ218" s="4"/>
      <c r="AK218" s="4"/>
      <c r="AL218" s="4"/>
      <c r="AM218" s="4"/>
      <c r="AN218" s="4"/>
      <c r="AO218" s="4"/>
      <c r="AP218" s="4"/>
      <c r="AQ218" s="4"/>
      <c r="AR218" s="4"/>
      <c r="AS218" s="4"/>
      <c r="AT218" s="4"/>
      <c r="AU218" s="4"/>
    </row>
    <row r="219" spans="1:47" s="4" customFormat="1" ht="53.25" customHeight="1" thickBot="1">
      <c r="A219" s="377" t="s">
        <v>421</v>
      </c>
      <c r="B219" s="212" t="s">
        <v>214</v>
      </c>
      <c r="C219" s="547" t="s">
        <v>339</v>
      </c>
      <c r="D219" s="177"/>
      <c r="E219" s="178"/>
      <c r="F219" s="177"/>
      <c r="G219" s="178"/>
      <c r="H219" s="177"/>
      <c r="I219" s="178"/>
      <c r="J219" s="177"/>
      <c r="K219" s="178"/>
      <c r="L219" s="178"/>
      <c r="M219" s="178"/>
      <c r="N219" s="178"/>
      <c r="O219" s="178"/>
      <c r="P219" s="178"/>
      <c r="Q219" s="178"/>
      <c r="R219" s="178"/>
      <c r="S219" s="178"/>
      <c r="T219" s="178"/>
      <c r="U219" s="178"/>
      <c r="V219" s="178"/>
      <c r="W219" s="178"/>
      <c r="X219" s="178"/>
      <c r="Y219" s="178"/>
      <c r="Z219" s="178"/>
      <c r="AA219" s="213"/>
      <c r="AB219" s="214"/>
      <c r="AC219" s="295" t="str">
        <f>CONCATENATE(IF(D232&gt;D219," * VL suppressed Targeted TG "&amp;$D$19&amp;" "&amp;$D$20&amp;" is more than VL Done Targeted Targeted"&amp;CHAR(10),""),IF(E232&gt;E219," * VL suppressed Targeted TG "&amp;$D$19&amp;" "&amp;$E$20&amp;" is more than VL Done Targeted Targeted"&amp;CHAR(10),""),IF(F232&gt;F219," * VL suppressed Targeted TG "&amp;$F$19&amp;" "&amp;$F$20&amp;" is more than VL Done Targeted Targeted"&amp;CHAR(10),""),IF(G232&gt;G219," * VL suppressed Targeted TG "&amp;$F$19&amp;" "&amp;$G$20&amp;" is more than VL Done Targeted Targeted"&amp;CHAR(10),""),IF(H232&gt;H219," * VL suppressed Targeted TG "&amp;$H$19&amp;" "&amp;$H$20&amp;" is more than VL Done Targeted Targeted"&amp;CHAR(10),""),IF(I232&gt;I219," * VL suppressed Targeted TG "&amp;$H$19&amp;" "&amp;$I$20&amp;" is more than VL Done Targeted Targeted"&amp;CHAR(10),""),IF(J232&gt;J219," * VL suppressed Targeted TG "&amp;$J$19&amp;" "&amp;$J$20&amp;" is more than VL Done Targeted Targeted"&amp;CHAR(10),""),IF(K232&gt;K219," * VL suppressed Targeted TG "&amp;$J$19&amp;" "&amp;$K$20&amp;" is more than VL Done Targeted Targeted"&amp;CHAR(10),""),IF(L232&gt;L219," * VL suppressed Targeted TG "&amp;$L$19&amp;" "&amp;$L$20&amp;" is more than VL Done Targeted Targeted"&amp;CHAR(10),""),IF(M232&gt;M219," * VL suppressed Targeted TG "&amp;$L$19&amp;" "&amp;$M$20&amp;" is more than VL Done Targeted Targeted"&amp;CHAR(10),""),IF(N232&gt;N219," * VL suppressed Targeted TG "&amp;$N$19&amp;" "&amp;$N$20&amp;" is more than VL Done Targeted Targeted"&amp;CHAR(10),""),IF(O232&gt;O219," * VL suppressed Targeted TG "&amp;$N$19&amp;" "&amp;$O$20&amp;" is more than VL Done Targeted Targeted"&amp;CHAR(10),""),IF(P232&gt;P219," * VL suppressed Targeted TG "&amp;$P$19&amp;" "&amp;$P$20&amp;" is more than VL Done Targeted Targeted"&amp;CHAR(10),""),IF(Q232&gt;Q219," * VL suppressed Targeted TG "&amp;$P$19&amp;" "&amp;$Q$20&amp;" is more than VL Done Targeted Targeted"&amp;CHAR(10),""),IF(R232&gt;R219," * VL suppressed Targeted TG "&amp;$R$19&amp;" "&amp;$R$20&amp;" is more than VL Done Targeted Targeted"&amp;CHAR(10),""),IF(S232&gt;S219," * VL suppressed Targeted TG "&amp;$R$19&amp;" "&amp;$S$20&amp;" is more than VL Done Targeted Targeted"&amp;CHAR(10),""),IF(T232&gt;T219," * VL suppressed Targeted TG "&amp;$T$19&amp;" "&amp;$T$20&amp;" is more than VL Done Targeted Targeted"&amp;CHAR(10),""),IF(U232&gt;U219," * VL suppressed Targeted TG "&amp;$T$19&amp;" "&amp;$U$20&amp;" is more than VL Done Targeted Targeted"&amp;CHAR(10),""),IF(V232&gt;V219," * VL suppressed Targeted TG "&amp;$V$19&amp;" "&amp;$V$20&amp;" is more than VL Done Targeted Targeted"&amp;CHAR(10),""),IF(W232&gt;W219," * VL suppressed Targeted TG "&amp;$V$19&amp;" "&amp;$W$20&amp;" is more than VL Done Targeted Targeted"&amp;CHAR(10),""),IF(X232&gt;X219," * VL suppressed Targeted TG "&amp;$X$19&amp;" "&amp;$X$20&amp;" is more than VL Done Targeted Targeted"&amp;CHAR(10),""),IF(Y232&gt;Y219," * VL suppressed Targeted TG "&amp;$X$19&amp;" "&amp;$Y$20&amp;" is more than VL Done Targeted Targeted"&amp;CHAR(10),""),IF(Z232&gt;Z219," * VL suppressed Targeted TG "&amp;$Z$19&amp;" "&amp;$Z$20&amp;" is more than VL Done Targeted Targeted"&amp;CHAR(10),""),IF(AA232&gt;AA219," * VL suppressed Targeted TG "&amp;$Z$19&amp;" "&amp;$AA$20&amp;" is more than VL Done Targeted Targeted"&amp;CHAR(10),""),IF(AB232&gt;AB219," * VL suppressed Targeted TG "&amp;$AB$19&amp;" "&amp;$AB$20&amp;" is more than VL Done Targeted Targeted"&amp;CHAR(10),""))</f>
        <v/>
      </c>
      <c r="AD219" s="675"/>
      <c r="AE219" s="171" t="str">
        <f>CONCATENATE(IF(D219&gt;D213," * VL Done Targeted [Transgender People]"&amp;$D$19&amp;" "&amp;$D$20&amp;" is more than VL Done Routine"&amp;CHAR(10),""),IF(E219&gt;E213," * VL Done Targeted [Transgender People] "&amp;$D$19&amp;" "&amp;$E$20&amp;" is more than VL Done Routine"&amp;CHAR(10),""),IF(F219&gt;F213," * VL Done Targeted [Transgender People] "&amp;$F$19&amp;" "&amp;$F$20&amp;" is more than VL Done Routine"&amp;CHAR(10),""),IF(G219&gt;G213," * VL Done Targeted [Transgender People] "&amp;$F$19&amp;" "&amp;$G$20&amp;" is more than VL Done Routine"&amp;CHAR(10),""),IF(H219&gt;H213," * VL Done Targeted [Transgender People] "&amp;$H$19&amp;" "&amp;$H$20&amp;" is more than VL Done Routine"&amp;CHAR(10),""),IF(I219&gt;I213," * VL Done Targeted [Transgender People] "&amp;$H$19&amp;" "&amp;$I$20&amp;" is more than VL Done Routine"&amp;CHAR(10),""),IF(J219&gt;J213," * VL Done Targeted [Transgender People] "&amp;$J$19&amp;" "&amp;$J$20&amp;" is more than VL Done Routine"&amp;CHAR(10),""),IF(K219&gt;K213," * VL Done Targeted [Transgender People] "&amp;$J$19&amp;" "&amp;$K$20&amp;" is more than VL Done Routine"&amp;CHAR(10),""),IF(L219&gt;L213," * VL Done Targeted [Transgender People] "&amp;$L$19&amp;" "&amp;$L$20&amp;" is more than VL Done Routine"&amp;CHAR(10),""),IF(M219&gt;M213," * VL Done Targeted [Transgender People] "&amp;$L$19&amp;" "&amp;$M$20&amp;" is more than VL Done Routine"&amp;CHAR(10),""),IF(N219&gt;N213," * VL Done Targeted [Transgender People] "&amp;$N$19&amp;" "&amp;$N$20&amp;" is more than VL Done Routine"&amp;CHAR(10),""),IF(O219&gt;O213," * VL Done Targeted [Transgender People] "&amp;$N$19&amp;" "&amp;$O$20&amp;" is more than VL Done Routine"&amp;CHAR(10),""),IF(P219&gt;P213," * VL Done Targeted [Transgender People] "&amp;$P$19&amp;" "&amp;$P$20&amp;" is more than VL Done Routine"&amp;CHAR(10),""),IF(Q219&gt;Q213," * VL Done Targeted [Transgender People] "&amp;$P$19&amp;" "&amp;$Q$20&amp;" is more than VL Done Routine"&amp;CHAR(10),""),IF(R219&gt;R213," * VL Done Targeted [Transgender People] "&amp;$R$19&amp;" "&amp;$R$20&amp;" is more than VL Done Routine"&amp;CHAR(10),""),IF(S219&gt;S213," * VL Done Targeted [Transgender People] "&amp;$R$19&amp;" "&amp;$S$20&amp;" is more than VL Done Routine"&amp;CHAR(10),""),IF(T219&gt;T213," * VL Done Targeted [Transgender People] "&amp;$T$19&amp;" "&amp;$T$20&amp;" is more than VL Done Routine"&amp;CHAR(10),""),IF(U219&gt;U213," * VL Done Targeted [Transgender People] "&amp;$T$19&amp;" "&amp;$U$20&amp;" is more than VL Done Routine"&amp;CHAR(10),""),IF(V219&gt;V213," * VL Done Targeted [Transgender People] "&amp;$V$19&amp;" "&amp;$V$20&amp;" is more than VL Done Routine"&amp;CHAR(10),""),IF(W219&gt;W213," * VL Done Targeted [Transgender People] "&amp;$V$19&amp;" "&amp;$W$20&amp;" is more than VL Done Routine"&amp;CHAR(10),""),IF(X219&gt;X213," * VL Done Targeted [Transgender People] "&amp;$X$19&amp;" "&amp;$X$20&amp;" is more than VL Done Routine"&amp;CHAR(10),""),IF(Y219&gt;Y213," * VL Done Targeted [Transgender People] "&amp;$X$19&amp;" "&amp;$Y$20&amp;" is more than VL Done Routine"&amp;CHAR(10),""),IF(Z219&gt;Z213," * VL Done Targeted [Transgender People] "&amp;$Z$19&amp;" "&amp;$Z$20&amp;" is more than VL Done Routine"&amp;CHAR(10),""),IF(AA219&gt;AA213," * VL Done Targeted [Transgender People] "&amp;$Z$19&amp;" "&amp;$AA$20&amp;" is more than VL Done Routine"&amp;CHAR(10),""),IF(AB219&gt;AB213," * VL Done Targeted [Transgender People] "&amp;$AB$19&amp;" "&amp;$AB$20&amp;" is more than VL Done Routine"&amp;CHAR(10),""))</f>
        <v/>
      </c>
      <c r="AF219" s="675"/>
      <c r="AG219" s="158">
        <v>161</v>
      </c>
    </row>
    <row r="220" spans="1:47" s="4" customFormat="1" ht="53.25" customHeight="1" thickBot="1">
      <c r="A220" s="539" t="s">
        <v>229</v>
      </c>
      <c r="B220" s="539" t="s">
        <v>218</v>
      </c>
      <c r="C220" s="153" t="s">
        <v>340</v>
      </c>
      <c r="D220" s="200">
        <f t="shared" ref="D220:AB220" si="38">SUM(D221,D227)</f>
        <v>0</v>
      </c>
      <c r="E220" s="201">
        <f t="shared" si="38"/>
        <v>0</v>
      </c>
      <c r="F220" s="201">
        <f t="shared" si="38"/>
        <v>0</v>
      </c>
      <c r="G220" s="201">
        <f t="shared" si="38"/>
        <v>0</v>
      </c>
      <c r="H220" s="201">
        <f t="shared" si="38"/>
        <v>0</v>
      </c>
      <c r="I220" s="201">
        <f t="shared" si="38"/>
        <v>0</v>
      </c>
      <c r="J220" s="201">
        <f t="shared" si="38"/>
        <v>0</v>
      </c>
      <c r="K220" s="201">
        <f t="shared" si="38"/>
        <v>0</v>
      </c>
      <c r="L220" s="201">
        <f t="shared" si="38"/>
        <v>0</v>
      </c>
      <c r="M220" s="201">
        <f t="shared" si="38"/>
        <v>0</v>
      </c>
      <c r="N220" s="201">
        <f t="shared" si="38"/>
        <v>0</v>
      </c>
      <c r="O220" s="201">
        <f t="shared" si="38"/>
        <v>0</v>
      </c>
      <c r="P220" s="201">
        <f t="shared" si="38"/>
        <v>0</v>
      </c>
      <c r="Q220" s="201">
        <f t="shared" si="38"/>
        <v>0</v>
      </c>
      <c r="R220" s="201">
        <f t="shared" si="38"/>
        <v>0</v>
      </c>
      <c r="S220" s="201">
        <f t="shared" si="38"/>
        <v>0</v>
      </c>
      <c r="T220" s="201">
        <f t="shared" si="38"/>
        <v>0</v>
      </c>
      <c r="U220" s="201">
        <f t="shared" si="38"/>
        <v>0</v>
      </c>
      <c r="V220" s="201">
        <f t="shared" si="38"/>
        <v>0</v>
      </c>
      <c r="W220" s="201">
        <f t="shared" si="38"/>
        <v>0</v>
      </c>
      <c r="X220" s="201">
        <f t="shared" si="38"/>
        <v>0</v>
      </c>
      <c r="Y220" s="201">
        <f t="shared" si="38"/>
        <v>0</v>
      </c>
      <c r="Z220" s="201">
        <f t="shared" si="38"/>
        <v>0</v>
      </c>
      <c r="AA220" s="201">
        <f t="shared" si="38"/>
        <v>0</v>
      </c>
      <c r="AB220" s="201">
        <f t="shared" si="38"/>
        <v>0</v>
      </c>
      <c r="AC220" s="538"/>
      <c r="AD220" s="675"/>
      <c r="AE220" s="538"/>
      <c r="AF220" s="675"/>
      <c r="AG220" s="158"/>
    </row>
    <row r="221" spans="1:47" s="4" customFormat="1" ht="53.25" customHeight="1" thickBot="1">
      <c r="A221" s="375" t="s">
        <v>216</v>
      </c>
      <c r="B221" s="294" t="s">
        <v>216</v>
      </c>
      <c r="C221" s="153" t="s">
        <v>341</v>
      </c>
      <c r="D221" s="200">
        <f t="shared" ref="D221:L221" si="39">SUM(D222:D226)</f>
        <v>0</v>
      </c>
      <c r="E221" s="201">
        <f t="shared" si="39"/>
        <v>0</v>
      </c>
      <c r="F221" s="201">
        <f t="shared" si="39"/>
        <v>0</v>
      </c>
      <c r="G221" s="201">
        <f t="shared" si="39"/>
        <v>0</v>
      </c>
      <c r="H221" s="201">
        <f t="shared" si="39"/>
        <v>0</v>
      </c>
      <c r="I221" s="201">
        <f t="shared" si="39"/>
        <v>0</v>
      </c>
      <c r="J221" s="201">
        <f t="shared" si="39"/>
        <v>0</v>
      </c>
      <c r="K221" s="201">
        <f t="shared" si="39"/>
        <v>0</v>
      </c>
      <c r="L221" s="201">
        <f t="shared" si="39"/>
        <v>0</v>
      </c>
      <c r="M221" s="201">
        <f t="shared" ref="M221:AB221" si="40">SUM(M222:M226)</f>
        <v>0</v>
      </c>
      <c r="N221" s="201">
        <f t="shared" si="40"/>
        <v>0</v>
      </c>
      <c r="O221" s="201">
        <f t="shared" si="40"/>
        <v>0</v>
      </c>
      <c r="P221" s="201">
        <f t="shared" si="40"/>
        <v>0</v>
      </c>
      <c r="Q221" s="201">
        <f t="shared" si="40"/>
        <v>0</v>
      </c>
      <c r="R221" s="201">
        <f t="shared" si="40"/>
        <v>0</v>
      </c>
      <c r="S221" s="201">
        <f t="shared" si="40"/>
        <v>0</v>
      </c>
      <c r="T221" s="201">
        <f t="shared" si="40"/>
        <v>0</v>
      </c>
      <c r="U221" s="201">
        <f t="shared" si="40"/>
        <v>0</v>
      </c>
      <c r="V221" s="201">
        <f t="shared" si="40"/>
        <v>0</v>
      </c>
      <c r="W221" s="201">
        <f t="shared" si="40"/>
        <v>0</v>
      </c>
      <c r="X221" s="201">
        <f t="shared" si="40"/>
        <v>0</v>
      </c>
      <c r="Y221" s="201">
        <f t="shared" si="40"/>
        <v>0</v>
      </c>
      <c r="Z221" s="201">
        <f t="shared" si="40"/>
        <v>0</v>
      </c>
      <c r="AA221" s="201">
        <f t="shared" si="40"/>
        <v>0</v>
      </c>
      <c r="AB221" s="201">
        <f t="shared" si="40"/>
        <v>0</v>
      </c>
      <c r="AC221" s="296"/>
      <c r="AD221" s="675"/>
      <c r="AE221" s="203"/>
      <c r="AF221" s="675"/>
      <c r="AG221" s="158">
        <v>155</v>
      </c>
      <c r="AH221" s="6"/>
      <c r="AI221" s="6"/>
      <c r="AJ221" s="6"/>
      <c r="AK221" s="6"/>
      <c r="AL221" s="6"/>
      <c r="AM221" s="6"/>
      <c r="AN221" s="6"/>
      <c r="AO221" s="6"/>
      <c r="AP221" s="6"/>
      <c r="AQ221" s="6"/>
      <c r="AR221" s="6"/>
      <c r="AS221" s="6"/>
      <c r="AT221" s="6"/>
      <c r="AU221" s="6"/>
    </row>
    <row r="222" spans="1:47" s="4" customFormat="1" ht="53.25" customHeight="1" thickBot="1">
      <c r="A222" s="540" t="s">
        <v>78</v>
      </c>
      <c r="B222" s="204" t="s">
        <v>219</v>
      </c>
      <c r="C222" s="545" t="s">
        <v>342</v>
      </c>
      <c r="D222" s="182"/>
      <c r="E222" s="183"/>
      <c r="F222" s="182"/>
      <c r="G222" s="183"/>
      <c r="H222" s="182"/>
      <c r="I222" s="183"/>
      <c r="J222" s="182"/>
      <c r="K222" s="183"/>
      <c r="L222" s="183"/>
      <c r="M222" s="196"/>
      <c r="N222" s="183"/>
      <c r="O222" s="196"/>
      <c r="P222" s="183"/>
      <c r="Q222" s="196"/>
      <c r="R222" s="183"/>
      <c r="S222" s="196"/>
      <c r="T222" s="183"/>
      <c r="U222" s="196"/>
      <c r="V222" s="183"/>
      <c r="W222" s="196"/>
      <c r="X222" s="183"/>
      <c r="Y222" s="196"/>
      <c r="Z222" s="183"/>
      <c r="AA222" s="196"/>
      <c r="AB222" s="205">
        <f>SUM(D222:AA222)</f>
        <v>0</v>
      </c>
      <c r="AC222" s="297"/>
      <c r="AD222" s="675"/>
      <c r="AE222" s="171"/>
      <c r="AF222" s="675"/>
      <c r="AG222" s="158">
        <v>156</v>
      </c>
    </row>
    <row r="223" spans="1:47" s="4" customFormat="1" ht="53.25" customHeight="1">
      <c r="A223" s="376" t="s">
        <v>76</v>
      </c>
      <c r="B223" s="207" t="s">
        <v>220</v>
      </c>
      <c r="C223" s="547" t="s">
        <v>343</v>
      </c>
      <c r="D223" s="162"/>
      <c r="E223" s="163"/>
      <c r="F223" s="162"/>
      <c r="G223" s="163"/>
      <c r="H223" s="162"/>
      <c r="I223" s="163"/>
      <c r="J223" s="162"/>
      <c r="K223" s="163"/>
      <c r="L223" s="197"/>
      <c r="M223" s="183"/>
      <c r="N223" s="197"/>
      <c r="O223" s="183"/>
      <c r="P223" s="197"/>
      <c r="Q223" s="183"/>
      <c r="R223" s="197"/>
      <c r="S223" s="183"/>
      <c r="T223" s="197"/>
      <c r="U223" s="183"/>
      <c r="V223" s="197"/>
      <c r="W223" s="183"/>
      <c r="X223" s="197"/>
      <c r="Y223" s="183"/>
      <c r="Z223" s="197"/>
      <c r="AA223" s="183"/>
      <c r="AB223" s="208">
        <f>SUM(D223:AA223)</f>
        <v>0</v>
      </c>
      <c r="AC223" s="216"/>
      <c r="AD223" s="675"/>
      <c r="AE223" s="171"/>
      <c r="AF223" s="675"/>
      <c r="AG223" s="158">
        <v>157</v>
      </c>
    </row>
    <row r="224" spans="1:47" s="6" customFormat="1" ht="53.25" customHeight="1">
      <c r="A224" s="376" t="s">
        <v>166</v>
      </c>
      <c r="B224" s="207" t="s">
        <v>221</v>
      </c>
      <c r="C224" s="547" t="s">
        <v>344</v>
      </c>
      <c r="D224" s="162"/>
      <c r="E224" s="163"/>
      <c r="F224" s="162"/>
      <c r="G224" s="163"/>
      <c r="H224" s="162"/>
      <c r="I224" s="163"/>
      <c r="J224" s="162"/>
      <c r="K224" s="163"/>
      <c r="L224" s="197"/>
      <c r="M224" s="197"/>
      <c r="N224" s="197"/>
      <c r="O224" s="197"/>
      <c r="P224" s="197"/>
      <c r="Q224" s="197"/>
      <c r="R224" s="197"/>
      <c r="S224" s="197"/>
      <c r="T224" s="197"/>
      <c r="U224" s="197"/>
      <c r="V224" s="197"/>
      <c r="W224" s="197"/>
      <c r="X224" s="197"/>
      <c r="Y224" s="197"/>
      <c r="Z224" s="197"/>
      <c r="AA224" s="197"/>
      <c r="AB224" s="208">
        <f>SUM(D224:AA224)</f>
        <v>0</v>
      </c>
      <c r="AC224" s="216"/>
      <c r="AD224" s="675"/>
      <c r="AE224" s="171"/>
      <c r="AF224" s="675"/>
      <c r="AG224" s="158">
        <v>159</v>
      </c>
      <c r="AH224" s="4"/>
      <c r="AI224" s="4"/>
      <c r="AJ224" s="4"/>
      <c r="AK224" s="4"/>
      <c r="AL224" s="4"/>
      <c r="AM224" s="4"/>
      <c r="AN224" s="4"/>
      <c r="AO224" s="4"/>
      <c r="AP224" s="4"/>
      <c r="AQ224" s="4"/>
      <c r="AR224" s="4"/>
      <c r="AS224" s="4"/>
      <c r="AT224" s="4"/>
      <c r="AU224" s="4"/>
    </row>
    <row r="225" spans="1:47" s="4" customFormat="1" ht="53.25" customHeight="1" thickBot="1">
      <c r="A225" s="376" t="s">
        <v>75</v>
      </c>
      <c r="B225" s="207" t="s">
        <v>222</v>
      </c>
      <c r="C225" s="547" t="s">
        <v>345</v>
      </c>
      <c r="D225" s="162"/>
      <c r="E225" s="163"/>
      <c r="F225" s="162"/>
      <c r="G225" s="163"/>
      <c r="H225" s="162"/>
      <c r="I225" s="163"/>
      <c r="J225" s="162"/>
      <c r="K225" s="163"/>
      <c r="L225" s="197"/>
      <c r="M225" s="197"/>
      <c r="N225" s="197"/>
      <c r="O225" s="197"/>
      <c r="P225" s="197"/>
      <c r="Q225" s="197"/>
      <c r="R225" s="197"/>
      <c r="S225" s="197"/>
      <c r="T225" s="197"/>
      <c r="U225" s="197"/>
      <c r="V225" s="197"/>
      <c r="W225" s="197"/>
      <c r="X225" s="197"/>
      <c r="Y225" s="197"/>
      <c r="Z225" s="197"/>
      <c r="AA225" s="197"/>
      <c r="AB225" s="210">
        <f>SUM(D225:AA225)</f>
        <v>0</v>
      </c>
      <c r="AC225" s="298"/>
      <c r="AD225" s="675"/>
      <c r="AE225" s="171"/>
      <c r="AF225" s="675"/>
      <c r="AG225" s="158">
        <v>160</v>
      </c>
    </row>
    <row r="226" spans="1:47" s="4" customFormat="1" ht="53.25" customHeight="1" thickBot="1">
      <c r="A226" s="377" t="s">
        <v>421</v>
      </c>
      <c r="B226" s="212" t="s">
        <v>223</v>
      </c>
      <c r="C226" s="546" t="s">
        <v>346</v>
      </c>
      <c r="D226" s="177"/>
      <c r="E226" s="178"/>
      <c r="F226" s="177"/>
      <c r="G226" s="178"/>
      <c r="H226" s="177"/>
      <c r="I226" s="178"/>
      <c r="J226" s="177"/>
      <c r="K226" s="178"/>
      <c r="L226" s="178"/>
      <c r="M226" s="178"/>
      <c r="N226" s="178"/>
      <c r="O226" s="178"/>
      <c r="P226" s="178"/>
      <c r="Q226" s="178"/>
      <c r="R226" s="178"/>
      <c r="S226" s="178"/>
      <c r="T226" s="178"/>
      <c r="U226" s="178"/>
      <c r="V226" s="178"/>
      <c r="W226" s="178"/>
      <c r="X226" s="178"/>
      <c r="Y226" s="178"/>
      <c r="Z226" s="178"/>
      <c r="AA226" s="213"/>
      <c r="AB226" s="214"/>
      <c r="AC226" s="216"/>
      <c r="AD226" s="675"/>
      <c r="AE226" s="171"/>
      <c r="AF226" s="675"/>
      <c r="AG226" s="158">
        <v>161</v>
      </c>
    </row>
    <row r="227" spans="1:47" s="4" customFormat="1" ht="53.25" customHeight="1" thickBot="1">
      <c r="A227" s="375" t="s">
        <v>217</v>
      </c>
      <c r="B227" s="294" t="s">
        <v>217</v>
      </c>
      <c r="C227" s="153" t="s">
        <v>347</v>
      </c>
      <c r="D227" s="200">
        <f t="shared" ref="D227:L227" si="41">SUM(D228:D232)</f>
        <v>0</v>
      </c>
      <c r="E227" s="201">
        <f t="shared" si="41"/>
        <v>0</v>
      </c>
      <c r="F227" s="201">
        <f t="shared" si="41"/>
        <v>0</v>
      </c>
      <c r="G227" s="201">
        <f t="shared" si="41"/>
        <v>0</v>
      </c>
      <c r="H227" s="201">
        <f t="shared" si="41"/>
        <v>0</v>
      </c>
      <c r="I227" s="201">
        <f t="shared" si="41"/>
        <v>0</v>
      </c>
      <c r="J227" s="201">
        <f t="shared" si="41"/>
        <v>0</v>
      </c>
      <c r="K227" s="201">
        <f t="shared" si="41"/>
        <v>0</v>
      </c>
      <c r="L227" s="201">
        <f t="shared" si="41"/>
        <v>0</v>
      </c>
      <c r="M227" s="201">
        <f t="shared" ref="M227:AA227" si="42">SUM(M228:M232)</f>
        <v>0</v>
      </c>
      <c r="N227" s="201">
        <f t="shared" si="42"/>
        <v>0</v>
      </c>
      <c r="O227" s="201">
        <f t="shared" si="42"/>
        <v>0</v>
      </c>
      <c r="P227" s="201">
        <f t="shared" si="42"/>
        <v>0</v>
      </c>
      <c r="Q227" s="201">
        <f t="shared" si="42"/>
        <v>0</v>
      </c>
      <c r="R227" s="201">
        <f t="shared" si="42"/>
        <v>0</v>
      </c>
      <c r="S227" s="201">
        <f t="shared" si="42"/>
        <v>0</v>
      </c>
      <c r="T227" s="201">
        <f t="shared" si="42"/>
        <v>0</v>
      </c>
      <c r="U227" s="201">
        <f t="shared" si="42"/>
        <v>0</v>
      </c>
      <c r="V227" s="201">
        <f t="shared" si="42"/>
        <v>0</v>
      </c>
      <c r="W227" s="201">
        <f t="shared" si="42"/>
        <v>0</v>
      </c>
      <c r="X227" s="201">
        <f t="shared" si="42"/>
        <v>0</v>
      </c>
      <c r="Y227" s="201">
        <f t="shared" si="42"/>
        <v>0</v>
      </c>
      <c r="Z227" s="201">
        <f t="shared" si="42"/>
        <v>0</v>
      </c>
      <c r="AA227" s="201">
        <f t="shared" si="42"/>
        <v>0</v>
      </c>
      <c r="AB227" s="201">
        <f>SUM(AB228:AB232)</f>
        <v>0</v>
      </c>
      <c r="AC227" s="296"/>
      <c r="AD227" s="675"/>
      <c r="AE227" s="203"/>
      <c r="AF227" s="675"/>
      <c r="AG227" s="158">
        <v>155</v>
      </c>
      <c r="AH227" s="6"/>
      <c r="AI227" s="6"/>
      <c r="AJ227" s="6"/>
      <c r="AK227" s="6"/>
      <c r="AL227" s="6"/>
      <c r="AM227" s="6"/>
      <c r="AN227" s="6"/>
      <c r="AO227" s="6"/>
      <c r="AP227" s="6"/>
      <c r="AQ227" s="6"/>
      <c r="AR227" s="6"/>
      <c r="AS227" s="6"/>
      <c r="AT227" s="6"/>
      <c r="AU227" s="6"/>
    </row>
    <row r="228" spans="1:47" s="4" customFormat="1" ht="53.25" customHeight="1" thickBot="1">
      <c r="A228" s="540" t="s">
        <v>78</v>
      </c>
      <c r="B228" s="204" t="s">
        <v>224</v>
      </c>
      <c r="C228" s="547" t="s">
        <v>348</v>
      </c>
      <c r="D228" s="182"/>
      <c r="E228" s="183"/>
      <c r="F228" s="182"/>
      <c r="G228" s="183"/>
      <c r="H228" s="182"/>
      <c r="I228" s="183"/>
      <c r="J228" s="182"/>
      <c r="K228" s="183"/>
      <c r="L228" s="183"/>
      <c r="M228" s="196"/>
      <c r="N228" s="183"/>
      <c r="O228" s="196"/>
      <c r="P228" s="183"/>
      <c r="Q228" s="196"/>
      <c r="R228" s="183"/>
      <c r="S228" s="196"/>
      <c r="T228" s="183"/>
      <c r="U228" s="196"/>
      <c r="V228" s="183"/>
      <c r="W228" s="196"/>
      <c r="X228" s="183"/>
      <c r="Y228" s="196"/>
      <c r="Z228" s="183"/>
      <c r="AA228" s="196"/>
      <c r="AB228" s="205">
        <f>SUM(D228:AA228)</f>
        <v>0</v>
      </c>
      <c r="AC228" s="297"/>
      <c r="AD228" s="675"/>
      <c r="AE228" s="171"/>
      <c r="AF228" s="675"/>
      <c r="AG228" s="158">
        <v>156</v>
      </c>
    </row>
    <row r="229" spans="1:47" s="4" customFormat="1" ht="53.25" customHeight="1">
      <c r="A229" s="376" t="s">
        <v>76</v>
      </c>
      <c r="B229" s="207" t="s">
        <v>225</v>
      </c>
      <c r="C229" s="547" t="s">
        <v>349</v>
      </c>
      <c r="D229" s="162"/>
      <c r="E229" s="163"/>
      <c r="F229" s="162"/>
      <c r="G229" s="163"/>
      <c r="H229" s="162"/>
      <c r="I229" s="163"/>
      <c r="J229" s="162"/>
      <c r="K229" s="163"/>
      <c r="L229" s="197"/>
      <c r="M229" s="183"/>
      <c r="N229" s="197"/>
      <c r="O229" s="183"/>
      <c r="P229" s="197"/>
      <c r="Q229" s="183"/>
      <c r="R229" s="197"/>
      <c r="S229" s="183"/>
      <c r="T229" s="197"/>
      <c r="U229" s="183"/>
      <c r="V229" s="197"/>
      <c r="W229" s="183"/>
      <c r="X229" s="197"/>
      <c r="Y229" s="183"/>
      <c r="Z229" s="197"/>
      <c r="AA229" s="183"/>
      <c r="AB229" s="208">
        <f>SUM(D229:AA229)</f>
        <v>0</v>
      </c>
      <c r="AC229" s="216"/>
      <c r="AD229" s="675"/>
      <c r="AE229" s="171"/>
      <c r="AF229" s="675"/>
      <c r="AG229" s="158">
        <v>157</v>
      </c>
    </row>
    <row r="230" spans="1:47" s="4" customFormat="1" ht="53.25" customHeight="1">
      <c r="A230" s="376" t="s">
        <v>166</v>
      </c>
      <c r="B230" s="207" t="s">
        <v>226</v>
      </c>
      <c r="C230" s="547" t="s">
        <v>350</v>
      </c>
      <c r="D230" s="162"/>
      <c r="E230" s="163"/>
      <c r="F230" s="162"/>
      <c r="G230" s="163"/>
      <c r="H230" s="162"/>
      <c r="I230" s="163"/>
      <c r="J230" s="162"/>
      <c r="K230" s="163"/>
      <c r="L230" s="197"/>
      <c r="M230" s="197"/>
      <c r="N230" s="197"/>
      <c r="O230" s="197"/>
      <c r="P230" s="197"/>
      <c r="Q230" s="197"/>
      <c r="R230" s="197"/>
      <c r="S230" s="197"/>
      <c r="T230" s="197"/>
      <c r="U230" s="197"/>
      <c r="V230" s="197"/>
      <c r="W230" s="197"/>
      <c r="X230" s="197"/>
      <c r="Y230" s="197"/>
      <c r="Z230" s="197"/>
      <c r="AA230" s="197"/>
      <c r="AB230" s="208">
        <f>SUM(D230:AA230)</f>
        <v>0</v>
      </c>
      <c r="AC230" s="216"/>
      <c r="AD230" s="675"/>
      <c r="AE230" s="171"/>
      <c r="AF230" s="675"/>
      <c r="AG230" s="158">
        <v>159</v>
      </c>
    </row>
    <row r="231" spans="1:47" s="6" customFormat="1" ht="53.25" customHeight="1" thickBot="1">
      <c r="A231" s="376" t="s">
        <v>75</v>
      </c>
      <c r="B231" s="207" t="s">
        <v>227</v>
      </c>
      <c r="C231" s="547" t="s">
        <v>351</v>
      </c>
      <c r="D231" s="162"/>
      <c r="E231" s="163"/>
      <c r="F231" s="162"/>
      <c r="G231" s="163"/>
      <c r="H231" s="162"/>
      <c r="I231" s="163"/>
      <c r="J231" s="162"/>
      <c r="K231" s="163"/>
      <c r="L231" s="197"/>
      <c r="M231" s="197"/>
      <c r="N231" s="197"/>
      <c r="O231" s="197"/>
      <c r="P231" s="197"/>
      <c r="Q231" s="197"/>
      <c r="R231" s="197"/>
      <c r="S231" s="197"/>
      <c r="T231" s="197"/>
      <c r="U231" s="197"/>
      <c r="V231" s="197"/>
      <c r="W231" s="197"/>
      <c r="X231" s="197"/>
      <c r="Y231" s="197"/>
      <c r="Z231" s="197"/>
      <c r="AA231" s="197"/>
      <c r="AB231" s="210">
        <f>SUM(D231:AA231)</f>
        <v>0</v>
      </c>
      <c r="AC231" s="298"/>
      <c r="AD231" s="675"/>
      <c r="AE231" s="171"/>
      <c r="AF231" s="675"/>
      <c r="AG231" s="158">
        <v>160</v>
      </c>
      <c r="AH231" s="4"/>
      <c r="AI231" s="4"/>
      <c r="AJ231" s="4"/>
      <c r="AK231" s="4"/>
      <c r="AL231" s="4"/>
      <c r="AM231" s="4"/>
      <c r="AN231" s="4"/>
      <c r="AO231" s="4"/>
      <c r="AP231" s="4"/>
      <c r="AQ231" s="4"/>
      <c r="AR231" s="4"/>
      <c r="AS231" s="4"/>
      <c r="AT231" s="4"/>
      <c r="AU231" s="4"/>
    </row>
    <row r="232" spans="1:47" s="4" customFormat="1" ht="53.25" customHeight="1" thickBot="1">
      <c r="A232" s="380" t="s">
        <v>421</v>
      </c>
      <c r="B232" s="299" t="s">
        <v>228</v>
      </c>
      <c r="C232" s="547" t="s">
        <v>352</v>
      </c>
      <c r="D232" s="247"/>
      <c r="E232" s="248"/>
      <c r="F232" s="247"/>
      <c r="G232" s="248"/>
      <c r="H232" s="247"/>
      <c r="I232" s="248"/>
      <c r="J232" s="247"/>
      <c r="K232" s="248"/>
      <c r="L232" s="248"/>
      <c r="M232" s="248"/>
      <c r="N232" s="248"/>
      <c r="O232" s="248"/>
      <c r="P232" s="248"/>
      <c r="Q232" s="248"/>
      <c r="R232" s="248"/>
      <c r="S232" s="248"/>
      <c r="T232" s="248"/>
      <c r="U232" s="248"/>
      <c r="V232" s="248"/>
      <c r="W232" s="248"/>
      <c r="X232" s="248"/>
      <c r="Y232" s="248"/>
      <c r="Z232" s="248"/>
      <c r="AA232" s="300"/>
      <c r="AB232" s="301"/>
      <c r="AC232" s="302"/>
      <c r="AD232" s="675"/>
      <c r="AE232" s="303"/>
      <c r="AF232" s="676"/>
      <c r="AG232" s="158">
        <v>161</v>
      </c>
    </row>
    <row r="233" spans="1:47" s="4" customFormat="1" ht="53.25" customHeight="1" thickBot="1">
      <c r="A233" s="688" t="s">
        <v>1034</v>
      </c>
      <c r="B233" s="689"/>
      <c r="C233" s="692"/>
      <c r="D233" s="689"/>
      <c r="E233" s="689"/>
      <c r="F233" s="689"/>
      <c r="G233" s="689"/>
      <c r="H233" s="689"/>
      <c r="I233" s="689"/>
      <c r="J233" s="689"/>
      <c r="K233" s="689"/>
      <c r="L233" s="689"/>
      <c r="M233" s="689"/>
      <c r="N233" s="689"/>
      <c r="O233" s="689"/>
      <c r="P233" s="689"/>
      <c r="Q233" s="689"/>
      <c r="R233" s="689"/>
      <c r="S233" s="689"/>
      <c r="T233" s="689"/>
      <c r="U233" s="689"/>
      <c r="V233" s="689"/>
      <c r="W233" s="689"/>
      <c r="X233" s="689"/>
      <c r="Y233" s="689"/>
      <c r="Z233" s="689"/>
      <c r="AA233" s="689"/>
      <c r="AB233" s="692"/>
      <c r="AC233" s="689"/>
      <c r="AD233" s="689"/>
      <c r="AE233" s="689"/>
      <c r="AF233" s="691"/>
      <c r="AG233" s="158">
        <v>154</v>
      </c>
    </row>
    <row r="234" spans="1:47" s="4" customFormat="1" ht="53.25" customHeight="1" thickBot="1">
      <c r="A234" s="384" t="s">
        <v>837</v>
      </c>
      <c r="B234" s="341" t="s">
        <v>837</v>
      </c>
      <c r="C234" s="547" t="s">
        <v>846</v>
      </c>
      <c r="D234" s="342">
        <f>SUM(D235:D246)</f>
        <v>0</v>
      </c>
      <c r="E234" s="342">
        <f t="shared" ref="E234:AA234" si="43">SUM(E235:E246)</f>
        <v>0</v>
      </c>
      <c r="F234" s="342">
        <f t="shared" si="43"/>
        <v>0</v>
      </c>
      <c r="G234" s="342">
        <f t="shared" si="43"/>
        <v>0</v>
      </c>
      <c r="H234" s="342">
        <f t="shared" si="43"/>
        <v>0</v>
      </c>
      <c r="I234" s="342">
        <f t="shared" si="43"/>
        <v>0</v>
      </c>
      <c r="J234" s="342">
        <f t="shared" si="43"/>
        <v>0</v>
      </c>
      <c r="K234" s="342">
        <f t="shared" si="43"/>
        <v>0</v>
      </c>
      <c r="L234" s="342">
        <f t="shared" si="43"/>
        <v>0</v>
      </c>
      <c r="M234" s="342">
        <f t="shared" si="43"/>
        <v>0</v>
      </c>
      <c r="N234" s="342">
        <f t="shared" si="43"/>
        <v>0</v>
      </c>
      <c r="O234" s="342">
        <f t="shared" si="43"/>
        <v>0</v>
      </c>
      <c r="P234" s="342">
        <f t="shared" si="43"/>
        <v>0</v>
      </c>
      <c r="Q234" s="342">
        <f t="shared" si="43"/>
        <v>0</v>
      </c>
      <c r="R234" s="342">
        <f t="shared" si="43"/>
        <v>0</v>
      </c>
      <c r="S234" s="342">
        <f t="shared" si="43"/>
        <v>0</v>
      </c>
      <c r="T234" s="342">
        <f t="shared" si="43"/>
        <v>0</v>
      </c>
      <c r="U234" s="342">
        <f t="shared" si="43"/>
        <v>0</v>
      </c>
      <c r="V234" s="342">
        <f t="shared" si="43"/>
        <v>0</v>
      </c>
      <c r="W234" s="342">
        <f t="shared" si="43"/>
        <v>0</v>
      </c>
      <c r="X234" s="342">
        <f t="shared" si="43"/>
        <v>0</v>
      </c>
      <c r="Y234" s="342">
        <f t="shared" si="43"/>
        <v>0</v>
      </c>
      <c r="Z234" s="342">
        <f t="shared" si="43"/>
        <v>0</v>
      </c>
      <c r="AA234" s="342">
        <f t="shared" si="43"/>
        <v>0</v>
      </c>
      <c r="AB234" s="342">
        <f>SUM(AB235:AB246)</f>
        <v>0</v>
      </c>
      <c r="AC234" s="343"/>
      <c r="AD234" s="674" t="str">
        <f>CONCATENATE(AC234,AC235,AC236,AC237,AC238,AC239,AC240,AC241,AC242,AC243,AC244,AC245,AC246)</f>
        <v/>
      </c>
      <c r="AE234" s="203"/>
      <c r="AF234" s="671" t="str">
        <f>CONCATENATE(AE234,AE235,AE236,AE237,AE238,AE239,AE240)</f>
        <v/>
      </c>
      <c r="AG234" s="158">
        <v>155</v>
      </c>
      <c r="AH234" s="6"/>
      <c r="AI234" s="6"/>
      <c r="AJ234" s="6"/>
      <c r="AK234" s="6"/>
      <c r="AL234" s="6"/>
      <c r="AM234" s="6"/>
      <c r="AN234" s="6"/>
      <c r="AO234" s="6"/>
      <c r="AP234" s="6"/>
      <c r="AQ234" s="6"/>
      <c r="AR234" s="6"/>
      <c r="AS234" s="6"/>
      <c r="AT234" s="6"/>
      <c r="AU234" s="6"/>
    </row>
    <row r="235" spans="1:47" s="4" customFormat="1" ht="53.25" customHeight="1">
      <c r="A235" s="863" t="s">
        <v>839</v>
      </c>
      <c r="B235" s="307" t="s">
        <v>840</v>
      </c>
      <c r="C235" s="545" t="s">
        <v>847</v>
      </c>
      <c r="D235" s="356"/>
      <c r="E235" s="349"/>
      <c r="F235" s="349"/>
      <c r="G235" s="349"/>
      <c r="H235" s="349"/>
      <c r="I235" s="349"/>
      <c r="J235" s="349"/>
      <c r="K235" s="349"/>
      <c r="L235" s="350"/>
      <c r="M235" s="349"/>
      <c r="N235" s="350"/>
      <c r="O235" s="349"/>
      <c r="P235" s="350"/>
      <c r="Q235" s="349"/>
      <c r="R235" s="350"/>
      <c r="S235" s="349"/>
      <c r="T235" s="350"/>
      <c r="U235" s="349"/>
      <c r="V235" s="350"/>
      <c r="W235" s="349"/>
      <c r="X235" s="350"/>
      <c r="Y235" s="349"/>
      <c r="Z235" s="350"/>
      <c r="AA235" s="351"/>
      <c r="AB235" s="346">
        <f t="shared" ref="AB235:AB246" si="44">SUM(D235:AA235)</f>
        <v>0</v>
      </c>
      <c r="AC235" s="206"/>
      <c r="AD235" s="675"/>
      <c r="AE235" s="171"/>
      <c r="AF235" s="672"/>
      <c r="AG235" s="158">
        <v>156</v>
      </c>
    </row>
    <row r="236" spans="1:47" s="4" customFormat="1" ht="53.25" customHeight="1">
      <c r="A236" s="864"/>
      <c r="B236" s="207" t="s">
        <v>841</v>
      </c>
      <c r="C236" s="547" t="s">
        <v>848</v>
      </c>
      <c r="D236" s="357"/>
      <c r="E236" s="344"/>
      <c r="F236" s="344"/>
      <c r="G236" s="344"/>
      <c r="H236" s="344"/>
      <c r="I236" s="344"/>
      <c r="J236" s="344"/>
      <c r="K236" s="344"/>
      <c r="L236" s="345"/>
      <c r="M236" s="344"/>
      <c r="N236" s="345"/>
      <c r="O236" s="344"/>
      <c r="P236" s="345"/>
      <c r="Q236" s="344"/>
      <c r="R236" s="345"/>
      <c r="S236" s="344"/>
      <c r="T236" s="345"/>
      <c r="U236" s="344"/>
      <c r="V236" s="345"/>
      <c r="W236" s="344"/>
      <c r="X236" s="345"/>
      <c r="Y236" s="344"/>
      <c r="Z236" s="345"/>
      <c r="AA236" s="352"/>
      <c r="AB236" s="347">
        <f t="shared" si="44"/>
        <v>0</v>
      </c>
      <c r="AC236" s="209"/>
      <c r="AD236" s="675"/>
      <c r="AE236" s="171"/>
      <c r="AF236" s="672"/>
      <c r="AG236" s="158">
        <v>157</v>
      </c>
    </row>
    <row r="237" spans="1:47" s="4" customFormat="1" ht="53.25" customHeight="1">
      <c r="A237" s="864"/>
      <c r="B237" s="207" t="s">
        <v>842</v>
      </c>
      <c r="C237" s="547" t="s">
        <v>849</v>
      </c>
      <c r="D237" s="357"/>
      <c r="E237" s="344"/>
      <c r="F237" s="344"/>
      <c r="G237" s="344"/>
      <c r="H237" s="344"/>
      <c r="I237" s="344"/>
      <c r="J237" s="344"/>
      <c r="K237" s="344"/>
      <c r="L237" s="345"/>
      <c r="M237" s="344"/>
      <c r="N237" s="345"/>
      <c r="O237" s="344"/>
      <c r="P237" s="345"/>
      <c r="Q237" s="344"/>
      <c r="R237" s="345"/>
      <c r="S237" s="344"/>
      <c r="T237" s="345"/>
      <c r="U237" s="344"/>
      <c r="V237" s="345"/>
      <c r="W237" s="344"/>
      <c r="X237" s="345"/>
      <c r="Y237" s="344"/>
      <c r="Z237" s="345"/>
      <c r="AA237" s="352"/>
      <c r="AB237" s="347">
        <f t="shared" si="44"/>
        <v>0</v>
      </c>
      <c r="AC237" s="209"/>
      <c r="AD237" s="675"/>
      <c r="AE237" s="171"/>
      <c r="AF237" s="672"/>
      <c r="AG237" s="158">
        <v>158</v>
      </c>
    </row>
    <row r="238" spans="1:47" s="4" customFormat="1" ht="53.25" customHeight="1">
      <c r="A238" s="864"/>
      <c r="B238" s="270" t="s">
        <v>843</v>
      </c>
      <c r="C238" s="547" t="s">
        <v>850</v>
      </c>
      <c r="D238" s="357"/>
      <c r="E238" s="344"/>
      <c r="F238" s="344"/>
      <c r="G238" s="344"/>
      <c r="H238" s="344"/>
      <c r="I238" s="344"/>
      <c r="J238" s="344"/>
      <c r="K238" s="344"/>
      <c r="L238" s="345"/>
      <c r="M238" s="344"/>
      <c r="N238" s="345"/>
      <c r="O238" s="344"/>
      <c r="P238" s="345"/>
      <c r="Q238" s="344"/>
      <c r="R238" s="345"/>
      <c r="S238" s="344"/>
      <c r="T238" s="345"/>
      <c r="U238" s="344"/>
      <c r="V238" s="345"/>
      <c r="W238" s="344"/>
      <c r="X238" s="345"/>
      <c r="Y238" s="344"/>
      <c r="Z238" s="345"/>
      <c r="AA238" s="352"/>
      <c r="AB238" s="347">
        <f t="shared" si="44"/>
        <v>0</v>
      </c>
      <c r="AC238" s="209"/>
      <c r="AD238" s="675"/>
      <c r="AE238" s="171"/>
      <c r="AF238" s="672"/>
      <c r="AG238" s="158">
        <v>159</v>
      </c>
    </row>
    <row r="239" spans="1:47" s="4" customFormat="1" ht="53.25" customHeight="1" thickBot="1">
      <c r="A239" s="864"/>
      <c r="B239" s="207" t="s">
        <v>844</v>
      </c>
      <c r="C239" s="547" t="s">
        <v>851</v>
      </c>
      <c r="D239" s="357"/>
      <c r="E239" s="344"/>
      <c r="F239" s="344"/>
      <c r="G239" s="344"/>
      <c r="H239" s="344"/>
      <c r="I239" s="344"/>
      <c r="J239" s="344"/>
      <c r="K239" s="344"/>
      <c r="L239" s="345"/>
      <c r="M239" s="344"/>
      <c r="N239" s="345"/>
      <c r="O239" s="344"/>
      <c r="P239" s="345"/>
      <c r="Q239" s="344"/>
      <c r="R239" s="345"/>
      <c r="S239" s="344"/>
      <c r="T239" s="345"/>
      <c r="U239" s="344"/>
      <c r="V239" s="345"/>
      <c r="W239" s="344"/>
      <c r="X239" s="345"/>
      <c r="Y239" s="344"/>
      <c r="Z239" s="345"/>
      <c r="AA239" s="352"/>
      <c r="AB239" s="347">
        <f t="shared" si="44"/>
        <v>0</v>
      </c>
      <c r="AC239" s="211"/>
      <c r="AD239" s="675"/>
      <c r="AE239" s="171"/>
      <c r="AF239" s="672"/>
      <c r="AG239" s="158">
        <v>160</v>
      </c>
    </row>
    <row r="240" spans="1:47" s="4" customFormat="1" ht="53.25" customHeight="1" thickBot="1">
      <c r="A240" s="865"/>
      <c r="B240" s="212" t="s">
        <v>845</v>
      </c>
      <c r="C240" s="546" t="s">
        <v>852</v>
      </c>
      <c r="D240" s="358"/>
      <c r="E240" s="353"/>
      <c r="F240" s="353"/>
      <c r="G240" s="353"/>
      <c r="H240" s="353"/>
      <c r="I240" s="353"/>
      <c r="J240" s="353"/>
      <c r="K240" s="353"/>
      <c r="L240" s="354"/>
      <c r="M240" s="353"/>
      <c r="N240" s="354"/>
      <c r="O240" s="353"/>
      <c r="P240" s="354"/>
      <c r="Q240" s="353"/>
      <c r="R240" s="354"/>
      <c r="S240" s="353"/>
      <c r="T240" s="354"/>
      <c r="U240" s="353"/>
      <c r="V240" s="354"/>
      <c r="W240" s="353"/>
      <c r="X240" s="354"/>
      <c r="Y240" s="353"/>
      <c r="Z240" s="354"/>
      <c r="AA240" s="355"/>
      <c r="AB240" s="348">
        <f t="shared" si="44"/>
        <v>0</v>
      </c>
      <c r="AC240" s="211"/>
      <c r="AD240" s="675"/>
      <c r="AE240" s="171"/>
      <c r="AF240" s="672"/>
      <c r="AG240" s="158">
        <v>161</v>
      </c>
    </row>
    <row r="241" spans="1:47" s="4" customFormat="1" ht="53.25" customHeight="1">
      <c r="A241" s="677" t="s">
        <v>838</v>
      </c>
      <c r="B241" s="204" t="s">
        <v>840</v>
      </c>
      <c r="C241" s="545" t="s">
        <v>853</v>
      </c>
      <c r="D241" s="359"/>
      <c r="E241" s="349"/>
      <c r="F241" s="349"/>
      <c r="G241" s="349"/>
      <c r="H241" s="349"/>
      <c r="I241" s="349"/>
      <c r="J241" s="349"/>
      <c r="K241" s="349"/>
      <c r="L241" s="349"/>
      <c r="M241" s="350"/>
      <c r="N241" s="349"/>
      <c r="O241" s="350"/>
      <c r="P241" s="349"/>
      <c r="Q241" s="350"/>
      <c r="R241" s="349"/>
      <c r="S241" s="350"/>
      <c r="T241" s="349"/>
      <c r="U241" s="350"/>
      <c r="V241" s="349"/>
      <c r="W241" s="350"/>
      <c r="X241" s="349"/>
      <c r="Y241" s="350"/>
      <c r="Z241" s="349"/>
      <c r="AA241" s="360"/>
      <c r="AB241" s="135">
        <f t="shared" si="44"/>
        <v>0</v>
      </c>
      <c r="AC241" s="321"/>
      <c r="AD241" s="675"/>
      <c r="AE241" s="171"/>
      <c r="AF241" s="672"/>
      <c r="AG241" s="158">
        <v>156</v>
      </c>
    </row>
    <row r="242" spans="1:47" s="4" customFormat="1" ht="53.25" customHeight="1">
      <c r="A242" s="678"/>
      <c r="B242" s="207" t="s">
        <v>841</v>
      </c>
      <c r="C242" s="547" t="s">
        <v>854</v>
      </c>
      <c r="D242" s="361"/>
      <c r="E242" s="344"/>
      <c r="F242" s="344"/>
      <c r="G242" s="344"/>
      <c r="H242" s="344"/>
      <c r="I242" s="344"/>
      <c r="J242" s="344"/>
      <c r="K242" s="344"/>
      <c r="L242" s="344"/>
      <c r="M242" s="345"/>
      <c r="N242" s="344"/>
      <c r="O242" s="345"/>
      <c r="P242" s="344"/>
      <c r="Q242" s="345"/>
      <c r="R242" s="344"/>
      <c r="S242" s="345"/>
      <c r="T242" s="344"/>
      <c r="U242" s="345"/>
      <c r="V242" s="344"/>
      <c r="W242" s="345"/>
      <c r="X242" s="344"/>
      <c r="Y242" s="345"/>
      <c r="Z242" s="344"/>
      <c r="AA242" s="362"/>
      <c r="AB242" s="135">
        <f t="shared" si="44"/>
        <v>0</v>
      </c>
      <c r="AC242" s="209"/>
      <c r="AD242" s="675"/>
      <c r="AE242" s="171"/>
      <c r="AF242" s="672"/>
      <c r="AG242" s="158">
        <v>157</v>
      </c>
    </row>
    <row r="243" spans="1:47" s="4" customFormat="1" ht="53.25" customHeight="1">
      <c r="A243" s="678"/>
      <c r="B243" s="207" t="s">
        <v>842</v>
      </c>
      <c r="C243" s="547" t="s">
        <v>855</v>
      </c>
      <c r="D243" s="361"/>
      <c r="E243" s="344"/>
      <c r="F243" s="344"/>
      <c r="G243" s="344"/>
      <c r="H243" s="344"/>
      <c r="I243" s="344"/>
      <c r="J243" s="344"/>
      <c r="K243" s="344"/>
      <c r="L243" s="344"/>
      <c r="M243" s="345"/>
      <c r="N243" s="344"/>
      <c r="O243" s="345"/>
      <c r="P243" s="344"/>
      <c r="Q243" s="345"/>
      <c r="R243" s="344"/>
      <c r="S243" s="345"/>
      <c r="T243" s="344"/>
      <c r="U243" s="345"/>
      <c r="V243" s="344"/>
      <c r="W243" s="345"/>
      <c r="X243" s="344"/>
      <c r="Y243" s="345"/>
      <c r="Z243" s="344"/>
      <c r="AA243" s="362"/>
      <c r="AB243" s="135">
        <f t="shared" si="44"/>
        <v>0</v>
      </c>
      <c r="AC243" s="209"/>
      <c r="AD243" s="675"/>
      <c r="AE243" s="171"/>
      <c r="AF243" s="672"/>
      <c r="AG243" s="158">
        <v>158</v>
      </c>
    </row>
    <row r="244" spans="1:47" s="4" customFormat="1" ht="53.25" customHeight="1">
      <c r="A244" s="678"/>
      <c r="B244" s="270" t="s">
        <v>843</v>
      </c>
      <c r="C244" s="547" t="s">
        <v>856</v>
      </c>
      <c r="D244" s="361"/>
      <c r="E244" s="344"/>
      <c r="F244" s="344"/>
      <c r="G244" s="344"/>
      <c r="H244" s="344"/>
      <c r="I244" s="344"/>
      <c r="J244" s="344"/>
      <c r="K244" s="344"/>
      <c r="L244" s="344"/>
      <c r="M244" s="345"/>
      <c r="N244" s="344"/>
      <c r="O244" s="345"/>
      <c r="P244" s="344"/>
      <c r="Q244" s="345"/>
      <c r="R244" s="344"/>
      <c r="S244" s="345"/>
      <c r="T244" s="344"/>
      <c r="U244" s="345"/>
      <c r="V244" s="344"/>
      <c r="W244" s="345"/>
      <c r="X244" s="344"/>
      <c r="Y244" s="345"/>
      <c r="Z244" s="344"/>
      <c r="AA244" s="362"/>
      <c r="AB244" s="135">
        <f t="shared" si="44"/>
        <v>0</v>
      </c>
      <c r="AC244" s="209"/>
      <c r="AD244" s="675"/>
      <c r="AE244" s="171"/>
      <c r="AF244" s="672"/>
      <c r="AG244" s="158">
        <v>159</v>
      </c>
    </row>
    <row r="245" spans="1:47" s="370" customFormat="1" ht="53.25" customHeight="1" thickBot="1">
      <c r="A245" s="678"/>
      <c r="B245" s="207" t="s">
        <v>844</v>
      </c>
      <c r="C245" s="547" t="s">
        <v>857</v>
      </c>
      <c r="D245" s="361"/>
      <c r="E245" s="344"/>
      <c r="F245" s="344"/>
      <c r="G245" s="344"/>
      <c r="H245" s="344"/>
      <c r="I245" s="344"/>
      <c r="J245" s="344"/>
      <c r="K245" s="344"/>
      <c r="L245" s="344"/>
      <c r="M245" s="345"/>
      <c r="N245" s="344"/>
      <c r="O245" s="345"/>
      <c r="P245" s="344"/>
      <c r="Q245" s="345"/>
      <c r="R245" s="344"/>
      <c r="S245" s="345"/>
      <c r="T245" s="344"/>
      <c r="U245" s="345"/>
      <c r="V245" s="344"/>
      <c r="W245" s="345"/>
      <c r="X245" s="344"/>
      <c r="Y245" s="345"/>
      <c r="Z245" s="344"/>
      <c r="AA245" s="362"/>
      <c r="AB245" s="135">
        <f t="shared" si="44"/>
        <v>0</v>
      </c>
      <c r="AC245" s="211"/>
      <c r="AD245" s="675"/>
      <c r="AE245" s="171"/>
      <c r="AF245" s="672"/>
      <c r="AG245" s="158">
        <v>160</v>
      </c>
      <c r="AH245" s="4"/>
      <c r="AI245" s="4"/>
      <c r="AJ245" s="4"/>
      <c r="AK245" s="4"/>
      <c r="AL245" s="4"/>
      <c r="AM245" s="4"/>
      <c r="AN245" s="4"/>
      <c r="AO245" s="4"/>
      <c r="AP245" s="4"/>
      <c r="AQ245" s="4"/>
      <c r="AR245" s="4"/>
      <c r="AS245" s="4"/>
      <c r="AT245" s="4"/>
      <c r="AU245" s="4"/>
    </row>
    <row r="246" spans="1:47" s="4" customFormat="1" ht="53.25" customHeight="1" thickBot="1">
      <c r="A246" s="679"/>
      <c r="B246" s="212" t="s">
        <v>845</v>
      </c>
      <c r="C246" s="546" t="s">
        <v>858</v>
      </c>
      <c r="D246" s="363"/>
      <c r="E246" s="353"/>
      <c r="F246" s="353"/>
      <c r="G246" s="353"/>
      <c r="H246" s="353"/>
      <c r="I246" s="353"/>
      <c r="J246" s="353"/>
      <c r="K246" s="353"/>
      <c r="L246" s="353"/>
      <c r="M246" s="354"/>
      <c r="N246" s="353"/>
      <c r="O246" s="354"/>
      <c r="P246" s="353"/>
      <c r="Q246" s="354"/>
      <c r="R246" s="353"/>
      <c r="S246" s="354"/>
      <c r="T246" s="353"/>
      <c r="U246" s="354"/>
      <c r="V246" s="353"/>
      <c r="W246" s="354"/>
      <c r="X246" s="353"/>
      <c r="Y246" s="354"/>
      <c r="Z246" s="353"/>
      <c r="AA246" s="364"/>
      <c r="AB246" s="140">
        <f t="shared" si="44"/>
        <v>0</v>
      </c>
      <c r="AC246" s="211"/>
      <c r="AD246" s="676"/>
      <c r="AE246" s="171"/>
      <c r="AF246" s="673"/>
      <c r="AG246" s="158">
        <v>161</v>
      </c>
    </row>
    <row r="247" spans="1:47" s="4" customFormat="1" ht="49.5" customHeight="1" thickBot="1">
      <c r="A247" s="842" t="s">
        <v>230</v>
      </c>
      <c r="B247" s="843"/>
      <c r="C247" s="843"/>
      <c r="D247" s="843"/>
      <c r="E247" s="843"/>
      <c r="F247" s="843"/>
      <c r="G247" s="843"/>
      <c r="H247" s="843"/>
      <c r="I247" s="843"/>
      <c r="J247" s="843"/>
      <c r="K247" s="843"/>
      <c r="L247" s="843"/>
      <c r="M247" s="843"/>
      <c r="N247" s="843"/>
      <c r="O247" s="843"/>
      <c r="P247" s="843"/>
      <c r="Q247" s="843"/>
      <c r="R247" s="843"/>
      <c r="S247" s="843"/>
      <c r="T247" s="843"/>
      <c r="U247" s="843"/>
      <c r="V247" s="843"/>
      <c r="W247" s="843"/>
      <c r="X247" s="843"/>
      <c r="Y247" s="843"/>
      <c r="Z247" s="843"/>
      <c r="AA247" s="843"/>
      <c r="AB247" s="843"/>
      <c r="AC247" s="843"/>
      <c r="AD247" s="867"/>
      <c r="AE247" s="843"/>
      <c r="AF247" s="868"/>
      <c r="AG247" s="157">
        <v>93</v>
      </c>
    </row>
    <row r="248" spans="1:47" s="4" customFormat="1" ht="32.25" thickBot="1">
      <c r="A248" s="688" t="s">
        <v>1029</v>
      </c>
      <c r="B248" s="689"/>
      <c r="C248" s="690"/>
      <c r="D248" s="689"/>
      <c r="E248" s="689"/>
      <c r="F248" s="689"/>
      <c r="G248" s="689"/>
      <c r="H248" s="689"/>
      <c r="I248" s="689"/>
      <c r="J248" s="689"/>
      <c r="K248" s="689"/>
      <c r="L248" s="723"/>
      <c r="M248" s="723"/>
      <c r="N248" s="723"/>
      <c r="O248" s="723"/>
      <c r="P248" s="723"/>
      <c r="Q248" s="723"/>
      <c r="R248" s="723"/>
      <c r="S248" s="723"/>
      <c r="T248" s="723"/>
      <c r="U248" s="723"/>
      <c r="V248" s="723"/>
      <c r="W248" s="723"/>
      <c r="X248" s="723"/>
      <c r="Y248" s="723"/>
      <c r="Z248" s="723"/>
      <c r="AA248" s="723"/>
      <c r="AB248" s="692"/>
      <c r="AC248" s="689"/>
      <c r="AD248" s="689"/>
      <c r="AE248" s="689"/>
      <c r="AF248" s="848"/>
      <c r="AG248" s="369">
        <v>154</v>
      </c>
      <c r="AH248" s="370"/>
      <c r="AI248" s="370"/>
      <c r="AJ248" s="370"/>
      <c r="AK248" s="370"/>
      <c r="AL248" s="370"/>
      <c r="AM248" s="370"/>
      <c r="AN248" s="370"/>
      <c r="AO248" s="370"/>
      <c r="AP248" s="370"/>
      <c r="AQ248" s="370"/>
      <c r="AR248" s="370"/>
      <c r="AS248" s="370"/>
      <c r="AT248" s="370"/>
      <c r="AU248" s="370"/>
    </row>
    <row r="249" spans="1:47" s="4" customFormat="1" ht="42" customHeight="1" thickBot="1">
      <c r="A249" s="857" t="s">
        <v>925</v>
      </c>
      <c r="B249" s="204" t="s">
        <v>926</v>
      </c>
      <c r="C249" s="367" t="s">
        <v>907</v>
      </c>
      <c r="D249" s="182"/>
      <c r="E249" s="183"/>
      <c r="F249" s="182"/>
      <c r="G249" s="183"/>
      <c r="H249" s="182"/>
      <c r="I249" s="183"/>
      <c r="J249" s="182"/>
      <c r="K249" s="227"/>
      <c r="L249" s="561"/>
      <c r="M249" s="562"/>
      <c r="N249" s="563"/>
      <c r="O249" s="562"/>
      <c r="P249" s="563"/>
      <c r="Q249" s="562"/>
      <c r="R249" s="563"/>
      <c r="S249" s="562"/>
      <c r="T249" s="563"/>
      <c r="U249" s="562"/>
      <c r="V249" s="563"/>
      <c r="W249" s="562"/>
      <c r="X249" s="563"/>
      <c r="Y249" s="562"/>
      <c r="Z249" s="563"/>
      <c r="AA249" s="564"/>
      <c r="AB249" s="135">
        <f>SUM(D249:AA249)</f>
        <v>0</v>
      </c>
      <c r="AC249" s="206" t="str">
        <f>CONCATENATE(IF(D55&lt;(D66+D249)," * Prep_New + Prep_New_Verify FSW   "&amp;$D$19&amp;" "&amp;$D$20&amp;" should be less than or equal to Prep_Offer"&amp;CHAR(10),""),IF(E55&lt;(E66+E249)," * Prep_New + Prep_New_Verify FSW   "&amp;$D$19&amp;" "&amp;$E$20&amp;" should be less than or equal to Prep_Offer"&amp;CHAR(10),""),IF(F55&lt;(F66+F249)," * Prep_New + Prep_New_Verify FSW   "&amp;$F$19&amp;" "&amp;$F$20&amp;" should be less than or equal to Prep_Offer"&amp;CHAR(10),""),IF(G55&lt;(G66+G249)," * Prep_New + Prep_New_Verify FSW   "&amp;$F$19&amp;" "&amp;$G$20&amp;" should be less than or equal to Prep_Offer"&amp;CHAR(10),""),IF(H55&lt;(H66+H249)," * Prep_New + Prep_New_Verify FSW   "&amp;$H$19&amp;" "&amp;$H$20&amp;" should be less than or equal to Prep_Offer"&amp;CHAR(10),""),IF(I55&lt;(I66+I249)," * Prep_New + Prep_New_Verify FSW   "&amp;$H$19&amp;" "&amp;$I$20&amp;" should be less than or equal to Prep_Offer"&amp;CHAR(10),""),IF(J55&lt;(J66+J249)," * Prep_New + Prep_New_Verify FSW   "&amp;$J$19&amp;" "&amp;$J$20&amp;" should be less than or equal to Prep_Offer"&amp;CHAR(10),""),IF(K55&lt;(K66+K249)," * Prep_New + Prep_New_Verify FSW   "&amp;$J$19&amp;" "&amp;$K$20&amp;" should be less than or equal to Prep_Offer"&amp;CHAR(10),""),IF(L55&lt;(L66+L249)," * Prep_New + Prep_New_Verify FSW   "&amp;$L$19&amp;" "&amp;$L$20&amp;" should be less than or equal to Prep_Offer"&amp;CHAR(10),""),IF(M55&lt;(M66+M249)," * Prep_New + Prep_New_Verify FSW   "&amp;$L$19&amp;" "&amp;$M$20&amp;" should be less than or equal to Prep_Offer"&amp;CHAR(10),""),IF(N55&lt;(N66+N249)," * Prep_New + Prep_New_Verify FSW   "&amp;$N$19&amp;" "&amp;$N$20&amp;" should be less than or equal to Prep_Offer"&amp;CHAR(10),""),IF(O55&lt;(O66+O249)," * Prep_New + Prep_New_Verify FSW   "&amp;$N$19&amp;" "&amp;$O$20&amp;" should be less than or equal to Prep_Offer"&amp;CHAR(10),""),IF(P55&lt;(P66+P249)," * Prep_New + Prep_New_Verify FSW   "&amp;$P$19&amp;" "&amp;$P$20&amp;" should be less than or equal to Prep_Offer"&amp;CHAR(10),""),IF(Q55&lt;(Q66+Q249)," * Prep_New + Prep_New_Verify FSW   "&amp;$P$19&amp;" "&amp;$Q$20&amp;" should be less than or equal to Prep_Offer"&amp;CHAR(10),""),IF(R55&lt;(R66+R249)," * Prep_New + Prep_New_Verify FSW   "&amp;$R$19&amp;" "&amp;$R$20&amp;" should be less than or equal to Prep_Offer"&amp;CHAR(10),""),IF(S55&lt;(S66+S249)," * Prep_New + Prep_New_Verify FSW   "&amp;$R$19&amp;" "&amp;$S$20&amp;" should be less than or equal to Prep_Offer"&amp;CHAR(10),""),IF(T55&lt;(T66+T249)," * Prep_New + Prep_New_Verify FSW   "&amp;$T$19&amp;" "&amp;$T$20&amp;" should be less than or equal to Prep_Offer"&amp;CHAR(10),""),IF(U55&lt;(U66+U249)," * Prep_New + Prep_New_Verify FSW   "&amp;$T$19&amp;" "&amp;$U$20&amp;" should be less than or equal to Prep_Offer"&amp;CHAR(10),""),IF(V55&lt;(V66+V249)," * Prep_New + Prep_New_Verify FSW   "&amp;$V$19&amp;" "&amp;$V$20&amp;" should be less than or equal to Prep_Offer"&amp;CHAR(10),""),IF(W55&lt;(W66+W249)," * Prep_New + Prep_New_Verify FSW   "&amp;$V$19&amp;" "&amp;$W$20&amp;" should be less than or equal to Prep_Offer"&amp;CHAR(10),""),IF(X55&lt;(X66+X249)," * Prep_New + Prep_New_Verify FSW   "&amp;$X$19&amp;" "&amp;$X$20&amp;" should be less than or equal to Prep_Offer"&amp;CHAR(10),""),IF(Y55&lt;(Y66+Y249)," * Prep_New + Prep_New_Verify FSW   "&amp;$X$19&amp;" "&amp;$Y$20&amp;" should be less than or equal to Prep_Offer"&amp;CHAR(10),""),IF(Z55&lt;(Z66+Z249)," * Prep_New + Prep_New_Verify FSW   "&amp;$Z$19&amp;" "&amp;$Z$20&amp;" should be less than or equal to Prep_Offer"&amp;CHAR(10),""),IF(AA55&lt;(AA66+AA249)," * Prep_New + Prep_New_Verify FSW   "&amp;$Z$19&amp;" "&amp;$AA$20&amp;" should be less than or equal to Prep_Offer"&amp;CHAR(10),""))</f>
        <v/>
      </c>
      <c r="AD249" s="674" t="str">
        <f>CONCATENATE(AC249,AC250,AC251,AC252,AC253,AC254,AC255,AC256,AC257)</f>
        <v/>
      </c>
      <c r="AE249" s="171"/>
      <c r="AF249" s="671"/>
      <c r="AG249" s="157">
        <v>156</v>
      </c>
    </row>
    <row r="250" spans="1:47" s="4" customFormat="1" ht="42" customHeight="1" thickBot="1">
      <c r="A250" s="858"/>
      <c r="B250" s="207" t="s">
        <v>927</v>
      </c>
      <c r="C250" s="367" t="s">
        <v>908</v>
      </c>
      <c r="D250" s="162"/>
      <c r="E250" s="163"/>
      <c r="F250" s="162"/>
      <c r="G250" s="163"/>
      <c r="H250" s="162"/>
      <c r="I250" s="163"/>
      <c r="J250" s="162"/>
      <c r="K250" s="192"/>
      <c r="L250" s="565"/>
      <c r="M250" s="559"/>
      <c r="N250" s="560"/>
      <c r="O250" s="559"/>
      <c r="P250" s="560"/>
      <c r="Q250" s="559"/>
      <c r="R250" s="560"/>
      <c r="S250" s="559"/>
      <c r="T250" s="560"/>
      <c r="U250" s="559"/>
      <c r="V250" s="560"/>
      <c r="W250" s="559"/>
      <c r="X250" s="560"/>
      <c r="Y250" s="559"/>
      <c r="Z250" s="560"/>
      <c r="AA250" s="566"/>
      <c r="AB250" s="347">
        <f>SUM(D250:AA250)</f>
        <v>0</v>
      </c>
      <c r="AC250" s="206" t="str">
        <f>CONCATENATE(IF(D56&lt;(D67+D250)," * Prep_New + Prep_New_Verify MSM   "&amp;$D$19&amp;" "&amp;$D$20&amp;" should be less than or equal to Prep_Offer"&amp;CHAR(10),""),IF(E56&lt;(E67+E250)," * Prep_New + Prep_New_Verify MSM   "&amp;$D$19&amp;" "&amp;$E$20&amp;" should be less than or equal to Prep_Offer"&amp;CHAR(10),""),IF(F56&lt;(F67+F250)," * Prep_New + Prep_New_Verify MSM   "&amp;$F$19&amp;" "&amp;$F$20&amp;" should be less than or equal to Prep_Offer"&amp;CHAR(10),""),IF(G56&lt;(G67+G250)," * Prep_New + Prep_New_Verify MSM   "&amp;$F$19&amp;" "&amp;$G$20&amp;" should be less than or equal to Prep_Offer"&amp;CHAR(10),""),IF(H56&lt;(H67+H250)," * Prep_New + Prep_New_Verify MSM   "&amp;$H$19&amp;" "&amp;$H$20&amp;" should be less than or equal to Prep_Offer"&amp;CHAR(10),""),IF(I56&lt;(I67+I250)," * Prep_New + Prep_New_Verify MSM   "&amp;$H$19&amp;" "&amp;$I$20&amp;" should be less than or equal to Prep_Offer"&amp;CHAR(10),""),IF(J56&lt;(J67+J250)," * Prep_New + Prep_New_Verify MSM   "&amp;$J$19&amp;" "&amp;$J$20&amp;" should be less than or equal to Prep_Offer"&amp;CHAR(10),""),IF(K56&lt;(K67+K250)," * Prep_New + Prep_New_Verify MSM   "&amp;$J$19&amp;" "&amp;$K$20&amp;" should be less than or equal to Prep_Offer"&amp;CHAR(10),""),IF(L56&lt;(L67+L250)," * Prep_New + Prep_New_Verify MSM   "&amp;$L$19&amp;" "&amp;$L$20&amp;" should be less than or equal to Prep_Offer"&amp;CHAR(10),""),IF(M56&lt;(M67+M250)," * Prep_New + Prep_New_Verify MSM   "&amp;$L$19&amp;" "&amp;$M$20&amp;" should be less than or equal to Prep_Offer"&amp;CHAR(10),""),IF(N56&lt;(N67+N250)," * Prep_New + Prep_New_Verify MSM   "&amp;$N$19&amp;" "&amp;$N$20&amp;" should be less than or equal to Prep_Offer"&amp;CHAR(10),""),IF(O56&lt;(O67+O250)," * Prep_New + Prep_New_Verify MSM   "&amp;$N$19&amp;" "&amp;$O$20&amp;" should be less than or equal to Prep_Offer"&amp;CHAR(10),""),IF(P56&lt;(P67+P250)," * Prep_New + Prep_New_Verify MSM   "&amp;$P$19&amp;" "&amp;$P$20&amp;" should be less than or equal to Prep_Offer"&amp;CHAR(10),""),IF(Q56&lt;(Q67+Q250)," * Prep_New + Prep_New_Verify MSM   "&amp;$P$19&amp;" "&amp;$Q$20&amp;" should be less than or equal to Prep_Offer"&amp;CHAR(10),""),IF(R56&lt;(R67+R250)," * Prep_New + Prep_New_Verify MSM   "&amp;$R$19&amp;" "&amp;$R$20&amp;" should be less than or equal to Prep_Offer"&amp;CHAR(10),""),IF(S56&lt;(S67+S250)," * Prep_New + Prep_New_Verify MSM   "&amp;$R$19&amp;" "&amp;$S$20&amp;" should be less than or equal to Prep_Offer"&amp;CHAR(10),""),IF(T56&lt;(T67+T250)," * Prep_New + Prep_New_Verify MSM   "&amp;$T$19&amp;" "&amp;$T$20&amp;" should be less than or equal to Prep_Offer"&amp;CHAR(10),""),IF(U56&lt;(U67+U250)," * Prep_New + Prep_New_Verify MSM   "&amp;$T$19&amp;" "&amp;$U$20&amp;" should be less than or equal to Prep_Offer"&amp;CHAR(10),""),IF(V56&lt;(V67+V250)," * Prep_New + Prep_New_Verify MSM   "&amp;$V$19&amp;" "&amp;$V$20&amp;" should be less than or equal to Prep_Offer"&amp;CHAR(10),""),IF(W56&lt;(W67+W250)," * Prep_New + Prep_New_Verify MSM   "&amp;$V$19&amp;" "&amp;$W$20&amp;" should be less than or equal to Prep_Offer"&amp;CHAR(10),""),IF(X56&lt;(X67+X250)," * Prep_New + Prep_New_Verify MSM   "&amp;$X$19&amp;" "&amp;$X$20&amp;" should be less than or equal to Prep_Offer"&amp;CHAR(10),""),IF(Y56&lt;(Y67+Y250)," * Prep_New + Prep_New_Verify MSM   "&amp;$X$19&amp;" "&amp;$Y$20&amp;" should be less than or equal to Prep_Offer"&amp;CHAR(10),""),IF(Z56&lt;(Z67+Z250)," * Prep_New + Prep_New_Verify MSM   "&amp;$Z$19&amp;" "&amp;$Z$20&amp;" should be less than or equal to Prep_Offer"&amp;CHAR(10),""),IF(AA56&lt;(AA67+AA250)," * Prep_New + Prep_New_Verify MSM   "&amp;$Z$19&amp;" "&amp;$AA$20&amp;" should be less than or equal to Prep_Offer"&amp;CHAR(10),""))</f>
        <v/>
      </c>
      <c r="AD250" s="675"/>
      <c r="AE250" s="171"/>
      <c r="AF250" s="672"/>
      <c r="AG250" s="157">
        <v>157</v>
      </c>
    </row>
    <row r="251" spans="1:47" s="4" customFormat="1" ht="42" customHeight="1" thickBot="1">
      <c r="A251" s="858"/>
      <c r="B251" s="207" t="s">
        <v>928</v>
      </c>
      <c r="C251" s="367" t="s">
        <v>909</v>
      </c>
      <c r="D251" s="162"/>
      <c r="E251" s="163"/>
      <c r="F251" s="162"/>
      <c r="G251" s="163"/>
      <c r="H251" s="162"/>
      <c r="I251" s="163"/>
      <c r="J251" s="162"/>
      <c r="K251" s="192"/>
      <c r="L251" s="565"/>
      <c r="M251" s="560"/>
      <c r="N251" s="560"/>
      <c r="O251" s="560"/>
      <c r="P251" s="560"/>
      <c r="Q251" s="560"/>
      <c r="R251" s="560"/>
      <c r="S251" s="560"/>
      <c r="T251" s="560"/>
      <c r="U251" s="560"/>
      <c r="V251" s="560"/>
      <c r="W251" s="560"/>
      <c r="X251" s="560"/>
      <c r="Y251" s="560"/>
      <c r="Z251" s="560"/>
      <c r="AA251" s="567"/>
      <c r="AB251" s="347">
        <f>SUM(D251:AA251)</f>
        <v>0</v>
      </c>
      <c r="AC251" s="206" t="str">
        <f>CONCATENATE(IF(D57&lt;(D68+D251)," * Prep_New + Prep_New_Verify People in Prison    "&amp;$D$19&amp;" "&amp;$D$20&amp;" should be less than or equal to Prep_Offer"&amp;CHAR(10),""),IF(E57&lt;(E68+E251)," * Prep_New + Prep_New_Verify People in Prison    "&amp;$D$19&amp;" "&amp;$E$20&amp;" should be less than or equal to Prep_Offer"&amp;CHAR(10),""),IF(F57&lt;(F68+F251)," * Prep_New + Prep_New_Verify People in Prison    "&amp;$F$19&amp;" "&amp;$F$20&amp;" should be less than or equal to Prep_Offer"&amp;CHAR(10),""),IF(G57&lt;(G68+G251)," * Prep_New + Prep_New_Verify People in Prison    "&amp;$F$19&amp;" "&amp;$G$20&amp;" should be less than or equal to Prep_Offer"&amp;CHAR(10),""),IF(H57&lt;(H68+H251)," * Prep_New + Prep_New_Verify People in Prison    "&amp;$H$19&amp;" "&amp;$H$20&amp;" should be less than or equal to Prep_Offer"&amp;CHAR(10),""),IF(I57&lt;(I68+I251)," * Prep_New + Prep_New_Verify People in Prison    "&amp;$H$19&amp;" "&amp;$I$20&amp;" should be less than or equal to Prep_Offer"&amp;CHAR(10),""),IF(J57&lt;(J68+J251)," * Prep_New + Prep_New_Verify People in Prison    "&amp;$J$19&amp;" "&amp;$J$20&amp;" should be less than or equal to Prep_Offer"&amp;CHAR(10),""),IF(K57&lt;(K68+K251)," * Prep_New + Prep_New_Verify People in Prison    "&amp;$J$19&amp;" "&amp;$K$20&amp;" should be less than or equal to Prep_Offer"&amp;CHAR(10),""),IF(L57&lt;(L68+L251)," * Prep_New + Prep_New_Verify People in Prison    "&amp;$L$19&amp;" "&amp;$L$20&amp;" should be less than or equal to Prep_Offer"&amp;CHAR(10),""),IF(M57&lt;(M68+M251)," * Prep_New + Prep_New_Verify People in Prison    "&amp;$L$19&amp;" "&amp;$M$20&amp;" should be less than or equal to Prep_Offer"&amp;CHAR(10),""),IF(N57&lt;(N68+N251)," * Prep_New + Prep_New_Verify People in Prison    "&amp;$N$19&amp;" "&amp;$N$20&amp;" should be less than or equal to Prep_Offer"&amp;CHAR(10),""),IF(O57&lt;(O68+O251)," * Prep_New + Prep_New_Verify People in Prison    "&amp;$N$19&amp;" "&amp;$O$20&amp;" should be less than or equal to Prep_Offer"&amp;CHAR(10),""),IF(P57&lt;(P68+P251)," * Prep_New + Prep_New_Verify People in Prison    "&amp;$P$19&amp;" "&amp;$P$20&amp;" should be less than or equal to Prep_Offer"&amp;CHAR(10),""),IF(Q57&lt;(Q68+Q251)," * Prep_New + Prep_New_Verify People in Prison    "&amp;$P$19&amp;" "&amp;$Q$20&amp;" should be less than or equal to Prep_Offer"&amp;CHAR(10),""),IF(R57&lt;(R68+R251)," * Prep_New + Prep_New_Verify People in Prison    "&amp;$R$19&amp;" "&amp;$R$20&amp;" should be less than or equal to Prep_Offer"&amp;CHAR(10),""),IF(S57&lt;(S68+S251)," * Prep_New + Prep_New_Verify People in Prison    "&amp;$R$19&amp;" "&amp;$S$20&amp;" should be less than or equal to Prep_Offer"&amp;CHAR(10),""),IF(T57&lt;(T68+T251)," * Prep_New + Prep_New_Verify People in Prison    "&amp;$T$19&amp;" "&amp;$T$20&amp;" should be less than or equal to Prep_Offer"&amp;CHAR(10),""),IF(U57&lt;(U68+U251)," * Prep_New + Prep_New_Verify People in Prison    "&amp;$T$19&amp;" "&amp;$U$20&amp;" should be less than or equal to Prep_Offer"&amp;CHAR(10),""),IF(V57&lt;(V68+V251)," * Prep_New + Prep_New_Verify People in Prison    "&amp;$V$19&amp;" "&amp;$V$20&amp;" should be less than or equal to Prep_Offer"&amp;CHAR(10),""),IF(W57&lt;(W68+W251)," * Prep_New + Prep_New_Verify People in Prison    "&amp;$V$19&amp;" "&amp;$W$20&amp;" should be less than or equal to Prep_Offer"&amp;CHAR(10),""),IF(X57&lt;(X68+X251)," * Prep_New + Prep_New_Verify People in Prison    "&amp;$X$19&amp;" "&amp;$X$20&amp;" should be less than or equal to Prep_Offer"&amp;CHAR(10),""),IF(Y57&lt;(Y68+Y251)," * Prep_New + Prep_New_Verify People in Prison    "&amp;$X$19&amp;" "&amp;$Y$20&amp;" should be less than or equal to Prep_Offer"&amp;CHAR(10),""),IF(Z57&lt;(Z68+Z251)," * Prep_New + Prep_New_Verify People in Prison    "&amp;$Z$19&amp;" "&amp;$Z$20&amp;" should be less than or equal to Prep_Offer"&amp;CHAR(10),""),IF(AA57&lt;(AA68+AA251)," * Prep_New + Prep_New_Verify People in Prison    "&amp;$Z$19&amp;" "&amp;$AA$20&amp;" should be less than or equal to Prep_Offer"&amp;CHAR(10),""))</f>
        <v/>
      </c>
      <c r="AD251" s="675"/>
      <c r="AE251" s="171"/>
      <c r="AF251" s="672"/>
      <c r="AG251" s="157">
        <v>159</v>
      </c>
    </row>
    <row r="252" spans="1:47" s="4" customFormat="1" ht="42" customHeight="1" thickBot="1">
      <c r="A252" s="858"/>
      <c r="B252" s="207" t="s">
        <v>929</v>
      </c>
      <c r="C252" s="367" t="s">
        <v>910</v>
      </c>
      <c r="D252" s="162"/>
      <c r="E252" s="163"/>
      <c r="F252" s="162"/>
      <c r="G252" s="163"/>
      <c r="H252" s="162"/>
      <c r="I252" s="163"/>
      <c r="J252" s="162"/>
      <c r="K252" s="192"/>
      <c r="L252" s="565"/>
      <c r="M252" s="560"/>
      <c r="N252" s="560"/>
      <c r="O252" s="560"/>
      <c r="P252" s="560"/>
      <c r="Q252" s="560"/>
      <c r="R252" s="560"/>
      <c r="S252" s="560"/>
      <c r="T252" s="560"/>
      <c r="U252" s="560"/>
      <c r="V252" s="560"/>
      <c r="W252" s="560"/>
      <c r="X252" s="560"/>
      <c r="Y252" s="560"/>
      <c r="Z252" s="560"/>
      <c r="AA252" s="567"/>
      <c r="AB252" s="348">
        <f>SUM(D252:AA252)</f>
        <v>0</v>
      </c>
      <c r="AC252" s="206" t="str">
        <f>CONCATENATE(IF(D58&lt;(D69+D252)," * Prep_New + Prep_New_Verify PWID   "&amp;$D$19&amp;" "&amp;$D$20&amp;" should be less than or equal to Prep_Offer"&amp;CHAR(10),""),IF(E58&lt;(E69+E252)," * Prep_New + Prep_New_Verify PWID   "&amp;$D$19&amp;" "&amp;$E$20&amp;" should be less than or equal to Prep_Offer"&amp;CHAR(10),""),IF(F58&lt;(F69+F252)," * Prep_New + Prep_New_Verify PWID   "&amp;$F$19&amp;" "&amp;$F$20&amp;" should be less than or equal to Prep_Offer"&amp;CHAR(10),""),IF(G58&lt;(G69+G252)," * Prep_New + Prep_New_Verify PWID   "&amp;$F$19&amp;" "&amp;$G$20&amp;" should be less than or equal to Prep_Offer"&amp;CHAR(10),""),IF(H58&lt;(H69+H252)," * Prep_New + Prep_New_Verify PWID   "&amp;$H$19&amp;" "&amp;$H$20&amp;" should be less than or equal to Prep_Offer"&amp;CHAR(10),""),IF(I58&lt;(I69+I252)," * Prep_New + Prep_New_Verify PWID   "&amp;$H$19&amp;" "&amp;$I$20&amp;" should be less than or equal to Prep_Offer"&amp;CHAR(10),""),IF(J58&lt;(J69+J252)," * Prep_New + Prep_New_Verify PWID   "&amp;$J$19&amp;" "&amp;$J$20&amp;" should be less than or equal to Prep_Offer"&amp;CHAR(10),""),IF(K58&lt;(K69+K252)," * Prep_New + Prep_New_Verify PWID   "&amp;$J$19&amp;" "&amp;$K$20&amp;" should be less than or equal to Prep_Offer"&amp;CHAR(10),""),IF(L58&lt;(L69+L252)," * Prep_New + Prep_New_Verify PWID   "&amp;$L$19&amp;" "&amp;$L$20&amp;" should be less than or equal to Prep_Offer"&amp;CHAR(10),""),IF(M58&lt;(M69+M252)," * Prep_New + Prep_New_Verify PWID   "&amp;$L$19&amp;" "&amp;$M$20&amp;" should be less than or equal to Prep_Offer"&amp;CHAR(10),""),IF(N58&lt;(N69+N252)," * Prep_New + Prep_New_Verify PWID   "&amp;$N$19&amp;" "&amp;$N$20&amp;" should be less than or equal to Prep_Offer"&amp;CHAR(10),""),IF(O58&lt;(O69+O252)," * Prep_New + Prep_New_Verify PWID   "&amp;$N$19&amp;" "&amp;$O$20&amp;" should be less than or equal to Prep_Offer"&amp;CHAR(10),""),IF(P58&lt;(P69+P252)," * Prep_New + Prep_New_Verify PWID   "&amp;$P$19&amp;" "&amp;$P$20&amp;" should be less than or equal to Prep_Offer"&amp;CHAR(10),""),IF(Q58&lt;(Q69+Q252)," * Prep_New + Prep_New_Verify PWID   "&amp;$P$19&amp;" "&amp;$Q$20&amp;" should be less than or equal to Prep_Offer"&amp;CHAR(10),""),IF(R58&lt;(R69+R252)," * Prep_New + Prep_New_Verify PWID   "&amp;$R$19&amp;" "&amp;$R$20&amp;" should be less than or equal to Prep_Offer"&amp;CHAR(10),""),IF(S58&lt;(S69+S252)," * Prep_New + Prep_New_Verify PWID   "&amp;$R$19&amp;" "&amp;$S$20&amp;" should be less than or equal to Prep_Offer"&amp;CHAR(10),""),IF(T58&lt;(T69+T252)," * Prep_New + Prep_New_Verify PWID   "&amp;$T$19&amp;" "&amp;$T$20&amp;" should be less than or equal to Prep_Offer"&amp;CHAR(10),""),IF(U58&lt;(U69+U252)," * Prep_New + Prep_New_Verify PWID   "&amp;$T$19&amp;" "&amp;$U$20&amp;" should be less than or equal to Prep_Offer"&amp;CHAR(10),""),IF(V58&lt;(V69+V252)," * Prep_New + Prep_New_Verify PWID   "&amp;$V$19&amp;" "&amp;$V$20&amp;" should be less than or equal to Prep_Offer"&amp;CHAR(10),""),IF(W58&lt;(W69+W252)," * Prep_New + Prep_New_Verify PWID   "&amp;$V$19&amp;" "&amp;$W$20&amp;" should be less than or equal to Prep_Offer"&amp;CHAR(10),""),IF(X58&lt;(X69+X252)," * Prep_New + Prep_New_Verify PWID   "&amp;$X$19&amp;" "&amp;$X$20&amp;" should be less than or equal to Prep_Offer"&amp;CHAR(10),""),IF(Y58&lt;(Y69+Y252)," * Prep_New + Prep_New_Verify PWID   "&amp;$X$19&amp;" "&amp;$Y$20&amp;" should be less than or equal to Prep_Offer"&amp;CHAR(10),""),IF(Z58&lt;(Z69+Z252)," * Prep_New + Prep_New_Verify PWID   "&amp;$Z$19&amp;" "&amp;$Z$20&amp;" should be less than or equal to Prep_Offer"&amp;CHAR(10),""),IF(AA58&lt;(AA69+AA252)," * Prep_New + Prep_New_Verify PWID   "&amp;$Z$19&amp;" "&amp;$AA$20&amp;" should be less than or equal to Prep_Offer"&amp;CHAR(10),""))</f>
        <v/>
      </c>
      <c r="AD252" s="675"/>
      <c r="AE252" s="171"/>
      <c r="AF252" s="672"/>
      <c r="AG252" s="157">
        <v>160</v>
      </c>
    </row>
    <row r="253" spans="1:47" s="4" customFormat="1" ht="42" customHeight="1">
      <c r="A253" s="858"/>
      <c r="B253" s="207" t="s">
        <v>930</v>
      </c>
      <c r="C253" s="367" t="s">
        <v>911</v>
      </c>
      <c r="D253" s="162"/>
      <c r="E253" s="163"/>
      <c r="F253" s="162"/>
      <c r="G253" s="163"/>
      <c r="H253" s="162"/>
      <c r="I253" s="163"/>
      <c r="J253" s="162"/>
      <c r="K253" s="192"/>
      <c r="L253" s="568"/>
      <c r="M253" s="559"/>
      <c r="N253" s="559"/>
      <c r="O253" s="559"/>
      <c r="P253" s="559"/>
      <c r="Q253" s="559"/>
      <c r="R253" s="559"/>
      <c r="S253" s="559"/>
      <c r="T253" s="559"/>
      <c r="U253" s="559"/>
      <c r="V253" s="559"/>
      <c r="W253" s="559"/>
      <c r="X253" s="559"/>
      <c r="Y253" s="559"/>
      <c r="Z253" s="559"/>
      <c r="AA253" s="566"/>
      <c r="AB253" s="165"/>
      <c r="AC253" s="206" t="str">
        <f>CONCATENATE(IF(AB59&lt;(AB70+AB253)," * Prep_New + Prep_New_Verify TG   "&amp;$AB$19&amp;" "&amp;$AB$20&amp;" should be less than or equal to Prep_Offer"&amp;CHAR(10),""))</f>
        <v/>
      </c>
      <c r="AD253" s="675"/>
      <c r="AE253" s="171"/>
      <c r="AF253" s="672"/>
      <c r="AG253" s="157">
        <v>161</v>
      </c>
    </row>
    <row r="254" spans="1:47" s="4" customFormat="1" ht="42" customHeight="1">
      <c r="A254" s="858"/>
      <c r="B254" s="207" t="s">
        <v>1008</v>
      </c>
      <c r="C254" s="367" t="s">
        <v>912</v>
      </c>
      <c r="D254" s="162"/>
      <c r="E254" s="163"/>
      <c r="F254" s="162"/>
      <c r="G254" s="163"/>
      <c r="H254" s="162"/>
      <c r="I254" s="163"/>
      <c r="J254" s="162"/>
      <c r="K254" s="192"/>
      <c r="L254" s="565"/>
      <c r="M254" s="560"/>
      <c r="N254" s="560"/>
      <c r="O254" s="560"/>
      <c r="P254" s="560"/>
      <c r="Q254" s="560"/>
      <c r="R254" s="560"/>
      <c r="S254" s="560"/>
      <c r="T254" s="560"/>
      <c r="U254" s="560"/>
      <c r="V254" s="560"/>
      <c r="W254" s="560"/>
      <c r="X254" s="560"/>
      <c r="Y254" s="560"/>
      <c r="Z254" s="560"/>
      <c r="AA254" s="567"/>
      <c r="AB254" s="347">
        <f>SUM(D254:AA254)</f>
        <v>0</v>
      </c>
      <c r="AC254" s="209"/>
      <c r="AD254" s="675"/>
      <c r="AE254" s="171"/>
      <c r="AF254" s="672"/>
      <c r="AG254" s="157">
        <v>157</v>
      </c>
    </row>
    <row r="255" spans="1:47" s="370" customFormat="1" ht="42" customHeight="1" thickBot="1">
      <c r="A255" s="858"/>
      <c r="B255" s="207" t="s">
        <v>1009</v>
      </c>
      <c r="C255" s="367" t="s">
        <v>913</v>
      </c>
      <c r="D255" s="162"/>
      <c r="E255" s="163"/>
      <c r="F255" s="162"/>
      <c r="G255" s="163"/>
      <c r="H255" s="162"/>
      <c r="I255" s="163"/>
      <c r="J255" s="162"/>
      <c r="K255" s="192"/>
      <c r="L255" s="565"/>
      <c r="M255" s="560"/>
      <c r="N255" s="560"/>
      <c r="O255" s="560"/>
      <c r="P255" s="560"/>
      <c r="Q255" s="560"/>
      <c r="R255" s="560"/>
      <c r="S255" s="560"/>
      <c r="T255" s="560"/>
      <c r="U255" s="560"/>
      <c r="V255" s="560"/>
      <c r="W255" s="560"/>
      <c r="X255" s="560"/>
      <c r="Y255" s="560"/>
      <c r="Z255" s="560"/>
      <c r="AA255" s="567"/>
      <c r="AB255" s="347">
        <f>SUM(D255:AA255)</f>
        <v>0</v>
      </c>
      <c r="AC255" s="209"/>
      <c r="AD255" s="675"/>
      <c r="AE255" s="171"/>
      <c r="AF255" s="672"/>
      <c r="AG255" s="157">
        <v>157</v>
      </c>
      <c r="AH255" s="4"/>
      <c r="AI255" s="4"/>
      <c r="AJ255" s="4"/>
      <c r="AK255" s="4"/>
      <c r="AL255" s="4"/>
      <c r="AM255" s="4"/>
      <c r="AN255" s="4"/>
      <c r="AO255" s="4"/>
      <c r="AP255" s="4"/>
      <c r="AQ255" s="4"/>
      <c r="AR255" s="4"/>
      <c r="AS255" s="4"/>
      <c r="AT255" s="4"/>
      <c r="AU255" s="4"/>
    </row>
    <row r="256" spans="1:47" s="4" customFormat="1" ht="42" customHeight="1" thickBot="1">
      <c r="A256" s="858"/>
      <c r="B256" s="207" t="s">
        <v>1010</v>
      </c>
      <c r="C256" s="367" t="s">
        <v>914</v>
      </c>
      <c r="D256" s="162"/>
      <c r="E256" s="163"/>
      <c r="F256" s="162"/>
      <c r="G256" s="163"/>
      <c r="H256" s="162"/>
      <c r="I256" s="163"/>
      <c r="J256" s="162"/>
      <c r="K256" s="192"/>
      <c r="L256" s="568"/>
      <c r="M256" s="560"/>
      <c r="N256" s="559"/>
      <c r="O256" s="560"/>
      <c r="P256" s="559"/>
      <c r="Q256" s="560"/>
      <c r="R256" s="559"/>
      <c r="S256" s="560"/>
      <c r="T256" s="559"/>
      <c r="U256" s="560"/>
      <c r="V256" s="559"/>
      <c r="W256" s="560"/>
      <c r="X256" s="559"/>
      <c r="Y256" s="560"/>
      <c r="Z256" s="559"/>
      <c r="AA256" s="567"/>
      <c r="AB256" s="135">
        <f>SUM(D256:AA256)</f>
        <v>0</v>
      </c>
      <c r="AC256" s="206"/>
      <c r="AD256" s="675"/>
      <c r="AE256" s="171"/>
      <c r="AF256" s="672"/>
      <c r="AG256" s="157">
        <v>156</v>
      </c>
    </row>
    <row r="257" spans="1:47" s="4" customFormat="1" ht="42" customHeight="1" thickBot="1">
      <c r="A257" s="859"/>
      <c r="B257" s="207" t="s">
        <v>1011</v>
      </c>
      <c r="C257" s="367" t="s">
        <v>915</v>
      </c>
      <c r="D257" s="162"/>
      <c r="E257" s="163"/>
      <c r="F257" s="162"/>
      <c r="G257" s="163"/>
      <c r="H257" s="162"/>
      <c r="I257" s="163"/>
      <c r="J257" s="162"/>
      <c r="K257" s="192"/>
      <c r="L257" s="569"/>
      <c r="M257" s="570"/>
      <c r="N257" s="571"/>
      <c r="O257" s="570"/>
      <c r="P257" s="571"/>
      <c r="Q257" s="570"/>
      <c r="R257" s="571"/>
      <c r="S257" s="570"/>
      <c r="T257" s="571"/>
      <c r="U257" s="570"/>
      <c r="V257" s="571"/>
      <c r="W257" s="570"/>
      <c r="X257" s="571"/>
      <c r="Y257" s="570"/>
      <c r="Z257" s="571"/>
      <c r="AA257" s="572"/>
      <c r="AB257" s="135">
        <f>SUM(D257:AA257)</f>
        <v>0</v>
      </c>
      <c r="AC257" s="206"/>
      <c r="AD257" s="676"/>
      <c r="AE257" s="171"/>
      <c r="AF257" s="673"/>
      <c r="AG257" s="157">
        <v>156</v>
      </c>
    </row>
    <row r="258" spans="1:47" s="4" customFormat="1" ht="42" customHeight="1" thickBot="1">
      <c r="A258" s="688" t="s">
        <v>1040</v>
      </c>
      <c r="B258" s="689"/>
      <c r="C258" s="690"/>
      <c r="D258" s="689"/>
      <c r="E258" s="689"/>
      <c r="F258" s="689"/>
      <c r="G258" s="689"/>
      <c r="H258" s="689"/>
      <c r="I258" s="689"/>
      <c r="J258" s="689"/>
      <c r="K258" s="689"/>
      <c r="L258" s="692"/>
      <c r="M258" s="692"/>
      <c r="N258" s="692"/>
      <c r="O258" s="692"/>
      <c r="P258" s="692"/>
      <c r="Q258" s="692"/>
      <c r="R258" s="692"/>
      <c r="S258" s="692"/>
      <c r="T258" s="692"/>
      <c r="U258" s="692"/>
      <c r="V258" s="692"/>
      <c r="W258" s="692"/>
      <c r="X258" s="692"/>
      <c r="Y258" s="692"/>
      <c r="Z258" s="692"/>
      <c r="AA258" s="692"/>
      <c r="AB258" s="692"/>
      <c r="AC258" s="689"/>
      <c r="AD258" s="689"/>
      <c r="AE258" s="689"/>
      <c r="AF258" s="848"/>
      <c r="AG258" s="369">
        <v>154</v>
      </c>
      <c r="AH258" s="370"/>
      <c r="AI258" s="370"/>
      <c r="AJ258" s="370"/>
      <c r="AK258" s="370"/>
      <c r="AL258" s="370"/>
      <c r="AM258" s="370"/>
      <c r="AN258" s="370"/>
      <c r="AO258" s="370"/>
      <c r="AP258" s="370"/>
      <c r="AQ258" s="370"/>
      <c r="AR258" s="370"/>
      <c r="AS258" s="370"/>
      <c r="AT258" s="370"/>
      <c r="AU258" s="370"/>
    </row>
    <row r="259" spans="1:47" s="4" customFormat="1" ht="45.75" customHeight="1" thickBot="1">
      <c r="A259" s="857" t="s">
        <v>931</v>
      </c>
      <c r="B259" s="204" t="s">
        <v>932</v>
      </c>
      <c r="C259" s="367" t="s">
        <v>916</v>
      </c>
      <c r="D259" s="182"/>
      <c r="E259" s="183"/>
      <c r="F259" s="182"/>
      <c r="G259" s="183"/>
      <c r="H259" s="182"/>
      <c r="I259" s="183"/>
      <c r="J259" s="182"/>
      <c r="K259" s="183"/>
      <c r="L259" s="183"/>
      <c r="M259" s="196"/>
      <c r="N259" s="183"/>
      <c r="O259" s="196"/>
      <c r="P259" s="183"/>
      <c r="Q259" s="196"/>
      <c r="R259" s="183"/>
      <c r="S259" s="196"/>
      <c r="T259" s="183"/>
      <c r="U259" s="196"/>
      <c r="V259" s="183"/>
      <c r="W259" s="196"/>
      <c r="X259" s="183"/>
      <c r="Y259" s="196"/>
      <c r="Z259" s="183"/>
      <c r="AA259" s="196"/>
      <c r="AB259" s="205">
        <f>SUM(D259:AA259)</f>
        <v>0</v>
      </c>
      <c r="AC259" s="206"/>
      <c r="AD259" s="674"/>
      <c r="AE259" s="171"/>
      <c r="AF259" s="671"/>
      <c r="AG259" s="157">
        <v>156</v>
      </c>
    </row>
    <row r="260" spans="1:47" s="4" customFormat="1" ht="45.75" customHeight="1">
      <c r="A260" s="858"/>
      <c r="B260" s="207" t="s">
        <v>933</v>
      </c>
      <c r="C260" s="367" t="s">
        <v>917</v>
      </c>
      <c r="D260" s="162"/>
      <c r="E260" s="163"/>
      <c r="F260" s="162"/>
      <c r="G260" s="163"/>
      <c r="H260" s="162"/>
      <c r="I260" s="163"/>
      <c r="J260" s="162"/>
      <c r="K260" s="163"/>
      <c r="L260" s="197"/>
      <c r="M260" s="183"/>
      <c r="N260" s="197"/>
      <c r="O260" s="183"/>
      <c r="P260" s="197"/>
      <c r="Q260" s="183"/>
      <c r="R260" s="197"/>
      <c r="S260" s="183"/>
      <c r="T260" s="197"/>
      <c r="U260" s="183"/>
      <c r="V260" s="197"/>
      <c r="W260" s="183"/>
      <c r="X260" s="197"/>
      <c r="Y260" s="183"/>
      <c r="Z260" s="197"/>
      <c r="AA260" s="183"/>
      <c r="AB260" s="208">
        <f>SUM(D260:AA260)</f>
        <v>0</v>
      </c>
      <c r="AC260" s="209"/>
      <c r="AD260" s="675"/>
      <c r="AE260" s="171"/>
      <c r="AF260" s="672"/>
      <c r="AG260" s="157">
        <v>157</v>
      </c>
    </row>
    <row r="261" spans="1:47" s="4" customFormat="1" ht="45.75" customHeight="1">
      <c r="A261" s="858"/>
      <c r="B261" s="207" t="s">
        <v>934</v>
      </c>
      <c r="C261" s="367" t="s">
        <v>918</v>
      </c>
      <c r="D261" s="162"/>
      <c r="E261" s="163"/>
      <c r="F261" s="162"/>
      <c r="G261" s="163"/>
      <c r="H261" s="162"/>
      <c r="I261" s="163"/>
      <c r="J261" s="162"/>
      <c r="K261" s="163"/>
      <c r="L261" s="197"/>
      <c r="M261" s="197"/>
      <c r="N261" s="197"/>
      <c r="O261" s="197"/>
      <c r="P261" s="197"/>
      <c r="Q261" s="197"/>
      <c r="R261" s="197"/>
      <c r="S261" s="197"/>
      <c r="T261" s="197"/>
      <c r="U261" s="197"/>
      <c r="V261" s="197"/>
      <c r="W261" s="197"/>
      <c r="X261" s="197"/>
      <c r="Y261" s="197"/>
      <c r="Z261" s="197"/>
      <c r="AA261" s="197"/>
      <c r="AB261" s="208">
        <f>SUM(D261:AA261)</f>
        <v>0</v>
      </c>
      <c r="AC261" s="209"/>
      <c r="AD261" s="675"/>
      <c r="AE261" s="171"/>
      <c r="AF261" s="672"/>
      <c r="AG261" s="157">
        <v>159</v>
      </c>
    </row>
    <row r="262" spans="1:47" s="4" customFormat="1" ht="45.75" customHeight="1" thickBot="1">
      <c r="A262" s="858"/>
      <c r="B262" s="207" t="s">
        <v>935</v>
      </c>
      <c r="C262" s="367" t="s">
        <v>919</v>
      </c>
      <c r="D262" s="162"/>
      <c r="E262" s="163"/>
      <c r="F262" s="162"/>
      <c r="G262" s="163"/>
      <c r="H262" s="162"/>
      <c r="I262" s="163"/>
      <c r="J262" s="162"/>
      <c r="K262" s="163"/>
      <c r="L262" s="197"/>
      <c r="M262" s="197"/>
      <c r="N262" s="197"/>
      <c r="O262" s="197"/>
      <c r="P262" s="197"/>
      <c r="Q262" s="197"/>
      <c r="R262" s="197"/>
      <c r="S262" s="197"/>
      <c r="T262" s="197"/>
      <c r="U262" s="197"/>
      <c r="V262" s="197"/>
      <c r="W262" s="197"/>
      <c r="X262" s="197"/>
      <c r="Y262" s="197"/>
      <c r="Z262" s="197"/>
      <c r="AA262" s="197"/>
      <c r="AB262" s="210">
        <f>SUM(D262:AA262)</f>
        <v>0</v>
      </c>
      <c r="AC262" s="211"/>
      <c r="AD262" s="675"/>
      <c r="AE262" s="171"/>
      <c r="AF262" s="672"/>
      <c r="AG262" s="157">
        <v>160</v>
      </c>
    </row>
    <row r="263" spans="1:47" s="4" customFormat="1" ht="45.75" customHeight="1" thickBot="1">
      <c r="A263" s="858"/>
      <c r="B263" s="207" t="s">
        <v>936</v>
      </c>
      <c r="C263" s="367" t="s">
        <v>920</v>
      </c>
      <c r="D263" s="177"/>
      <c r="E263" s="178"/>
      <c r="F263" s="177"/>
      <c r="G263" s="178"/>
      <c r="H263" s="177"/>
      <c r="I263" s="178"/>
      <c r="J263" s="177"/>
      <c r="K263" s="178"/>
      <c r="L263" s="178"/>
      <c r="M263" s="178"/>
      <c r="N263" s="178"/>
      <c r="O263" s="178"/>
      <c r="P263" s="178"/>
      <c r="Q263" s="178"/>
      <c r="R263" s="178"/>
      <c r="S263" s="178"/>
      <c r="T263" s="178"/>
      <c r="U263" s="178"/>
      <c r="V263" s="178"/>
      <c r="W263" s="178"/>
      <c r="X263" s="178"/>
      <c r="Y263" s="178"/>
      <c r="Z263" s="178"/>
      <c r="AA263" s="213"/>
      <c r="AB263" s="214"/>
      <c r="AC263" s="209"/>
      <c r="AD263" s="675"/>
      <c r="AE263" s="171"/>
      <c r="AF263" s="672"/>
      <c r="AG263" s="157">
        <v>161</v>
      </c>
    </row>
    <row r="264" spans="1:47" s="4" customFormat="1" ht="45.75" customHeight="1">
      <c r="A264" s="858"/>
      <c r="B264" s="207" t="s">
        <v>1006</v>
      </c>
      <c r="C264" s="367" t="s">
        <v>921</v>
      </c>
      <c r="D264" s="162"/>
      <c r="E264" s="163"/>
      <c r="F264" s="162"/>
      <c r="G264" s="163"/>
      <c r="H264" s="162"/>
      <c r="I264" s="163"/>
      <c r="J264" s="162"/>
      <c r="K264" s="163"/>
      <c r="L264" s="197"/>
      <c r="M264" s="197"/>
      <c r="N264" s="197"/>
      <c r="O264" s="197"/>
      <c r="P264" s="197"/>
      <c r="Q264" s="197"/>
      <c r="R264" s="197"/>
      <c r="S264" s="197"/>
      <c r="T264" s="197"/>
      <c r="U264" s="197"/>
      <c r="V264" s="197"/>
      <c r="W264" s="197"/>
      <c r="X264" s="197"/>
      <c r="Y264" s="197"/>
      <c r="Z264" s="197"/>
      <c r="AA264" s="197"/>
      <c r="AB264" s="208">
        <f>SUM(D264:AA264)</f>
        <v>0</v>
      </c>
      <c r="AC264" s="209"/>
      <c r="AD264" s="675"/>
      <c r="AE264" s="171"/>
      <c r="AF264" s="672"/>
      <c r="AG264" s="157">
        <v>157</v>
      </c>
    </row>
    <row r="265" spans="1:47" s="4" customFormat="1" ht="45.75" customHeight="1" thickBot="1">
      <c r="A265" s="858"/>
      <c r="B265" s="207" t="s">
        <v>1007</v>
      </c>
      <c r="C265" s="367" t="s">
        <v>922</v>
      </c>
      <c r="D265" s="162"/>
      <c r="E265" s="163"/>
      <c r="F265" s="162"/>
      <c r="G265" s="163"/>
      <c r="H265" s="162"/>
      <c r="I265" s="163"/>
      <c r="J265" s="162"/>
      <c r="K265" s="163"/>
      <c r="L265" s="197"/>
      <c r="M265" s="197"/>
      <c r="N265" s="197"/>
      <c r="O265" s="197"/>
      <c r="P265" s="197"/>
      <c r="Q265" s="197"/>
      <c r="R265" s="197"/>
      <c r="S265" s="197"/>
      <c r="T265" s="197"/>
      <c r="U265" s="197"/>
      <c r="V265" s="197"/>
      <c r="W265" s="197"/>
      <c r="X265" s="197"/>
      <c r="Y265" s="197"/>
      <c r="Z265" s="197"/>
      <c r="AA265" s="197"/>
      <c r="AB265" s="208">
        <f>SUM(D265:AA265)</f>
        <v>0</v>
      </c>
      <c r="AC265" s="209"/>
      <c r="AD265" s="676"/>
      <c r="AE265" s="171"/>
      <c r="AF265" s="673"/>
      <c r="AG265" s="157">
        <v>157</v>
      </c>
    </row>
    <row r="266" spans="1:47" s="4" customFormat="1" ht="30.75" hidden="1" customHeight="1" thickBot="1">
      <c r="A266" s="858"/>
      <c r="B266" s="207" t="s">
        <v>937</v>
      </c>
      <c r="C266" s="367" t="s">
        <v>923</v>
      </c>
      <c r="D266" s="182"/>
      <c r="E266" s="183"/>
      <c r="F266" s="182"/>
      <c r="G266" s="183"/>
      <c r="H266" s="182"/>
      <c r="I266" s="183"/>
      <c r="J266" s="182"/>
      <c r="K266" s="183"/>
      <c r="L266" s="183"/>
      <c r="M266" s="196"/>
      <c r="N266" s="183"/>
      <c r="O266" s="196"/>
      <c r="P266" s="183"/>
      <c r="Q266" s="196"/>
      <c r="R266" s="183"/>
      <c r="S266" s="196"/>
      <c r="T266" s="183"/>
      <c r="U266" s="196"/>
      <c r="V266" s="183"/>
      <c r="W266" s="196"/>
      <c r="X266" s="183"/>
      <c r="Y266" s="196"/>
      <c r="Z266" s="183"/>
      <c r="AA266" s="196"/>
      <c r="AB266" s="205">
        <f>SUM(D266:AA266)</f>
        <v>0</v>
      </c>
      <c r="AC266" s="206"/>
      <c r="AD266" s="368"/>
      <c r="AE266" s="171"/>
      <c r="AF266" s="365"/>
      <c r="AG266" s="157">
        <v>156</v>
      </c>
    </row>
    <row r="267" spans="1:47" s="4" customFormat="1" ht="30.75" hidden="1" customHeight="1" thickBot="1">
      <c r="A267" s="859"/>
      <c r="B267" s="207" t="s">
        <v>938</v>
      </c>
      <c r="C267" s="367" t="s">
        <v>924</v>
      </c>
      <c r="D267" s="182"/>
      <c r="E267" s="183"/>
      <c r="F267" s="182"/>
      <c r="G267" s="183"/>
      <c r="H267" s="182"/>
      <c r="I267" s="183"/>
      <c r="J267" s="182"/>
      <c r="K267" s="183"/>
      <c r="L267" s="183"/>
      <c r="M267" s="196"/>
      <c r="N267" s="183"/>
      <c r="O267" s="196"/>
      <c r="P267" s="183"/>
      <c r="Q267" s="196"/>
      <c r="R267" s="183"/>
      <c r="S267" s="196"/>
      <c r="T267" s="183"/>
      <c r="U267" s="196"/>
      <c r="V267" s="183"/>
      <c r="W267" s="196"/>
      <c r="X267" s="183"/>
      <c r="Y267" s="196"/>
      <c r="Z267" s="183"/>
      <c r="AA267" s="196"/>
      <c r="AB267" s="205">
        <f>SUM(D267:AA267)</f>
        <v>0</v>
      </c>
      <c r="AC267" s="206"/>
      <c r="AD267" s="368"/>
      <c r="AE267" s="171"/>
      <c r="AF267" s="365"/>
      <c r="AG267" s="157">
        <v>156</v>
      </c>
    </row>
    <row r="268" spans="1:47" s="4" customFormat="1" ht="45.75" customHeight="1" thickBot="1">
      <c r="A268" s="688" t="s">
        <v>949</v>
      </c>
      <c r="B268" s="689"/>
      <c r="C268" s="692"/>
      <c r="D268" s="689"/>
      <c r="E268" s="689"/>
      <c r="F268" s="689"/>
      <c r="G268" s="689"/>
      <c r="H268" s="689"/>
      <c r="I268" s="689"/>
      <c r="J268" s="689"/>
      <c r="K268" s="689"/>
      <c r="L268" s="689"/>
      <c r="M268" s="689"/>
      <c r="N268" s="689"/>
      <c r="O268" s="689"/>
      <c r="P268" s="689"/>
      <c r="Q268" s="689"/>
      <c r="R268" s="689"/>
      <c r="S268" s="689"/>
      <c r="T268" s="689"/>
      <c r="U268" s="689"/>
      <c r="V268" s="689"/>
      <c r="W268" s="689"/>
      <c r="X268" s="689"/>
      <c r="Y268" s="689"/>
      <c r="Z268" s="689"/>
      <c r="AA268" s="689"/>
      <c r="AB268" s="689"/>
      <c r="AC268" s="689"/>
      <c r="AD268" s="689"/>
      <c r="AE268" s="689"/>
      <c r="AF268" s="691"/>
      <c r="AG268" s="158">
        <v>41</v>
      </c>
    </row>
    <row r="269" spans="1:47" s="4" customFormat="1" ht="38.25" customHeight="1" thickBot="1">
      <c r="A269" s="688" t="s">
        <v>996</v>
      </c>
      <c r="B269" s="689"/>
      <c r="C269" s="690"/>
      <c r="D269" s="689"/>
      <c r="E269" s="689"/>
      <c r="F269" s="689"/>
      <c r="G269" s="689"/>
      <c r="H269" s="689"/>
      <c r="I269" s="689"/>
      <c r="J269" s="689"/>
      <c r="K269" s="689"/>
      <c r="L269" s="689"/>
      <c r="M269" s="689"/>
      <c r="N269" s="689"/>
      <c r="O269" s="689"/>
      <c r="P269" s="689"/>
      <c r="Q269" s="689"/>
      <c r="R269" s="689"/>
      <c r="S269" s="689"/>
      <c r="T269" s="689"/>
      <c r="U269" s="689"/>
      <c r="V269" s="689"/>
      <c r="W269" s="689"/>
      <c r="X269" s="689"/>
      <c r="Y269" s="689"/>
      <c r="Z269" s="689"/>
      <c r="AA269" s="689"/>
      <c r="AB269" s="689"/>
      <c r="AC269" s="689"/>
      <c r="AD269" s="689"/>
      <c r="AE269" s="689"/>
      <c r="AF269" s="691"/>
      <c r="AG269" s="158">
        <v>41</v>
      </c>
    </row>
    <row r="270" spans="1:47" s="4" customFormat="1" ht="42.75" customHeight="1">
      <c r="A270" s="860" t="s">
        <v>967</v>
      </c>
      <c r="B270" s="161" t="s">
        <v>100</v>
      </c>
      <c r="C270" s="545" t="s">
        <v>950</v>
      </c>
      <c r="D270" s="182"/>
      <c r="E270" s="183"/>
      <c r="F270" s="182"/>
      <c r="G270" s="183"/>
      <c r="H270" s="182"/>
      <c r="I270" s="183"/>
      <c r="J270" s="182"/>
      <c r="K270" s="184"/>
      <c r="L270" s="215"/>
      <c r="M270" s="215"/>
      <c r="N270" s="215"/>
      <c r="O270" s="215"/>
      <c r="P270" s="215"/>
      <c r="Q270" s="215"/>
      <c r="R270" s="215"/>
      <c r="S270" s="215"/>
      <c r="T270" s="215"/>
      <c r="U270" s="215"/>
      <c r="V270" s="215"/>
      <c r="W270" s="215"/>
      <c r="X270" s="215"/>
      <c r="Y270" s="215"/>
      <c r="Z270" s="215"/>
      <c r="AA270" s="215"/>
      <c r="AB270" s="205">
        <f t="shared" ref="AB270:AB278" si="45">SUM(D270:AA270)</f>
        <v>0</v>
      </c>
      <c r="AC270" s="216"/>
      <c r="AD270" s="674" t="str">
        <f>CONCATENATE(AC270,AC271,AC272,AC273,AC274,AC275,AC276,AC277,AC278)</f>
        <v/>
      </c>
      <c r="AE270" s="171"/>
      <c r="AF270" s="464" t="str">
        <f>CONCATENATE(AE270,AE271,AE272)</f>
        <v/>
      </c>
      <c r="AG270" s="158">
        <v>44</v>
      </c>
    </row>
    <row r="271" spans="1:47" s="4" customFormat="1" ht="42.75" customHeight="1">
      <c r="A271" s="861"/>
      <c r="B271" s="169" t="s">
        <v>953</v>
      </c>
      <c r="C271" s="547" t="s">
        <v>951</v>
      </c>
      <c r="D271" s="162"/>
      <c r="E271" s="163"/>
      <c r="F271" s="162"/>
      <c r="G271" s="163"/>
      <c r="H271" s="162"/>
      <c r="I271" s="163"/>
      <c r="J271" s="162"/>
      <c r="K271" s="164"/>
      <c r="L271" s="187"/>
      <c r="M271" s="187"/>
      <c r="N271" s="187"/>
      <c r="O271" s="187"/>
      <c r="P271" s="187"/>
      <c r="Q271" s="187"/>
      <c r="R271" s="187"/>
      <c r="S271" s="187"/>
      <c r="T271" s="187"/>
      <c r="U271" s="187"/>
      <c r="V271" s="187"/>
      <c r="W271" s="187"/>
      <c r="X271" s="187"/>
      <c r="Y271" s="187"/>
      <c r="Z271" s="187"/>
      <c r="AA271" s="187"/>
      <c r="AB271" s="208">
        <f t="shared" si="45"/>
        <v>0</v>
      </c>
      <c r="AC271" s="216"/>
      <c r="AD271" s="675"/>
      <c r="AE271" s="171"/>
      <c r="AF271" s="274"/>
      <c r="AG271" s="158">
        <v>45</v>
      </c>
    </row>
    <row r="272" spans="1:47" s="4" customFormat="1" ht="42.75" customHeight="1" thickBot="1">
      <c r="A272" s="861"/>
      <c r="B272" s="169" t="s">
        <v>954</v>
      </c>
      <c r="C272" s="547" t="s">
        <v>952</v>
      </c>
      <c r="D272" s="162"/>
      <c r="E272" s="163"/>
      <c r="F272" s="162"/>
      <c r="G272" s="163"/>
      <c r="H272" s="162"/>
      <c r="I272" s="163"/>
      <c r="J272" s="162"/>
      <c r="K272" s="164"/>
      <c r="L272" s="187"/>
      <c r="M272" s="187"/>
      <c r="N272" s="187"/>
      <c r="O272" s="187"/>
      <c r="P272" s="187"/>
      <c r="Q272" s="187"/>
      <c r="R272" s="187"/>
      <c r="S272" s="187"/>
      <c r="T272" s="187"/>
      <c r="U272" s="187"/>
      <c r="V272" s="187"/>
      <c r="W272" s="187"/>
      <c r="X272" s="187"/>
      <c r="Y272" s="187"/>
      <c r="Z272" s="187"/>
      <c r="AA272" s="187"/>
      <c r="AB272" s="208">
        <f t="shared" si="45"/>
        <v>0</v>
      </c>
      <c r="AC272" s="216"/>
      <c r="AD272" s="675"/>
      <c r="AE272" s="171"/>
      <c r="AF272" s="274"/>
      <c r="AG272" s="158">
        <v>46</v>
      </c>
    </row>
    <row r="273" spans="1:33" s="4" customFormat="1" ht="42.75" customHeight="1">
      <c r="A273" s="861"/>
      <c r="B273" s="169" t="s">
        <v>955</v>
      </c>
      <c r="C273" s="547" t="s">
        <v>961</v>
      </c>
      <c r="D273" s="162"/>
      <c r="E273" s="163"/>
      <c r="F273" s="162"/>
      <c r="G273" s="163"/>
      <c r="H273" s="162"/>
      <c r="I273" s="163"/>
      <c r="J273" s="162"/>
      <c r="K273" s="164"/>
      <c r="L273" s="187"/>
      <c r="M273" s="187"/>
      <c r="N273" s="187"/>
      <c r="O273" s="187"/>
      <c r="P273" s="187"/>
      <c r="Q273" s="187"/>
      <c r="R273" s="187"/>
      <c r="S273" s="187"/>
      <c r="T273" s="187"/>
      <c r="U273" s="187"/>
      <c r="V273" s="187"/>
      <c r="W273" s="187"/>
      <c r="X273" s="187"/>
      <c r="Y273" s="187"/>
      <c r="Z273" s="187"/>
      <c r="AA273" s="187"/>
      <c r="AB273" s="208">
        <f t="shared" si="45"/>
        <v>0</v>
      </c>
      <c r="AC273" s="216"/>
      <c r="AD273" s="675"/>
      <c r="AE273" s="171"/>
      <c r="AF273" s="464" t="str">
        <f>CONCATENATE(AE273,AE274,AE275)</f>
        <v/>
      </c>
      <c r="AG273" s="158">
        <v>44</v>
      </c>
    </row>
    <row r="274" spans="1:33" s="4" customFormat="1" ht="42.75" customHeight="1">
      <c r="A274" s="861"/>
      <c r="B274" s="169" t="s">
        <v>956</v>
      </c>
      <c r="C274" s="547" t="s">
        <v>962</v>
      </c>
      <c r="D274" s="162"/>
      <c r="E274" s="163"/>
      <c r="F274" s="162"/>
      <c r="G274" s="163"/>
      <c r="H274" s="162"/>
      <c r="I274" s="163"/>
      <c r="J274" s="162"/>
      <c r="K274" s="164"/>
      <c r="L274" s="187"/>
      <c r="M274" s="187"/>
      <c r="N274" s="187"/>
      <c r="O274" s="187"/>
      <c r="P274" s="187"/>
      <c r="Q274" s="187"/>
      <c r="R274" s="187"/>
      <c r="S274" s="187"/>
      <c r="T274" s="187"/>
      <c r="U274" s="187"/>
      <c r="V274" s="187"/>
      <c r="W274" s="187"/>
      <c r="X274" s="187"/>
      <c r="Y274" s="187"/>
      <c r="Z274" s="187"/>
      <c r="AA274" s="187"/>
      <c r="AB274" s="208">
        <f t="shared" si="45"/>
        <v>0</v>
      </c>
      <c r="AC274" s="216"/>
      <c r="AD274" s="675"/>
      <c r="AE274" s="171"/>
      <c r="AF274" s="274"/>
      <c r="AG274" s="158">
        <v>45</v>
      </c>
    </row>
    <row r="275" spans="1:33" s="4" customFormat="1" ht="42.75" customHeight="1" thickBot="1">
      <c r="A275" s="861"/>
      <c r="B275" s="169" t="s">
        <v>957</v>
      </c>
      <c r="C275" s="547" t="s">
        <v>963</v>
      </c>
      <c r="D275" s="162"/>
      <c r="E275" s="163"/>
      <c r="F275" s="162"/>
      <c r="G275" s="163"/>
      <c r="H275" s="162"/>
      <c r="I275" s="163"/>
      <c r="J275" s="162"/>
      <c r="K275" s="164"/>
      <c r="L275" s="187"/>
      <c r="M275" s="187"/>
      <c r="N275" s="187"/>
      <c r="O275" s="187"/>
      <c r="P275" s="187"/>
      <c r="Q275" s="187"/>
      <c r="R275" s="187"/>
      <c r="S275" s="187"/>
      <c r="T275" s="187"/>
      <c r="U275" s="187"/>
      <c r="V275" s="187"/>
      <c r="W275" s="187"/>
      <c r="X275" s="187"/>
      <c r="Y275" s="187"/>
      <c r="Z275" s="187"/>
      <c r="AA275" s="187"/>
      <c r="AB275" s="208">
        <f t="shared" si="45"/>
        <v>0</v>
      </c>
      <c r="AC275" s="216"/>
      <c r="AD275" s="675"/>
      <c r="AE275" s="171"/>
      <c r="AF275" s="274"/>
      <c r="AG275" s="158">
        <v>46</v>
      </c>
    </row>
    <row r="276" spans="1:33" s="4" customFormat="1" ht="42.75" customHeight="1">
      <c r="A276" s="861"/>
      <c r="B276" s="169" t="s">
        <v>958</v>
      </c>
      <c r="C276" s="547" t="s">
        <v>964</v>
      </c>
      <c r="D276" s="162"/>
      <c r="E276" s="163"/>
      <c r="F276" s="162"/>
      <c r="G276" s="163"/>
      <c r="H276" s="162"/>
      <c r="I276" s="163"/>
      <c r="J276" s="162"/>
      <c r="K276" s="164"/>
      <c r="L276" s="187"/>
      <c r="M276" s="187"/>
      <c r="N276" s="187"/>
      <c r="O276" s="187"/>
      <c r="P276" s="187"/>
      <c r="Q276" s="187"/>
      <c r="R276" s="187"/>
      <c r="S276" s="187"/>
      <c r="T276" s="187"/>
      <c r="U276" s="187"/>
      <c r="V276" s="187"/>
      <c r="W276" s="187"/>
      <c r="X276" s="187"/>
      <c r="Y276" s="187"/>
      <c r="Z276" s="187"/>
      <c r="AA276" s="187"/>
      <c r="AB276" s="208">
        <f t="shared" si="45"/>
        <v>0</v>
      </c>
      <c r="AC276" s="216"/>
      <c r="AD276" s="675"/>
      <c r="AE276" s="171"/>
      <c r="AF276" s="464" t="str">
        <f>CONCATENATE(AE276,AE277,AE278)</f>
        <v/>
      </c>
      <c r="AG276" s="158">
        <v>44</v>
      </c>
    </row>
    <row r="277" spans="1:33" s="4" customFormat="1" ht="42.75" customHeight="1">
      <c r="A277" s="861"/>
      <c r="B277" s="169" t="s">
        <v>959</v>
      </c>
      <c r="C277" s="547" t="s">
        <v>965</v>
      </c>
      <c r="D277" s="162"/>
      <c r="E277" s="163"/>
      <c r="F277" s="162"/>
      <c r="G277" s="163"/>
      <c r="H277" s="162"/>
      <c r="I277" s="163"/>
      <c r="J277" s="162"/>
      <c r="K277" s="164"/>
      <c r="L277" s="187"/>
      <c r="M277" s="187"/>
      <c r="N277" s="187"/>
      <c r="O277" s="187"/>
      <c r="P277" s="187"/>
      <c r="Q277" s="187"/>
      <c r="R277" s="187"/>
      <c r="S277" s="187"/>
      <c r="T277" s="187"/>
      <c r="U277" s="187"/>
      <c r="V277" s="187"/>
      <c r="W277" s="187"/>
      <c r="X277" s="187"/>
      <c r="Y277" s="187"/>
      <c r="Z277" s="187"/>
      <c r="AA277" s="187"/>
      <c r="AB277" s="208">
        <f t="shared" si="45"/>
        <v>0</v>
      </c>
      <c r="AC277" s="216"/>
      <c r="AD277" s="675"/>
      <c r="AE277" s="171"/>
      <c r="AF277" s="274"/>
      <c r="AG277" s="158">
        <v>45</v>
      </c>
    </row>
    <row r="278" spans="1:33" s="4" customFormat="1" ht="42.75" customHeight="1" thickBot="1">
      <c r="A278" s="862"/>
      <c r="B278" s="169" t="s">
        <v>960</v>
      </c>
      <c r="C278" s="546" t="s">
        <v>966</v>
      </c>
      <c r="D278" s="177"/>
      <c r="E278" s="178"/>
      <c r="F278" s="177"/>
      <c r="G278" s="178"/>
      <c r="H278" s="177"/>
      <c r="I278" s="178"/>
      <c r="J278" s="177"/>
      <c r="K278" s="179"/>
      <c r="L278" s="187"/>
      <c r="M278" s="187"/>
      <c r="N278" s="187"/>
      <c r="O278" s="187"/>
      <c r="P278" s="187"/>
      <c r="Q278" s="187"/>
      <c r="R278" s="187"/>
      <c r="S278" s="187"/>
      <c r="T278" s="187"/>
      <c r="U278" s="187"/>
      <c r="V278" s="187"/>
      <c r="W278" s="187"/>
      <c r="X278" s="187"/>
      <c r="Y278" s="187"/>
      <c r="Z278" s="187"/>
      <c r="AA278" s="187"/>
      <c r="AB278" s="210">
        <f t="shared" si="45"/>
        <v>0</v>
      </c>
      <c r="AC278" s="216"/>
      <c r="AD278" s="676"/>
      <c r="AE278" s="171"/>
      <c r="AF278" s="274"/>
      <c r="AG278" s="158">
        <v>46</v>
      </c>
    </row>
    <row r="279" spans="1:33" s="4" customFormat="1" ht="52.5" customHeight="1" thickBot="1">
      <c r="A279" s="688" t="s">
        <v>997</v>
      </c>
      <c r="B279" s="689"/>
      <c r="C279" s="690"/>
      <c r="D279" s="689"/>
      <c r="E279" s="689"/>
      <c r="F279" s="689"/>
      <c r="G279" s="689"/>
      <c r="H279" s="689"/>
      <c r="I279" s="689"/>
      <c r="J279" s="689"/>
      <c r="K279" s="689"/>
      <c r="L279" s="689"/>
      <c r="M279" s="689"/>
      <c r="N279" s="689"/>
      <c r="O279" s="689"/>
      <c r="P279" s="689"/>
      <c r="Q279" s="689"/>
      <c r="R279" s="689"/>
      <c r="S279" s="689"/>
      <c r="T279" s="689"/>
      <c r="U279" s="689"/>
      <c r="V279" s="689"/>
      <c r="W279" s="689"/>
      <c r="X279" s="689"/>
      <c r="Y279" s="689"/>
      <c r="Z279" s="689"/>
      <c r="AA279" s="689"/>
      <c r="AB279" s="689"/>
      <c r="AC279" s="689"/>
      <c r="AD279" s="689"/>
      <c r="AE279" s="689"/>
      <c r="AF279" s="691"/>
      <c r="AG279" s="158">
        <v>41</v>
      </c>
    </row>
    <row r="280" spans="1:33" s="4" customFormat="1" ht="42.75" customHeight="1" thickBot="1">
      <c r="A280" s="860" t="s">
        <v>968</v>
      </c>
      <c r="B280" s="161" t="s">
        <v>100</v>
      </c>
      <c r="C280" s="545" t="s">
        <v>987</v>
      </c>
      <c r="D280" s="182"/>
      <c r="E280" s="183"/>
      <c r="F280" s="182"/>
      <c r="G280" s="183"/>
      <c r="H280" s="182"/>
      <c r="I280" s="183"/>
      <c r="J280" s="182"/>
      <c r="K280" s="184"/>
      <c r="L280" s="215"/>
      <c r="M280" s="215"/>
      <c r="N280" s="215"/>
      <c r="O280" s="215"/>
      <c r="P280" s="215"/>
      <c r="Q280" s="215"/>
      <c r="R280" s="215"/>
      <c r="S280" s="215"/>
      <c r="T280" s="215"/>
      <c r="U280" s="215"/>
      <c r="V280" s="215"/>
      <c r="W280" s="215"/>
      <c r="X280" s="215"/>
      <c r="Y280" s="215"/>
      <c r="Z280" s="215"/>
      <c r="AA280" s="215"/>
      <c r="AB280" s="205">
        <f t="shared" ref="AB280:AB288" si="46">SUM(D280:AA280)</f>
        <v>0</v>
      </c>
      <c r="AC280" s="206" t="str">
        <f>CONCATENATE(IF(D280&gt;D270," * GEND_GBV_LINK_COMM Num  "&amp;$B280&amp;" "&amp;$D$19&amp;" "&amp;$D$20&amp;" is more than GEND_GBV_LINK_COMM Den  "&amp;$B270&amp;""&amp;CHAR(10),""),IF(E280&gt;E270," * GEND_GBV_LINK_COMM Num  "&amp;$B280&amp;" "&amp;$D$19&amp;" "&amp;$E$20&amp;" is more than GEND_GBV_LINK_COMM Den  "&amp;$B270&amp;""&amp;CHAR(10),""),IF(F280&gt;F270," * GEND_GBV_LINK_COMM Num  "&amp;$B280&amp;" "&amp;$F$19&amp;" "&amp;$F$20&amp;" is more than GEND_GBV_LINK_COMM Den  "&amp;$B270&amp;""&amp;CHAR(10),""),IF(G280&gt;G270," * GEND_GBV_LINK_COMM Num  "&amp;$B280&amp;" "&amp;$F$19&amp;" "&amp;$G$20&amp;" is more than GEND_GBV_LINK_COMM Den  "&amp;$B270&amp;""&amp;CHAR(10),""),IF(H280&gt;H270," * GEND_GBV_LINK_COMM Num  "&amp;$B280&amp;" "&amp;$H$19&amp;" "&amp;$H$20&amp;" is more than GEND_GBV_LINK_COMM Den  "&amp;$B270&amp;""&amp;CHAR(10),""),IF(I280&gt;I270," * GEND_GBV_LINK_COMM Num  "&amp;$B280&amp;" "&amp;$H$19&amp;" "&amp;$I$20&amp;" is more than GEND_GBV_LINK_COMM Den  "&amp;$B270&amp;""&amp;CHAR(10),""),IF(J280&gt;J270," * GEND_GBV_LINK_COMM Num  "&amp;$B280&amp;" "&amp;$J$19&amp;" "&amp;$J$20&amp;" is more than GEND_GBV_LINK_COMM Den  "&amp;$B270&amp;""&amp;CHAR(10),""),IF(K280&gt;K270," * GEND_GBV_LINK_COMM Num  "&amp;$B280&amp;" "&amp;$J$19&amp;" "&amp;$K$20&amp;" is more than GEND_GBV_LINK_COMM Den  "&amp;$B270&amp;""&amp;CHAR(10),""),IF(L280&gt;L270," * GEND_GBV_LINK_COMM Num  "&amp;$B280&amp;" "&amp;$L$19&amp;" "&amp;$L$20&amp;" is more than GEND_GBV_LINK_COMM Den  "&amp;$B270&amp;""&amp;CHAR(10),""),IF(M280&gt;M270," * GEND_GBV_LINK_COMM Num  "&amp;$B280&amp;" "&amp;$L$19&amp;" "&amp;$M$20&amp;" is more than GEND_GBV_LINK_COMM Den  "&amp;$B270&amp;""&amp;CHAR(10),""),IF(N280&gt;N270," * GEND_GBV_LINK_COMM Num  "&amp;$B280&amp;" "&amp;$N$19&amp;" "&amp;$N$20&amp;" is more than GEND_GBV_LINK_COMM Den  "&amp;$B270&amp;""&amp;CHAR(10),""),IF(O280&gt;O270," * GEND_GBV_LINK_COMM Num  "&amp;$B280&amp;" "&amp;$N$19&amp;" "&amp;$O$20&amp;" is more than GEND_GBV_LINK_COMM Den  "&amp;$B270&amp;""&amp;CHAR(10),""),IF(P280&gt;P270," * GEND_GBV_LINK_COMM Num  "&amp;$B280&amp;" "&amp;$P$19&amp;" "&amp;$P$20&amp;" is more than GEND_GBV_LINK_COMM Den  "&amp;$B270&amp;""&amp;CHAR(10),""),IF(Q280&gt;Q270," * GEND_GBV_LINK_COMM Num  "&amp;$B280&amp;" "&amp;$P$19&amp;" "&amp;$Q$20&amp;" is more than GEND_GBV_LINK_COMM Den  "&amp;$B270&amp;""&amp;CHAR(10),""),IF(R280&gt;R270," * GEND_GBV_LINK_COMM Num  "&amp;$B280&amp;" "&amp;$R$19&amp;" "&amp;$R$20&amp;" is more than GEND_GBV_LINK_COMM Den  "&amp;$B270&amp;""&amp;CHAR(10),""),IF(S280&gt;S270," * GEND_GBV_LINK_COMM Num  "&amp;$B280&amp;" "&amp;$R$19&amp;" "&amp;$S$20&amp;" is more than GEND_GBV_LINK_COMM Den  "&amp;$B270&amp;""&amp;CHAR(10),""),IF(T280&gt;T270," * GEND_GBV_LINK_COMM Num  "&amp;$B280&amp;" "&amp;$T$19&amp;" "&amp;$T$20&amp;" is more than GEND_GBV_LINK_COMM Den  "&amp;$B270&amp;""&amp;CHAR(10),""),IF(U280&gt;U270," * GEND_GBV_LINK_COMM Num  "&amp;$B280&amp;" "&amp;$T$19&amp;" "&amp;$U$20&amp;" is more than GEND_GBV_LINK_COMM Den  "&amp;$B270&amp;""&amp;CHAR(10),""),IF(V280&gt;V270," * GEND_GBV_LINK_COMM Num  "&amp;$B280&amp;" "&amp;$V$19&amp;" "&amp;$V$20&amp;" is more than GEND_GBV_LINK_COMM Den  "&amp;$B270&amp;""&amp;CHAR(10),""),IF(W280&gt;W270," * GEND_GBV_LINK_COMM Num  "&amp;$B280&amp;" "&amp;$V$19&amp;" "&amp;$W$20&amp;" is more than GEND_GBV_LINK_COMM Den  "&amp;$B270&amp;""&amp;CHAR(10),""),IF(X280&gt;X270," * GEND_GBV_LINK_COMM Num  "&amp;$B280&amp;" "&amp;$X$19&amp;" "&amp;$X$20&amp;" is more than GEND_GBV_LINK_COMM Den  "&amp;$B270&amp;""&amp;CHAR(10),""),IF(Y280&gt;Y270," * GEND_GBV_LINK_COMM Num  "&amp;$B280&amp;" "&amp;$X$19&amp;" "&amp;$Y$20&amp;" is more than GEND_GBV_LINK_COMM Den  "&amp;$B270&amp;""&amp;CHAR(10),""),IF(Z280&gt;Z270," * GEND_GBV_LINK_COMM Num  "&amp;$B280&amp;" "&amp;$Z$19&amp;" "&amp;$Z$20&amp;" is more than GEND_GBV_LINK_COMM Den  "&amp;$B270&amp;""&amp;CHAR(10),""),IF(AA280&gt;AA270," * GEND_GBV_LINK_COMM Num  "&amp;$B280&amp;" "&amp;$Z$19&amp;" "&amp;$AA$20&amp;" is more than GEND_GBV_LINK_COMM Den  "&amp;$B270&amp;""&amp;CHAR(10),""))</f>
        <v/>
      </c>
      <c r="AD280" s="674" t="str">
        <f>CONCATENATE(AC280,AC281,AC282,AC283,AC284,AC285,AC286,AC287,AC288)</f>
        <v/>
      </c>
      <c r="AE280" s="171"/>
      <c r="AF280" s="464" t="str">
        <f>CONCATENATE(AE280,AE281,AE282)</f>
        <v/>
      </c>
      <c r="AG280" s="158">
        <v>44</v>
      </c>
    </row>
    <row r="281" spans="1:33" s="4" customFormat="1" ht="42.75" customHeight="1" thickBot="1">
      <c r="A281" s="861"/>
      <c r="B281" s="169" t="s">
        <v>953</v>
      </c>
      <c r="C281" s="547" t="s">
        <v>988</v>
      </c>
      <c r="D281" s="162"/>
      <c r="E281" s="163"/>
      <c r="F281" s="162"/>
      <c r="G281" s="163"/>
      <c r="H281" s="162"/>
      <c r="I281" s="163"/>
      <c r="J281" s="162"/>
      <c r="K281" s="164"/>
      <c r="L281" s="187"/>
      <c r="M281" s="187"/>
      <c r="N281" s="187"/>
      <c r="O281" s="187"/>
      <c r="P281" s="187"/>
      <c r="Q281" s="187"/>
      <c r="R281" s="187"/>
      <c r="S281" s="187"/>
      <c r="T281" s="187"/>
      <c r="U281" s="187"/>
      <c r="V281" s="187"/>
      <c r="W281" s="187"/>
      <c r="X281" s="187"/>
      <c r="Y281" s="187"/>
      <c r="Z281" s="187"/>
      <c r="AA281" s="187"/>
      <c r="AB281" s="208">
        <f t="shared" si="46"/>
        <v>0</v>
      </c>
      <c r="AC281" s="206" t="str">
        <f>CONCATENATE(IF(D281&gt;D271," * GEND_GBV_LINK_COMM Num  "&amp;$B281&amp;" "&amp;$D$19&amp;" "&amp;$D$20&amp;" is more than GEND_GBV_LINK_COMM Den  "&amp;$B271&amp;""&amp;CHAR(10),""),IF(E281&gt;E271," * GEND_GBV_LINK_COMM Num  "&amp;$B281&amp;" "&amp;$D$19&amp;" "&amp;$E$20&amp;" is more than GEND_GBV_LINK_COMM Den  "&amp;$B271&amp;""&amp;CHAR(10),""),IF(F281&gt;F271," * GEND_GBV_LINK_COMM Num  "&amp;$B281&amp;" "&amp;$F$19&amp;" "&amp;$F$20&amp;" is more than GEND_GBV_LINK_COMM Den  "&amp;$B271&amp;""&amp;CHAR(10),""),IF(G281&gt;G271," * GEND_GBV_LINK_COMM Num  "&amp;$B281&amp;" "&amp;$F$19&amp;" "&amp;$G$20&amp;" is more than GEND_GBV_LINK_COMM Den  "&amp;$B271&amp;""&amp;CHAR(10),""),IF(H281&gt;H271," * GEND_GBV_LINK_COMM Num  "&amp;$B281&amp;" "&amp;$H$19&amp;" "&amp;$H$20&amp;" is more than GEND_GBV_LINK_COMM Den  "&amp;$B271&amp;""&amp;CHAR(10),""),IF(I281&gt;I271," * GEND_GBV_LINK_COMM Num  "&amp;$B281&amp;" "&amp;$H$19&amp;" "&amp;$I$20&amp;" is more than GEND_GBV_LINK_COMM Den  "&amp;$B271&amp;""&amp;CHAR(10),""),IF(J281&gt;J271," * GEND_GBV_LINK_COMM Num  "&amp;$B281&amp;" "&amp;$J$19&amp;" "&amp;$J$20&amp;" is more than GEND_GBV_LINK_COMM Den  "&amp;$B271&amp;""&amp;CHAR(10),""),IF(K281&gt;K271," * GEND_GBV_LINK_COMM Num  "&amp;$B281&amp;" "&amp;$J$19&amp;" "&amp;$K$20&amp;" is more than GEND_GBV_LINK_COMM Den  "&amp;$B271&amp;""&amp;CHAR(10),""),IF(L281&gt;L271," * GEND_GBV_LINK_COMM Num  "&amp;$B281&amp;" "&amp;$L$19&amp;" "&amp;$L$20&amp;" is more than GEND_GBV_LINK_COMM Den  "&amp;$B271&amp;""&amp;CHAR(10),""),IF(M281&gt;M271," * GEND_GBV_LINK_COMM Num  "&amp;$B281&amp;" "&amp;$L$19&amp;" "&amp;$M$20&amp;" is more than GEND_GBV_LINK_COMM Den  "&amp;$B271&amp;""&amp;CHAR(10),""),IF(N281&gt;N271," * GEND_GBV_LINK_COMM Num  "&amp;$B281&amp;" "&amp;$N$19&amp;" "&amp;$N$20&amp;" is more than GEND_GBV_LINK_COMM Den  "&amp;$B271&amp;""&amp;CHAR(10),""),IF(O281&gt;O271," * GEND_GBV_LINK_COMM Num  "&amp;$B281&amp;" "&amp;$N$19&amp;" "&amp;$O$20&amp;" is more than GEND_GBV_LINK_COMM Den  "&amp;$B271&amp;""&amp;CHAR(10),""),IF(P281&gt;P271," * GEND_GBV_LINK_COMM Num  "&amp;$B281&amp;" "&amp;$P$19&amp;" "&amp;$P$20&amp;" is more than GEND_GBV_LINK_COMM Den  "&amp;$B271&amp;""&amp;CHAR(10),""),IF(Q281&gt;Q271," * GEND_GBV_LINK_COMM Num  "&amp;$B281&amp;" "&amp;$P$19&amp;" "&amp;$Q$20&amp;" is more than GEND_GBV_LINK_COMM Den  "&amp;$B271&amp;""&amp;CHAR(10),""),IF(R281&gt;R271," * GEND_GBV_LINK_COMM Num  "&amp;$B281&amp;" "&amp;$R$19&amp;" "&amp;$R$20&amp;" is more than GEND_GBV_LINK_COMM Den  "&amp;$B271&amp;""&amp;CHAR(10),""),IF(S281&gt;S271," * GEND_GBV_LINK_COMM Num  "&amp;$B281&amp;" "&amp;$R$19&amp;" "&amp;$S$20&amp;" is more than GEND_GBV_LINK_COMM Den  "&amp;$B271&amp;""&amp;CHAR(10),""),IF(T281&gt;T271," * GEND_GBV_LINK_COMM Num  "&amp;$B281&amp;" "&amp;$T$19&amp;" "&amp;$T$20&amp;" is more than GEND_GBV_LINK_COMM Den  "&amp;$B271&amp;""&amp;CHAR(10),""),IF(U281&gt;U271," * GEND_GBV_LINK_COMM Num  "&amp;$B281&amp;" "&amp;$T$19&amp;" "&amp;$U$20&amp;" is more than GEND_GBV_LINK_COMM Den  "&amp;$B271&amp;""&amp;CHAR(10),""),IF(V281&gt;V271," * GEND_GBV_LINK_COMM Num  "&amp;$B281&amp;" "&amp;$V$19&amp;" "&amp;$V$20&amp;" is more than GEND_GBV_LINK_COMM Den  "&amp;$B271&amp;""&amp;CHAR(10),""),IF(W281&gt;W271," * GEND_GBV_LINK_COMM Num  "&amp;$B281&amp;" "&amp;$V$19&amp;" "&amp;$W$20&amp;" is more than GEND_GBV_LINK_COMM Den  "&amp;$B271&amp;""&amp;CHAR(10),""),IF(X281&gt;X271," * GEND_GBV_LINK_COMM Num  "&amp;$B281&amp;" "&amp;$X$19&amp;" "&amp;$X$20&amp;" is more than GEND_GBV_LINK_COMM Den  "&amp;$B271&amp;""&amp;CHAR(10),""),IF(Y281&gt;Y271," * GEND_GBV_LINK_COMM Num  "&amp;$B281&amp;" "&amp;$X$19&amp;" "&amp;$Y$20&amp;" is more than GEND_GBV_LINK_COMM Den  "&amp;$B271&amp;""&amp;CHAR(10),""),IF(Z281&gt;Z271," * GEND_GBV_LINK_COMM Num  "&amp;$B281&amp;" "&amp;$Z$19&amp;" "&amp;$Z$20&amp;" is more than GEND_GBV_LINK_COMM Den  "&amp;$B271&amp;""&amp;CHAR(10),""),IF(AA281&gt;AA271," * GEND_GBV_LINK_COMM Num  "&amp;$B281&amp;" "&amp;$Z$19&amp;" "&amp;$AA$20&amp;" is more than GEND_GBV_LINK_COMM Den  "&amp;$B271&amp;""&amp;CHAR(10),""))</f>
        <v/>
      </c>
      <c r="AD281" s="675"/>
      <c r="AE281" s="171"/>
      <c r="AF281" s="274"/>
      <c r="AG281" s="158">
        <v>45</v>
      </c>
    </row>
    <row r="282" spans="1:33" s="4" customFormat="1" ht="42.75" customHeight="1" thickBot="1">
      <c r="A282" s="861"/>
      <c r="B282" s="169" t="s">
        <v>954</v>
      </c>
      <c r="C282" s="547" t="s">
        <v>989</v>
      </c>
      <c r="D282" s="162"/>
      <c r="E282" s="163"/>
      <c r="F282" s="162"/>
      <c r="G282" s="163"/>
      <c r="H282" s="162"/>
      <c r="I282" s="163"/>
      <c r="J282" s="162"/>
      <c r="K282" s="164"/>
      <c r="L282" s="187"/>
      <c r="M282" s="187"/>
      <c r="N282" s="187"/>
      <c r="O282" s="187"/>
      <c r="P282" s="187"/>
      <c r="Q282" s="187"/>
      <c r="R282" s="187"/>
      <c r="S282" s="187"/>
      <c r="T282" s="187"/>
      <c r="U282" s="187"/>
      <c r="V282" s="187"/>
      <c r="W282" s="187"/>
      <c r="X282" s="187"/>
      <c r="Y282" s="187"/>
      <c r="Z282" s="187"/>
      <c r="AA282" s="187"/>
      <c r="AB282" s="208">
        <f t="shared" si="46"/>
        <v>0</v>
      </c>
      <c r="AC282" s="206" t="str">
        <f t="shared" ref="AC282:AC288" si="47">CONCATENATE(IF(D282&gt;D272," * GEND_GBV_LINK_COMM Num  "&amp;$B282&amp;" "&amp;$D$19&amp;" "&amp;$D$20&amp;" is more than GEND_GBV_LINK_COMM Den  "&amp;$B272&amp;""&amp;CHAR(10),""),IF(E282&gt;E272," * GEND_GBV_LINK_COMM Num  "&amp;$B282&amp;" "&amp;$D$19&amp;" "&amp;$E$20&amp;" is more than GEND_GBV_LINK_COMM Den  "&amp;$B272&amp;""&amp;CHAR(10),""),IF(F282&gt;F272," * GEND_GBV_LINK_COMM Num  "&amp;$B282&amp;" "&amp;$F$19&amp;" "&amp;$F$20&amp;" is more than GEND_GBV_LINK_COMM Den  "&amp;$B272&amp;""&amp;CHAR(10),""),IF(G282&gt;G272," * GEND_GBV_LINK_COMM Num  "&amp;$B282&amp;" "&amp;$F$19&amp;" "&amp;$G$20&amp;" is more than GEND_GBV_LINK_COMM Den  "&amp;$B272&amp;""&amp;CHAR(10),""),IF(H282&gt;H272," * GEND_GBV_LINK_COMM Num  "&amp;$B282&amp;" "&amp;$H$19&amp;" "&amp;$H$20&amp;" is more than GEND_GBV_LINK_COMM Den  "&amp;$B272&amp;""&amp;CHAR(10),""),IF(I282&gt;I272," * GEND_GBV_LINK_COMM Num  "&amp;$B282&amp;" "&amp;$H$19&amp;" "&amp;$I$20&amp;" is more than GEND_GBV_LINK_COMM Den  "&amp;$B272&amp;""&amp;CHAR(10),""),IF(J282&gt;J272," * GEND_GBV_LINK_COMM Num  "&amp;$B282&amp;" "&amp;$J$19&amp;" "&amp;$J$20&amp;" is more than GEND_GBV_LINK_COMM Den  "&amp;$B272&amp;""&amp;CHAR(10),""),IF(K282&gt;K272," * GEND_GBV_LINK_COMM Num  "&amp;$B282&amp;" "&amp;$J$19&amp;" "&amp;$K$20&amp;" is more than GEND_GBV_LINK_COMM Den  "&amp;$B272&amp;""&amp;CHAR(10),""),IF(L282&gt;L272," * GEND_GBV_LINK_COMM Num  "&amp;$B282&amp;" "&amp;$L$19&amp;" "&amp;$L$20&amp;" is more than GEND_GBV_LINK_COMM Den  "&amp;$B272&amp;""&amp;CHAR(10),""),IF(M282&gt;M272," * GEND_GBV_LINK_COMM Num  "&amp;$B282&amp;" "&amp;$L$19&amp;" "&amp;$M$20&amp;" is more than GEND_GBV_LINK_COMM Den  "&amp;$B272&amp;""&amp;CHAR(10),""),IF(N282&gt;N272," * GEND_GBV_LINK_COMM Num  "&amp;$B282&amp;" "&amp;$N$19&amp;" "&amp;$N$20&amp;" is more than GEND_GBV_LINK_COMM Den  "&amp;$B272&amp;""&amp;CHAR(10),""),IF(O282&gt;O272," * GEND_GBV_LINK_COMM Num  "&amp;$B282&amp;" "&amp;$N$19&amp;" "&amp;$O$20&amp;" is more than GEND_GBV_LINK_COMM Den  "&amp;$B272&amp;""&amp;CHAR(10),""),IF(P282&gt;P272," * GEND_GBV_LINK_COMM Num  "&amp;$B282&amp;" "&amp;$P$19&amp;" "&amp;$P$20&amp;" is more than GEND_GBV_LINK_COMM Den  "&amp;$B272&amp;""&amp;CHAR(10),""),IF(Q282&gt;Q272," * GEND_GBV_LINK_COMM Num  "&amp;$B282&amp;" "&amp;$P$19&amp;" "&amp;$Q$20&amp;" is more than GEND_GBV_LINK_COMM Den  "&amp;$B272&amp;""&amp;CHAR(10),""),IF(R282&gt;R272," * GEND_GBV_LINK_COMM Num  "&amp;$B282&amp;" "&amp;$R$19&amp;" "&amp;$R$20&amp;" is more than GEND_GBV_LINK_COMM Den  "&amp;$B272&amp;""&amp;CHAR(10),""),IF(S282&gt;S272," * GEND_GBV_LINK_COMM Num  "&amp;$B282&amp;" "&amp;$R$19&amp;" "&amp;$S$20&amp;" is more than GEND_GBV_LINK_COMM Den  "&amp;$B272&amp;""&amp;CHAR(10),""),IF(T282&gt;T272," * GEND_GBV_LINK_COMM Num  "&amp;$B282&amp;" "&amp;$T$19&amp;" "&amp;$T$20&amp;" is more than GEND_GBV_LINK_COMM Den  "&amp;$B272&amp;""&amp;CHAR(10),""),IF(U282&gt;U272," * GEND_GBV_LINK_COMM Num  "&amp;$B282&amp;" "&amp;$T$19&amp;" "&amp;$U$20&amp;" is more than GEND_GBV_LINK_COMM Den  "&amp;$B272&amp;""&amp;CHAR(10),""),IF(V282&gt;V272," * GEND_GBV_LINK_COMM Num  "&amp;$B282&amp;" "&amp;$V$19&amp;" "&amp;$V$20&amp;" is more than GEND_GBV_LINK_COMM Den  "&amp;$B272&amp;""&amp;CHAR(10),""),IF(W282&gt;W272," * GEND_GBV_LINK_COMM Num  "&amp;$B282&amp;" "&amp;$V$19&amp;" "&amp;$W$20&amp;" is more than GEND_GBV_LINK_COMM Den  "&amp;$B272&amp;""&amp;CHAR(10),""),IF(X282&gt;X272," * GEND_GBV_LINK_COMM Num  "&amp;$B282&amp;" "&amp;$X$19&amp;" "&amp;$X$20&amp;" is more than GEND_GBV_LINK_COMM Den  "&amp;$B272&amp;""&amp;CHAR(10),""),IF(Y282&gt;Y272," * GEND_GBV_LINK_COMM Num  "&amp;$B282&amp;" "&amp;$X$19&amp;" "&amp;$Y$20&amp;" is more than GEND_GBV_LINK_COMM Den  "&amp;$B272&amp;""&amp;CHAR(10),""),IF(Z282&gt;Z272," * GEND_GBV_LINK_COMM Num  "&amp;$B282&amp;" "&amp;$Z$19&amp;" "&amp;$Z$20&amp;" is more than GEND_GBV_LINK_COMM Den  "&amp;$B272&amp;""&amp;CHAR(10),""),IF(AA282&gt;AA272," * GEND_GBV_LINK_COMM Num  "&amp;$B282&amp;" "&amp;$Z$19&amp;" "&amp;$AA$20&amp;" is more than GEND_GBV_LINK_COMM Den  "&amp;$B272&amp;""&amp;CHAR(10),""))</f>
        <v/>
      </c>
      <c r="AD282" s="675"/>
      <c r="AE282" s="171"/>
      <c r="AF282" s="274"/>
      <c r="AG282" s="158">
        <v>46</v>
      </c>
    </row>
    <row r="283" spans="1:33" s="4" customFormat="1" ht="42.75" customHeight="1" thickBot="1">
      <c r="A283" s="861"/>
      <c r="B283" s="169" t="s">
        <v>955</v>
      </c>
      <c r="C283" s="547" t="s">
        <v>990</v>
      </c>
      <c r="D283" s="162"/>
      <c r="E283" s="163"/>
      <c r="F283" s="162"/>
      <c r="G283" s="163"/>
      <c r="H283" s="162"/>
      <c r="I283" s="163"/>
      <c r="J283" s="162"/>
      <c r="K283" s="164"/>
      <c r="L283" s="187"/>
      <c r="M283" s="187"/>
      <c r="N283" s="187"/>
      <c r="O283" s="187"/>
      <c r="P283" s="187"/>
      <c r="Q283" s="187"/>
      <c r="R283" s="187"/>
      <c r="S283" s="187"/>
      <c r="T283" s="187"/>
      <c r="U283" s="187"/>
      <c r="V283" s="187"/>
      <c r="W283" s="187"/>
      <c r="X283" s="187"/>
      <c r="Y283" s="187"/>
      <c r="Z283" s="187"/>
      <c r="AA283" s="187"/>
      <c r="AB283" s="208">
        <f t="shared" si="46"/>
        <v>0</v>
      </c>
      <c r="AC283" s="206" t="str">
        <f t="shared" si="47"/>
        <v/>
      </c>
      <c r="AD283" s="675"/>
      <c r="AE283" s="171"/>
      <c r="AF283" s="464" t="str">
        <f>CONCATENATE(AE283,AE284,AE285)</f>
        <v/>
      </c>
      <c r="AG283" s="158">
        <v>44</v>
      </c>
    </row>
    <row r="284" spans="1:33" s="4" customFormat="1" ht="42.75" customHeight="1" thickBot="1">
      <c r="A284" s="861"/>
      <c r="B284" s="169" t="s">
        <v>956</v>
      </c>
      <c r="C284" s="547" t="s">
        <v>991</v>
      </c>
      <c r="D284" s="162"/>
      <c r="E284" s="163"/>
      <c r="F284" s="162"/>
      <c r="G284" s="163"/>
      <c r="H284" s="162"/>
      <c r="I284" s="163"/>
      <c r="J284" s="162"/>
      <c r="K284" s="164"/>
      <c r="L284" s="187"/>
      <c r="M284" s="187"/>
      <c r="N284" s="187"/>
      <c r="O284" s="187"/>
      <c r="P284" s="187"/>
      <c r="Q284" s="187"/>
      <c r="R284" s="187"/>
      <c r="S284" s="187"/>
      <c r="T284" s="187"/>
      <c r="U284" s="187"/>
      <c r="V284" s="187"/>
      <c r="W284" s="187"/>
      <c r="X284" s="187"/>
      <c r="Y284" s="187"/>
      <c r="Z284" s="187"/>
      <c r="AA284" s="187"/>
      <c r="AB284" s="208">
        <f t="shared" si="46"/>
        <v>0</v>
      </c>
      <c r="AC284" s="206" t="str">
        <f t="shared" si="47"/>
        <v/>
      </c>
      <c r="AD284" s="675"/>
      <c r="AE284" s="171"/>
      <c r="AF284" s="274"/>
      <c r="AG284" s="158">
        <v>45</v>
      </c>
    </row>
    <row r="285" spans="1:33" s="4" customFormat="1" ht="42.75" customHeight="1" thickBot="1">
      <c r="A285" s="861"/>
      <c r="B285" s="169" t="s">
        <v>957</v>
      </c>
      <c r="C285" s="547" t="s">
        <v>992</v>
      </c>
      <c r="D285" s="162"/>
      <c r="E285" s="163"/>
      <c r="F285" s="162"/>
      <c r="G285" s="163"/>
      <c r="H285" s="162"/>
      <c r="I285" s="163"/>
      <c r="J285" s="162"/>
      <c r="K285" s="164"/>
      <c r="L285" s="187"/>
      <c r="M285" s="187"/>
      <c r="N285" s="187"/>
      <c r="O285" s="187"/>
      <c r="P285" s="187"/>
      <c r="Q285" s="187"/>
      <c r="R285" s="187"/>
      <c r="S285" s="187"/>
      <c r="T285" s="187"/>
      <c r="U285" s="187"/>
      <c r="V285" s="187"/>
      <c r="W285" s="187"/>
      <c r="X285" s="187"/>
      <c r="Y285" s="187"/>
      <c r="Z285" s="187"/>
      <c r="AA285" s="187"/>
      <c r="AB285" s="208">
        <f t="shared" si="46"/>
        <v>0</v>
      </c>
      <c r="AC285" s="206" t="str">
        <f t="shared" si="47"/>
        <v/>
      </c>
      <c r="AD285" s="675"/>
      <c r="AE285" s="171"/>
      <c r="AF285" s="274"/>
      <c r="AG285" s="158">
        <v>46</v>
      </c>
    </row>
    <row r="286" spans="1:33" s="4" customFormat="1" ht="42.75" customHeight="1" thickBot="1">
      <c r="A286" s="861"/>
      <c r="B286" s="169" t="s">
        <v>958</v>
      </c>
      <c r="C286" s="547" t="s">
        <v>993</v>
      </c>
      <c r="D286" s="162"/>
      <c r="E286" s="163"/>
      <c r="F286" s="162"/>
      <c r="G286" s="163"/>
      <c r="H286" s="162"/>
      <c r="I286" s="163"/>
      <c r="J286" s="162"/>
      <c r="K286" s="164"/>
      <c r="L286" s="187"/>
      <c r="M286" s="187"/>
      <c r="N286" s="187"/>
      <c r="O286" s="187"/>
      <c r="P286" s="187"/>
      <c r="Q286" s="187"/>
      <c r="R286" s="187"/>
      <c r="S286" s="187"/>
      <c r="T286" s="187"/>
      <c r="U286" s="187"/>
      <c r="V286" s="187"/>
      <c r="W286" s="187"/>
      <c r="X286" s="187"/>
      <c r="Y286" s="187"/>
      <c r="Z286" s="187"/>
      <c r="AA286" s="187"/>
      <c r="AB286" s="208">
        <f t="shared" si="46"/>
        <v>0</v>
      </c>
      <c r="AC286" s="206" t="str">
        <f t="shared" si="47"/>
        <v/>
      </c>
      <c r="AD286" s="675"/>
      <c r="AE286" s="171"/>
      <c r="AF286" s="464" t="str">
        <f>CONCATENATE(AE286,AE287,AE288)</f>
        <v/>
      </c>
      <c r="AG286" s="158">
        <v>44</v>
      </c>
    </row>
    <row r="287" spans="1:33" s="4" customFormat="1" ht="42.75" customHeight="1" thickBot="1">
      <c r="A287" s="861"/>
      <c r="B287" s="169" t="s">
        <v>959</v>
      </c>
      <c r="C287" s="547" t="s">
        <v>994</v>
      </c>
      <c r="D287" s="162"/>
      <c r="E287" s="163"/>
      <c r="F287" s="162"/>
      <c r="G287" s="163"/>
      <c r="H287" s="162"/>
      <c r="I287" s="163"/>
      <c r="J287" s="162"/>
      <c r="K287" s="164"/>
      <c r="L287" s="187"/>
      <c r="M287" s="187"/>
      <c r="N287" s="187"/>
      <c r="O287" s="187"/>
      <c r="P287" s="187"/>
      <c r="Q287" s="187"/>
      <c r="R287" s="187"/>
      <c r="S287" s="187"/>
      <c r="T287" s="187"/>
      <c r="U287" s="187"/>
      <c r="V287" s="187"/>
      <c r="W287" s="187"/>
      <c r="X287" s="187"/>
      <c r="Y287" s="187"/>
      <c r="Z287" s="187"/>
      <c r="AA287" s="187"/>
      <c r="AB287" s="208">
        <f t="shared" si="46"/>
        <v>0</v>
      </c>
      <c r="AC287" s="206" t="str">
        <f t="shared" si="47"/>
        <v/>
      </c>
      <c r="AD287" s="675"/>
      <c r="AE287" s="171"/>
      <c r="AF287" s="274"/>
      <c r="AG287" s="158">
        <v>45</v>
      </c>
    </row>
    <row r="288" spans="1:33" s="4" customFormat="1" ht="42.75" customHeight="1" thickBot="1">
      <c r="A288" s="862"/>
      <c r="B288" s="169" t="s">
        <v>960</v>
      </c>
      <c r="C288" s="546" t="s">
        <v>995</v>
      </c>
      <c r="D288" s="177"/>
      <c r="E288" s="178"/>
      <c r="F288" s="177"/>
      <c r="G288" s="178"/>
      <c r="H288" s="177"/>
      <c r="I288" s="178"/>
      <c r="J288" s="177"/>
      <c r="K288" s="179"/>
      <c r="L288" s="187"/>
      <c r="M288" s="187"/>
      <c r="N288" s="187"/>
      <c r="O288" s="187"/>
      <c r="P288" s="187"/>
      <c r="Q288" s="187"/>
      <c r="R288" s="187"/>
      <c r="S288" s="187"/>
      <c r="T288" s="187"/>
      <c r="U288" s="187"/>
      <c r="V288" s="187"/>
      <c r="W288" s="187"/>
      <c r="X288" s="187"/>
      <c r="Y288" s="187"/>
      <c r="Z288" s="187"/>
      <c r="AA288" s="187"/>
      <c r="AB288" s="210">
        <f t="shared" si="46"/>
        <v>0</v>
      </c>
      <c r="AC288" s="206" t="str">
        <f t="shared" si="47"/>
        <v/>
      </c>
      <c r="AD288" s="676"/>
      <c r="AE288" s="171"/>
      <c r="AF288" s="274"/>
      <c r="AG288" s="158">
        <v>46</v>
      </c>
    </row>
    <row r="289" spans="1:33" s="4" customFormat="1" ht="38.25" customHeight="1" thickBot="1">
      <c r="A289" s="856" t="s">
        <v>1035</v>
      </c>
      <c r="B289" s="692"/>
      <c r="C289" s="692"/>
      <c r="D289" s="692"/>
      <c r="E289" s="692"/>
      <c r="F289" s="692"/>
      <c r="G289" s="692"/>
      <c r="H289" s="692"/>
      <c r="I289" s="692"/>
      <c r="J289" s="692"/>
      <c r="K289" s="692"/>
      <c r="L289" s="692"/>
      <c r="M289" s="692"/>
      <c r="N289" s="692"/>
      <c r="O289" s="692"/>
      <c r="P289" s="692"/>
      <c r="Q289" s="692"/>
      <c r="R289" s="692"/>
      <c r="S289" s="692"/>
      <c r="T289" s="692"/>
      <c r="U289" s="692"/>
      <c r="V289" s="692"/>
      <c r="W289" s="692"/>
      <c r="X289" s="692"/>
      <c r="Y289" s="692"/>
      <c r="Z289" s="692"/>
      <c r="AA289" s="692"/>
      <c r="AB289" s="692"/>
      <c r="AC289" s="692"/>
      <c r="AD289" s="692"/>
      <c r="AE289" s="692"/>
      <c r="AF289" s="848"/>
      <c r="AG289" s="158">
        <v>93</v>
      </c>
    </row>
    <row r="290" spans="1:33" s="4" customFormat="1" ht="38.25" customHeight="1">
      <c r="A290" s="721" t="s">
        <v>17</v>
      </c>
      <c r="B290" s="721" t="s">
        <v>25</v>
      </c>
      <c r="C290" s="717" t="s">
        <v>24</v>
      </c>
      <c r="D290" s="687" t="s">
        <v>0</v>
      </c>
      <c r="E290" s="687"/>
      <c r="F290" s="687" t="s">
        <v>1</v>
      </c>
      <c r="G290" s="687"/>
      <c r="H290" s="687" t="s">
        <v>2</v>
      </c>
      <c r="I290" s="687"/>
      <c r="J290" s="687" t="s">
        <v>3</v>
      </c>
      <c r="K290" s="687"/>
      <c r="L290" s="681" t="s">
        <v>4</v>
      </c>
      <c r="M290" s="682"/>
      <c r="N290" s="681" t="s">
        <v>5</v>
      </c>
      <c r="O290" s="682"/>
      <c r="P290" s="681" t="s">
        <v>6</v>
      </c>
      <c r="Q290" s="682"/>
      <c r="R290" s="681" t="s">
        <v>7</v>
      </c>
      <c r="S290" s="682"/>
      <c r="T290" s="681" t="s">
        <v>8</v>
      </c>
      <c r="U290" s="682"/>
      <c r="V290" s="681" t="s">
        <v>14</v>
      </c>
      <c r="W290" s="682"/>
      <c r="X290" s="681" t="s">
        <v>15</v>
      </c>
      <c r="Y290" s="682"/>
      <c r="Z290" s="681" t="s">
        <v>9</v>
      </c>
      <c r="AA290" s="682"/>
      <c r="AB290" s="683" t="s">
        <v>12</v>
      </c>
      <c r="AC290" s="854" t="s">
        <v>26</v>
      </c>
      <c r="AD290" s="273"/>
      <c r="AE290" s="704" t="s">
        <v>32</v>
      </c>
      <c r="AF290" s="274"/>
      <c r="AG290" s="158">
        <v>94</v>
      </c>
    </row>
    <row r="291" spans="1:33" s="4" customFormat="1" ht="38.25" customHeight="1" thickBot="1">
      <c r="A291" s="703"/>
      <c r="B291" s="703"/>
      <c r="C291" s="717"/>
      <c r="D291" s="95" t="s">
        <v>10</v>
      </c>
      <c r="E291" s="95" t="s">
        <v>11</v>
      </c>
      <c r="F291" s="95" t="s">
        <v>10</v>
      </c>
      <c r="G291" s="95" t="s">
        <v>11</v>
      </c>
      <c r="H291" s="95" t="s">
        <v>10</v>
      </c>
      <c r="I291" s="95" t="s">
        <v>11</v>
      </c>
      <c r="J291" s="95" t="s">
        <v>10</v>
      </c>
      <c r="K291" s="95" t="s">
        <v>11</v>
      </c>
      <c r="L291" s="95" t="s">
        <v>10</v>
      </c>
      <c r="M291" s="95" t="s">
        <v>11</v>
      </c>
      <c r="N291" s="95" t="s">
        <v>10</v>
      </c>
      <c r="O291" s="95" t="s">
        <v>11</v>
      </c>
      <c r="P291" s="95" t="s">
        <v>10</v>
      </c>
      <c r="Q291" s="95" t="s">
        <v>11</v>
      </c>
      <c r="R291" s="95" t="s">
        <v>10</v>
      </c>
      <c r="S291" s="95" t="s">
        <v>11</v>
      </c>
      <c r="T291" s="95" t="s">
        <v>10</v>
      </c>
      <c r="U291" s="95" t="s">
        <v>11</v>
      </c>
      <c r="V291" s="95" t="s">
        <v>10</v>
      </c>
      <c r="W291" s="95" t="s">
        <v>11</v>
      </c>
      <c r="X291" s="95" t="s">
        <v>10</v>
      </c>
      <c r="Y291" s="95" t="s">
        <v>11</v>
      </c>
      <c r="Z291" s="95" t="s">
        <v>10</v>
      </c>
      <c r="AA291" s="95" t="s">
        <v>11</v>
      </c>
      <c r="AB291" s="684"/>
      <c r="AC291" s="855"/>
      <c r="AD291" s="273"/>
      <c r="AE291" s="705"/>
      <c r="AF291" s="274"/>
      <c r="AG291" s="158">
        <v>95</v>
      </c>
    </row>
    <row r="292" spans="1:33" s="4" customFormat="1" ht="38.25" customHeight="1" thickBot="1">
      <c r="A292" s="381" t="s">
        <v>120</v>
      </c>
      <c r="B292" s="294" t="s">
        <v>123</v>
      </c>
      <c r="C292" s="304" t="s">
        <v>353</v>
      </c>
      <c r="D292" s="305">
        <f t="shared" ref="D292:K292" si="48">SUM(D293:D295)</f>
        <v>0</v>
      </c>
      <c r="E292" s="306">
        <f t="shared" si="48"/>
        <v>0</v>
      </c>
      <c r="F292" s="306">
        <f t="shared" si="48"/>
        <v>0</v>
      </c>
      <c r="G292" s="306">
        <f t="shared" si="48"/>
        <v>0</v>
      </c>
      <c r="H292" s="306">
        <f t="shared" si="48"/>
        <v>0</v>
      </c>
      <c r="I292" s="306">
        <f t="shared" si="48"/>
        <v>0</v>
      </c>
      <c r="J292" s="306">
        <f t="shared" si="48"/>
        <v>0</v>
      </c>
      <c r="K292" s="306">
        <f t="shared" si="48"/>
        <v>0</v>
      </c>
      <c r="L292" s="306">
        <f>SUM(L296:L307)</f>
        <v>0</v>
      </c>
      <c r="M292" s="306">
        <f t="shared" ref="M292:AB292" si="49">SUM(M296:M307)</f>
        <v>0</v>
      </c>
      <c r="N292" s="306">
        <f t="shared" si="49"/>
        <v>0</v>
      </c>
      <c r="O292" s="306">
        <f t="shared" si="49"/>
        <v>0</v>
      </c>
      <c r="P292" s="306">
        <f t="shared" si="49"/>
        <v>0</v>
      </c>
      <c r="Q292" s="306">
        <f t="shared" si="49"/>
        <v>0</v>
      </c>
      <c r="R292" s="306">
        <f t="shared" si="49"/>
        <v>0</v>
      </c>
      <c r="S292" s="306">
        <f t="shared" si="49"/>
        <v>0</v>
      </c>
      <c r="T292" s="306">
        <f t="shared" si="49"/>
        <v>0</v>
      </c>
      <c r="U292" s="306">
        <f t="shared" si="49"/>
        <v>0</v>
      </c>
      <c r="V292" s="306">
        <f t="shared" si="49"/>
        <v>0</v>
      </c>
      <c r="W292" s="306">
        <f t="shared" si="49"/>
        <v>0</v>
      </c>
      <c r="X292" s="306">
        <f t="shared" si="49"/>
        <v>0</v>
      </c>
      <c r="Y292" s="306">
        <f t="shared" si="49"/>
        <v>0</v>
      </c>
      <c r="Z292" s="306">
        <f t="shared" si="49"/>
        <v>0</v>
      </c>
      <c r="AA292" s="306">
        <f t="shared" si="49"/>
        <v>0</v>
      </c>
      <c r="AB292" s="306">
        <f t="shared" si="49"/>
        <v>0</v>
      </c>
      <c r="AC292" s="269" t="str">
        <f>CONCATENATE(IF(D292&lt;&gt;(D293+D294+D295)," * sum of ARV Dispensing Quantity  "&amp;$D$19&amp;" "&amp;$D$20&amp;" is not equal to   TX_CURR_VERIFY ALL"&amp;CHAR(10),""),IF(E292&lt;&gt;(E293+E294+E295)," * sum of ARV Dispensing Quantity  "&amp;$D$19&amp;" "&amp;$E$20&amp;" is not equal to   TX_CURR_VERIFY ALL"&amp;CHAR(10),""),IF(F292&lt;&gt;(F293+F294+F295)," * sum of ARV Dispensing Quantity  "&amp;$F$19&amp;" "&amp;$F$20&amp;" is not equal to   TX_CURR_VERIFY ALL"&amp;CHAR(10),""),IF(G292&lt;&gt;(G293+G294+G295)," * sum of ARV Dispensing Quantity  "&amp;$F$19&amp;" "&amp;$G$20&amp;" is not equal to   TX_CURR_VERIFY ALL"&amp;CHAR(10),""),IF(H292&lt;&gt;(H293+H294+H295)," * sum of ARV Dispensing Quantity  "&amp;$H$19&amp;" "&amp;$H$20&amp;" is not equal to   TX_CURR_VERIFY ALL"&amp;CHAR(10),""),IF(I292&lt;&gt;(I293+I294+I295)," * sum of ARV Dispensing Quantity  "&amp;$H$19&amp;" "&amp;$I$20&amp;" is not equal to   TX_CURR_VERIFY ALL"&amp;CHAR(10),""),IF(J292&lt;&gt;(J293+J294+J295)," * sum of ARV Dispensing Quantity  "&amp;$J$19&amp;" "&amp;$J$20&amp;" is not equal to   TX_CURR_VERIFY ALL"&amp;CHAR(10),""),IF(K292&lt;&gt;(K293+K294+K295)," * sum of ARV Dispensing Quantity  "&amp;$J$19&amp;" "&amp;$K$20&amp;" is not equal to   TX_CURR_VERIFY ALL"&amp;CHAR(10),""),IF(L292&lt;&gt;(L293+L294+L295)," * sum of ARV Dispensing Quantity  "&amp;$L$19&amp;" "&amp;$L$20&amp;" is not equal to   TX_CURR_VERIFY ALL"&amp;CHAR(10),""),IF(M292&lt;&gt;(M293+M294+M295)," * sum of ARV Dispensing Quantity  "&amp;$L$19&amp;" "&amp;$M$20&amp;" is not equal to   TX_CURR_VERIFY ALL"&amp;CHAR(10),""),IF(N292&lt;&gt;(N293+N294+N295)," * sum of ARV Dispensing Quantity  "&amp;$N$19&amp;" "&amp;$N$20&amp;" is not equal to   TX_CURR_VERIFY ALL"&amp;CHAR(10),""),IF(O292&lt;&gt;(O293+O294+O295)," * sum of ARV Dispensing Quantity  "&amp;$N$19&amp;" "&amp;$O$20&amp;" is not equal to   TX_CURR_VERIFY ALL"&amp;CHAR(10),""),IF(P292&lt;&gt;(P293+P294+P295)," * sum of ARV Dispensing Quantity  "&amp;$P$19&amp;" "&amp;$P$20&amp;" is not equal to   TX_CURR_VERIFY ALL"&amp;CHAR(10),""),IF(Q292&lt;&gt;(Q293+Q294+Q295)," * sum of ARV Dispensing Quantity  "&amp;$P$19&amp;" "&amp;$Q$20&amp;" is not equal to   TX_CURR_VERIFY ALL"&amp;CHAR(10),""),IF(R292&lt;&gt;(R293+R294+R295)," * sum of ARV Dispensing Quantity  "&amp;$R$19&amp;" "&amp;$R$20&amp;" is not equal to   TX_CURR_VERIFY ALL"&amp;CHAR(10),""),IF(S292&lt;&gt;(S293+S294+S295)," * sum of ARV Dispensing Quantity  "&amp;$R$19&amp;" "&amp;$S$20&amp;" is not equal to   TX_CURR_VERIFY ALL"&amp;CHAR(10),""),IF(T292&lt;&gt;(T293+T294+T295)," * sum of ARV Dispensing Quantity  "&amp;$T$19&amp;" "&amp;$T$20&amp;" is not equal to   TX_CURR_VERIFY ALL"&amp;CHAR(10),""),IF(U292&lt;&gt;(U293+U294+U295)," * sum of ARV Dispensing Quantity  "&amp;$T$19&amp;" "&amp;$U$20&amp;" is not equal to   TX_CURR_VERIFY ALL"&amp;CHAR(10),""),IF(V292&lt;&gt;(V293+V294+V295)," * sum of ARV Dispensing Quantity  "&amp;$V$19&amp;" "&amp;$V$20&amp;" is not equal to   TX_CURR_VERIFY ALL"&amp;CHAR(10),""),IF(W292&lt;&gt;(W293+W294+W295)," * sum of ARV Dispensing Quantity  "&amp;$V$19&amp;" "&amp;$W$20&amp;" is not equal to   TX_CURR_VERIFY ALL"&amp;CHAR(10),""),IF(X292&lt;&gt;(X293+X294+X295)," * sum of ARV Dispensing Quantity  "&amp;$X$19&amp;" "&amp;$X$20&amp;" is not equal to   TX_CURR_VERIFY ALL"&amp;CHAR(10),""),IF(Y292&lt;&gt;(Y293+Y294+Y295)," * sum of ARV Dispensing Quantity  "&amp;$X$19&amp;" "&amp;$Y$20&amp;" is not equal to   TX_CURR_VERIFY ALL"&amp;CHAR(10),""),IF(Z292&lt;&gt;(Z293+Z294+Z295)," * sum of ARV Dispensing Quantity  "&amp;$Z$19&amp;" "&amp;$Z$20&amp;" is not equal to   TX_CURR_VERIFY ALL"&amp;CHAR(10),""),IF(AA292&lt;&gt;(AA293+AA294+AA295)," * sum of ARV Dispensing Quantity  "&amp;$Z$19&amp;" "&amp;$AA$20&amp;" is not equal to   TX_CURR_VERIFY ALL"&amp;CHAR(10),""))</f>
        <v/>
      </c>
      <c r="AD292" s="675" t="str">
        <f>CONCATENATE(AC292,AC293,AC294,AC295,AC296,AC297,AC298,AC299,AC300,AC301,AC302,AC303,AC304,AC305,AC306,AC307)</f>
        <v/>
      </c>
      <c r="AE292" s="171"/>
      <c r="AF292" s="672" t="str">
        <f>CONCATENATE(AE292,AE293,AE294,AE295,AE296,AE297,AE298,AE299,AE300,AE301,AE302,AE303,AE304,AE305,AE306,AE307)</f>
        <v/>
      </c>
      <c r="AG292" s="158">
        <v>96</v>
      </c>
    </row>
    <row r="293" spans="1:33" s="4" customFormat="1" ht="44.25" customHeight="1" thickBot="1">
      <c r="A293" s="677" t="s">
        <v>121</v>
      </c>
      <c r="B293" s="204" t="s">
        <v>124</v>
      </c>
      <c r="C293" s="170" t="s">
        <v>354</v>
      </c>
      <c r="D293" s="162"/>
      <c r="E293" s="163"/>
      <c r="F293" s="162"/>
      <c r="G293" s="163"/>
      <c r="H293" s="162"/>
      <c r="I293" s="163"/>
      <c r="J293" s="162"/>
      <c r="K293" s="163"/>
      <c r="L293" s="233"/>
      <c r="M293" s="233"/>
      <c r="N293" s="233"/>
      <c r="O293" s="233"/>
      <c r="P293" s="233"/>
      <c r="Q293" s="233"/>
      <c r="R293" s="233"/>
      <c r="S293" s="233"/>
      <c r="T293" s="233"/>
      <c r="U293" s="233"/>
      <c r="V293" s="233"/>
      <c r="W293" s="233"/>
      <c r="X293" s="233"/>
      <c r="Y293" s="233"/>
      <c r="Z293" s="233"/>
      <c r="AA293" s="233"/>
      <c r="AB293" s="208">
        <f t="shared" ref="AB293:AB311" si="50">SUM(D293:AA293)</f>
        <v>0</v>
      </c>
      <c r="AC293" s="282"/>
      <c r="AD293" s="675"/>
      <c r="AE293" s="171"/>
      <c r="AF293" s="672"/>
      <c r="AG293" s="158">
        <v>97</v>
      </c>
    </row>
    <row r="294" spans="1:33" s="4" customFormat="1" ht="44.25" customHeight="1">
      <c r="A294" s="678"/>
      <c r="B294" s="207" t="s">
        <v>125</v>
      </c>
      <c r="C294" s="170" t="s">
        <v>355</v>
      </c>
      <c r="D294" s="162"/>
      <c r="E294" s="163"/>
      <c r="F294" s="162"/>
      <c r="G294" s="163"/>
      <c r="H294" s="162"/>
      <c r="I294" s="163"/>
      <c r="J294" s="162"/>
      <c r="K294" s="163"/>
      <c r="L294" s="197"/>
      <c r="M294" s="197"/>
      <c r="N294" s="197"/>
      <c r="O294" s="197"/>
      <c r="P294" s="197"/>
      <c r="Q294" s="197"/>
      <c r="R294" s="197"/>
      <c r="S294" s="197"/>
      <c r="T294" s="197"/>
      <c r="U294" s="197"/>
      <c r="V294" s="197"/>
      <c r="W294" s="197"/>
      <c r="X294" s="197"/>
      <c r="Y294" s="197"/>
      <c r="Z294" s="197"/>
      <c r="AA294" s="197"/>
      <c r="AB294" s="208">
        <f t="shared" si="50"/>
        <v>0</v>
      </c>
      <c r="AC294" s="206"/>
      <c r="AD294" s="675"/>
      <c r="AE294" s="171"/>
      <c r="AF294" s="672"/>
      <c r="AG294" s="158">
        <v>98</v>
      </c>
    </row>
    <row r="295" spans="1:33" s="4" customFormat="1" ht="44.25" customHeight="1" thickBot="1">
      <c r="A295" s="679"/>
      <c r="B295" s="212" t="s">
        <v>126</v>
      </c>
      <c r="C295" s="176" t="s">
        <v>356</v>
      </c>
      <c r="D295" s="177"/>
      <c r="E295" s="178"/>
      <c r="F295" s="177"/>
      <c r="G295" s="178"/>
      <c r="H295" s="177"/>
      <c r="I295" s="178"/>
      <c r="J295" s="177"/>
      <c r="K295" s="178"/>
      <c r="L295" s="198"/>
      <c r="M295" s="198"/>
      <c r="N295" s="198"/>
      <c r="O295" s="198"/>
      <c r="P295" s="198"/>
      <c r="Q295" s="198"/>
      <c r="R295" s="198"/>
      <c r="S295" s="198"/>
      <c r="T295" s="198"/>
      <c r="U295" s="198"/>
      <c r="V295" s="198"/>
      <c r="W295" s="198"/>
      <c r="X295" s="198"/>
      <c r="Y295" s="198"/>
      <c r="Z295" s="198"/>
      <c r="AA295" s="198"/>
      <c r="AB295" s="208">
        <f t="shared" si="50"/>
        <v>0</v>
      </c>
      <c r="AC295" s="209"/>
      <c r="AD295" s="675"/>
      <c r="AE295" s="171"/>
      <c r="AF295" s="672"/>
      <c r="AG295" s="158">
        <v>99</v>
      </c>
    </row>
    <row r="296" spans="1:33" s="4" customFormat="1" ht="44.25" customHeight="1">
      <c r="A296" s="677" t="s">
        <v>127</v>
      </c>
      <c r="B296" s="307" t="s">
        <v>131</v>
      </c>
      <c r="C296" s="99" t="s">
        <v>357</v>
      </c>
      <c r="D296" s="182"/>
      <c r="E296" s="183"/>
      <c r="F296" s="182"/>
      <c r="G296" s="183"/>
      <c r="H296" s="182"/>
      <c r="I296" s="183"/>
      <c r="J296" s="182"/>
      <c r="K296" s="183"/>
      <c r="L296" s="163"/>
      <c r="M296" s="196"/>
      <c r="N296" s="163"/>
      <c r="O296" s="196"/>
      <c r="P296" s="163"/>
      <c r="Q296" s="196"/>
      <c r="R296" s="163"/>
      <c r="S296" s="196"/>
      <c r="T296" s="163"/>
      <c r="U296" s="196"/>
      <c r="V296" s="163"/>
      <c r="W296" s="196"/>
      <c r="X296" s="163"/>
      <c r="Y296" s="196"/>
      <c r="Z296" s="163"/>
      <c r="AA296" s="288"/>
      <c r="AB296" s="208">
        <f t="shared" si="50"/>
        <v>0</v>
      </c>
      <c r="AC296" s="209"/>
      <c r="AD296" s="675"/>
      <c r="AE296" s="171"/>
      <c r="AF296" s="672"/>
      <c r="AG296" s="158">
        <v>100</v>
      </c>
    </row>
    <row r="297" spans="1:33" s="4" customFormat="1" ht="44.25" customHeight="1">
      <c r="A297" s="678"/>
      <c r="B297" s="207" t="s">
        <v>130</v>
      </c>
      <c r="C297" s="170" t="s">
        <v>358</v>
      </c>
      <c r="D297" s="162"/>
      <c r="E297" s="163"/>
      <c r="F297" s="162"/>
      <c r="G297" s="163"/>
      <c r="H297" s="162"/>
      <c r="I297" s="163"/>
      <c r="J297" s="162"/>
      <c r="K297" s="163"/>
      <c r="L297" s="197"/>
      <c r="M297" s="163"/>
      <c r="N297" s="197"/>
      <c r="O297" s="163"/>
      <c r="P297" s="197"/>
      <c r="Q297" s="163"/>
      <c r="R297" s="197"/>
      <c r="S297" s="163"/>
      <c r="T297" s="197"/>
      <c r="U297" s="163"/>
      <c r="V297" s="197"/>
      <c r="W297" s="163"/>
      <c r="X297" s="197"/>
      <c r="Y297" s="163"/>
      <c r="Z297" s="197"/>
      <c r="AA297" s="163"/>
      <c r="AB297" s="208">
        <f t="shared" si="50"/>
        <v>0</v>
      </c>
      <c r="AC297" s="209"/>
      <c r="AD297" s="675"/>
      <c r="AE297" s="171"/>
      <c r="AF297" s="672"/>
      <c r="AG297" s="158">
        <v>101</v>
      </c>
    </row>
    <row r="298" spans="1:33" s="4" customFormat="1" ht="44.25" customHeight="1" thickBot="1">
      <c r="A298" s="678"/>
      <c r="B298" s="207" t="s">
        <v>129</v>
      </c>
      <c r="C298" s="170" t="s">
        <v>359</v>
      </c>
      <c r="D298" s="162"/>
      <c r="E298" s="163"/>
      <c r="F298" s="162"/>
      <c r="G298" s="163"/>
      <c r="H298" s="162"/>
      <c r="I298" s="163"/>
      <c r="J298" s="162"/>
      <c r="K298" s="163"/>
      <c r="L298" s="197"/>
      <c r="M298" s="197"/>
      <c r="N298" s="197"/>
      <c r="O298" s="197"/>
      <c r="P298" s="197"/>
      <c r="Q298" s="197"/>
      <c r="R298" s="197"/>
      <c r="S298" s="197"/>
      <c r="T298" s="197"/>
      <c r="U298" s="197"/>
      <c r="V298" s="197"/>
      <c r="W298" s="197"/>
      <c r="X298" s="197"/>
      <c r="Y298" s="197"/>
      <c r="Z298" s="197"/>
      <c r="AA298" s="290"/>
      <c r="AB298" s="208">
        <f t="shared" si="50"/>
        <v>0</v>
      </c>
      <c r="AC298" s="211"/>
      <c r="AD298" s="675"/>
      <c r="AE298" s="171"/>
      <c r="AF298" s="672"/>
      <c r="AG298" s="158">
        <v>102</v>
      </c>
    </row>
    <row r="299" spans="1:33" s="4" customFormat="1" ht="44.25" customHeight="1">
      <c r="A299" s="678"/>
      <c r="B299" s="207" t="s">
        <v>132</v>
      </c>
      <c r="C299" s="170" t="s">
        <v>360</v>
      </c>
      <c r="D299" s="162"/>
      <c r="E299" s="163"/>
      <c r="F299" s="162"/>
      <c r="G299" s="163"/>
      <c r="H299" s="162"/>
      <c r="I299" s="163"/>
      <c r="J299" s="162"/>
      <c r="K299" s="163"/>
      <c r="L299" s="197"/>
      <c r="M299" s="197"/>
      <c r="N299" s="197"/>
      <c r="O299" s="197"/>
      <c r="P299" s="197"/>
      <c r="Q299" s="197"/>
      <c r="R299" s="197"/>
      <c r="S299" s="197"/>
      <c r="T299" s="197"/>
      <c r="U299" s="197"/>
      <c r="V299" s="197"/>
      <c r="W299" s="197"/>
      <c r="X299" s="197"/>
      <c r="Y299" s="197"/>
      <c r="Z299" s="197"/>
      <c r="AA299" s="290"/>
      <c r="AB299" s="208">
        <f t="shared" si="50"/>
        <v>0</v>
      </c>
      <c r="AC299" s="206"/>
      <c r="AD299" s="675"/>
      <c r="AE299" s="171"/>
      <c r="AF299" s="672"/>
      <c r="AG299" s="158">
        <v>103</v>
      </c>
    </row>
    <row r="300" spans="1:33" s="4" customFormat="1" ht="44.25" customHeight="1" thickBot="1">
      <c r="A300" s="678"/>
      <c r="B300" s="207" t="s">
        <v>134</v>
      </c>
      <c r="C300" s="170" t="s">
        <v>361</v>
      </c>
      <c r="D300" s="162"/>
      <c r="E300" s="163"/>
      <c r="F300" s="162"/>
      <c r="G300" s="163"/>
      <c r="H300" s="162"/>
      <c r="I300" s="163"/>
      <c r="J300" s="162"/>
      <c r="K300" s="163"/>
      <c r="L300" s="197"/>
      <c r="M300" s="197"/>
      <c r="N300" s="197"/>
      <c r="O300" s="197"/>
      <c r="P300" s="197"/>
      <c r="Q300" s="197"/>
      <c r="R300" s="197"/>
      <c r="S300" s="197"/>
      <c r="T300" s="197"/>
      <c r="U300" s="197"/>
      <c r="V300" s="197"/>
      <c r="W300" s="197"/>
      <c r="X300" s="197"/>
      <c r="Y300" s="197"/>
      <c r="Z300" s="197"/>
      <c r="AA300" s="290"/>
      <c r="AB300" s="283">
        <f t="shared" si="50"/>
        <v>0</v>
      </c>
      <c r="AC300" s="209"/>
      <c r="AD300" s="675"/>
      <c r="AE300" s="171"/>
      <c r="AF300" s="672"/>
      <c r="AG300" s="158">
        <v>104</v>
      </c>
    </row>
    <row r="301" spans="1:33" s="4" customFormat="1" ht="44.25" customHeight="1" thickBot="1">
      <c r="A301" s="679"/>
      <c r="B301" s="212" t="s">
        <v>133</v>
      </c>
      <c r="C301" s="176" t="s">
        <v>362</v>
      </c>
      <c r="D301" s="177"/>
      <c r="E301" s="178"/>
      <c r="F301" s="177"/>
      <c r="G301" s="178"/>
      <c r="H301" s="177"/>
      <c r="I301" s="178"/>
      <c r="J301" s="177"/>
      <c r="K301" s="178"/>
      <c r="L301" s="178"/>
      <c r="M301" s="178"/>
      <c r="N301" s="178"/>
      <c r="O301" s="178"/>
      <c r="P301" s="178"/>
      <c r="Q301" s="178"/>
      <c r="R301" s="178"/>
      <c r="S301" s="178"/>
      <c r="T301" s="178"/>
      <c r="U301" s="178"/>
      <c r="V301" s="178"/>
      <c r="W301" s="178"/>
      <c r="X301" s="178"/>
      <c r="Y301" s="178"/>
      <c r="Z301" s="178"/>
      <c r="AA301" s="213"/>
      <c r="AB301" s="214"/>
      <c r="AC301" s="209"/>
      <c r="AD301" s="675"/>
      <c r="AE301" s="171"/>
      <c r="AF301" s="672"/>
      <c r="AG301" s="158">
        <v>105</v>
      </c>
    </row>
    <row r="302" spans="1:33" s="4" customFormat="1" ht="44.25" customHeight="1">
      <c r="A302" s="678" t="s">
        <v>135</v>
      </c>
      <c r="B302" s="204" t="s">
        <v>131</v>
      </c>
      <c r="C302" s="170" t="s">
        <v>363</v>
      </c>
      <c r="D302" s="162"/>
      <c r="E302" s="163"/>
      <c r="F302" s="162"/>
      <c r="G302" s="163"/>
      <c r="H302" s="162"/>
      <c r="I302" s="163"/>
      <c r="J302" s="162"/>
      <c r="K302" s="163"/>
      <c r="L302" s="163"/>
      <c r="M302" s="233"/>
      <c r="N302" s="163"/>
      <c r="O302" s="233"/>
      <c r="P302" s="163"/>
      <c r="Q302" s="233"/>
      <c r="R302" s="163"/>
      <c r="S302" s="233"/>
      <c r="T302" s="163"/>
      <c r="U302" s="233"/>
      <c r="V302" s="163"/>
      <c r="W302" s="233"/>
      <c r="X302" s="163"/>
      <c r="Y302" s="233"/>
      <c r="Z302" s="163"/>
      <c r="AA302" s="234"/>
      <c r="AB302" s="208">
        <f t="shared" si="50"/>
        <v>0</v>
      </c>
      <c r="AC302" s="209"/>
      <c r="AD302" s="675"/>
      <c r="AE302" s="171"/>
      <c r="AF302" s="672"/>
      <c r="AG302" s="158">
        <v>106</v>
      </c>
    </row>
    <row r="303" spans="1:33" s="4" customFormat="1" ht="44.25" customHeight="1" thickBot="1">
      <c r="A303" s="678"/>
      <c r="B303" s="207" t="s">
        <v>130</v>
      </c>
      <c r="C303" s="170" t="s">
        <v>364</v>
      </c>
      <c r="D303" s="162"/>
      <c r="E303" s="163"/>
      <c r="F303" s="162"/>
      <c r="G303" s="163"/>
      <c r="H303" s="162"/>
      <c r="I303" s="163"/>
      <c r="J303" s="162"/>
      <c r="K303" s="163"/>
      <c r="L303" s="197"/>
      <c r="M303" s="163"/>
      <c r="N303" s="197"/>
      <c r="O303" s="163"/>
      <c r="P303" s="197"/>
      <c r="Q303" s="163"/>
      <c r="R303" s="197"/>
      <c r="S303" s="163"/>
      <c r="T303" s="197"/>
      <c r="U303" s="163"/>
      <c r="V303" s="197"/>
      <c r="W303" s="163"/>
      <c r="X303" s="197"/>
      <c r="Y303" s="163"/>
      <c r="Z303" s="197"/>
      <c r="AA303" s="163"/>
      <c r="AB303" s="208">
        <f t="shared" si="50"/>
        <v>0</v>
      </c>
      <c r="AC303" s="211"/>
      <c r="AD303" s="675"/>
      <c r="AE303" s="171"/>
      <c r="AF303" s="672"/>
      <c r="AG303" s="158">
        <v>107</v>
      </c>
    </row>
    <row r="304" spans="1:33" s="4" customFormat="1" ht="44.25" customHeight="1">
      <c r="A304" s="678"/>
      <c r="B304" s="207" t="s">
        <v>129</v>
      </c>
      <c r="C304" s="170" t="s">
        <v>365</v>
      </c>
      <c r="D304" s="162"/>
      <c r="E304" s="163"/>
      <c r="F304" s="162"/>
      <c r="G304" s="163"/>
      <c r="H304" s="162"/>
      <c r="I304" s="163"/>
      <c r="J304" s="162"/>
      <c r="K304" s="163"/>
      <c r="L304" s="197"/>
      <c r="M304" s="197"/>
      <c r="N304" s="197"/>
      <c r="O304" s="197"/>
      <c r="P304" s="197"/>
      <c r="Q304" s="197"/>
      <c r="R304" s="197"/>
      <c r="S304" s="197"/>
      <c r="T304" s="197"/>
      <c r="U304" s="197"/>
      <c r="V304" s="197"/>
      <c r="W304" s="197"/>
      <c r="X304" s="197"/>
      <c r="Y304" s="197"/>
      <c r="Z304" s="197"/>
      <c r="AA304" s="271"/>
      <c r="AB304" s="208">
        <f t="shared" si="50"/>
        <v>0</v>
      </c>
      <c r="AC304" s="269"/>
      <c r="AD304" s="675"/>
      <c r="AE304" s="171"/>
      <c r="AF304" s="672"/>
      <c r="AG304" s="158">
        <v>108</v>
      </c>
    </row>
    <row r="305" spans="1:33" s="4" customFormat="1" ht="44.25" customHeight="1">
      <c r="A305" s="678"/>
      <c r="B305" s="207" t="s">
        <v>132</v>
      </c>
      <c r="C305" s="170" t="s">
        <v>366</v>
      </c>
      <c r="D305" s="162"/>
      <c r="E305" s="163"/>
      <c r="F305" s="162"/>
      <c r="G305" s="163"/>
      <c r="H305" s="162"/>
      <c r="I305" s="163"/>
      <c r="J305" s="162"/>
      <c r="K305" s="163"/>
      <c r="L305" s="197"/>
      <c r="M305" s="197"/>
      <c r="N305" s="197"/>
      <c r="O305" s="197"/>
      <c r="P305" s="197"/>
      <c r="Q305" s="197"/>
      <c r="R305" s="197"/>
      <c r="S305" s="197"/>
      <c r="T305" s="197"/>
      <c r="U305" s="197"/>
      <c r="V305" s="197"/>
      <c r="W305" s="197"/>
      <c r="X305" s="197"/>
      <c r="Y305" s="197"/>
      <c r="Z305" s="197"/>
      <c r="AA305" s="271"/>
      <c r="AB305" s="208">
        <f t="shared" si="50"/>
        <v>0</v>
      </c>
      <c r="AC305" s="216"/>
      <c r="AD305" s="675"/>
      <c r="AE305" s="171"/>
      <c r="AF305" s="672"/>
      <c r="AG305" s="158">
        <v>109</v>
      </c>
    </row>
    <row r="306" spans="1:33" s="4" customFormat="1" ht="44.25" customHeight="1" thickBot="1">
      <c r="A306" s="678"/>
      <c r="B306" s="207" t="s">
        <v>134</v>
      </c>
      <c r="C306" s="170" t="s">
        <v>367</v>
      </c>
      <c r="D306" s="162"/>
      <c r="E306" s="163"/>
      <c r="F306" s="162"/>
      <c r="G306" s="163"/>
      <c r="H306" s="162"/>
      <c r="I306" s="163"/>
      <c r="J306" s="162"/>
      <c r="K306" s="163"/>
      <c r="L306" s="197"/>
      <c r="M306" s="197"/>
      <c r="N306" s="197"/>
      <c r="O306" s="197"/>
      <c r="P306" s="197"/>
      <c r="Q306" s="197"/>
      <c r="R306" s="197"/>
      <c r="S306" s="197"/>
      <c r="T306" s="197"/>
      <c r="U306" s="197"/>
      <c r="V306" s="197"/>
      <c r="W306" s="197"/>
      <c r="X306" s="197"/>
      <c r="Y306" s="197"/>
      <c r="Z306" s="197"/>
      <c r="AA306" s="271"/>
      <c r="AB306" s="283">
        <f t="shared" si="50"/>
        <v>0</v>
      </c>
      <c r="AC306" s="216"/>
      <c r="AD306" s="675"/>
      <c r="AE306" s="171"/>
      <c r="AF306" s="672"/>
      <c r="AG306" s="158">
        <v>110</v>
      </c>
    </row>
    <row r="307" spans="1:33" s="4" customFormat="1" ht="44.25" customHeight="1" thickBot="1">
      <c r="A307" s="680"/>
      <c r="B307" s="207" t="s">
        <v>133</v>
      </c>
      <c r="C307" s="176" t="s">
        <v>368</v>
      </c>
      <c r="D307" s="162"/>
      <c r="E307" s="163"/>
      <c r="F307" s="162"/>
      <c r="G307" s="163"/>
      <c r="H307" s="162"/>
      <c r="I307" s="163"/>
      <c r="J307" s="162"/>
      <c r="K307" s="163"/>
      <c r="L307" s="163"/>
      <c r="M307" s="163"/>
      <c r="N307" s="163"/>
      <c r="O307" s="163"/>
      <c r="P307" s="163"/>
      <c r="Q307" s="163"/>
      <c r="R307" s="163"/>
      <c r="S307" s="163"/>
      <c r="T307" s="163"/>
      <c r="U307" s="163"/>
      <c r="V307" s="163"/>
      <c r="W307" s="163"/>
      <c r="X307" s="163"/>
      <c r="Y307" s="163"/>
      <c r="Z307" s="163"/>
      <c r="AA307" s="192"/>
      <c r="AB307" s="214"/>
      <c r="AC307" s="269"/>
      <c r="AD307" s="676"/>
      <c r="AE307" s="171"/>
      <c r="AF307" s="673"/>
      <c r="AG307" s="158">
        <v>111</v>
      </c>
    </row>
    <row r="308" spans="1:33" s="4" customFormat="1" ht="38.25" customHeight="1" thickBot="1">
      <c r="A308" s="688" t="s">
        <v>1036</v>
      </c>
      <c r="B308" s="689"/>
      <c r="C308" s="690"/>
      <c r="D308" s="689"/>
      <c r="E308" s="689"/>
      <c r="F308" s="689"/>
      <c r="G308" s="689"/>
      <c r="H308" s="689"/>
      <c r="I308" s="689"/>
      <c r="J308" s="689"/>
      <c r="K308" s="689"/>
      <c r="L308" s="689"/>
      <c r="M308" s="689"/>
      <c r="N308" s="689"/>
      <c r="O308" s="689"/>
      <c r="P308" s="689"/>
      <c r="Q308" s="689"/>
      <c r="R308" s="689"/>
      <c r="S308" s="689"/>
      <c r="T308" s="689"/>
      <c r="U308" s="689"/>
      <c r="V308" s="689"/>
      <c r="W308" s="689"/>
      <c r="X308" s="689"/>
      <c r="Y308" s="689"/>
      <c r="Z308" s="689"/>
      <c r="AA308" s="689"/>
      <c r="AB308" s="689"/>
      <c r="AC308" s="689"/>
      <c r="AD308" s="689"/>
      <c r="AE308" s="689"/>
      <c r="AF308" s="691"/>
      <c r="AG308" s="158">
        <v>112</v>
      </c>
    </row>
    <row r="309" spans="1:33" s="4" customFormat="1" ht="38.25" customHeight="1" thickBot="1">
      <c r="A309" s="382" t="s">
        <v>136</v>
      </c>
      <c r="B309" s="308" t="s">
        <v>137</v>
      </c>
      <c r="C309" s="304" t="s">
        <v>369</v>
      </c>
      <c r="D309" s="305">
        <f t="shared" ref="D309:K309" si="51">SUM(D310:D321)</f>
        <v>0</v>
      </c>
      <c r="E309" s="306">
        <f t="shared" si="51"/>
        <v>0</v>
      </c>
      <c r="F309" s="306">
        <f t="shared" si="51"/>
        <v>0</v>
      </c>
      <c r="G309" s="306">
        <f t="shared" si="51"/>
        <v>0</v>
      </c>
      <c r="H309" s="306">
        <f t="shared" si="51"/>
        <v>0</v>
      </c>
      <c r="I309" s="306">
        <f t="shared" si="51"/>
        <v>0</v>
      </c>
      <c r="J309" s="306">
        <f t="shared" si="51"/>
        <v>0</v>
      </c>
      <c r="K309" s="306">
        <f t="shared" si="51"/>
        <v>0</v>
      </c>
      <c r="L309" s="306">
        <f>SUM(L310:L321)</f>
        <v>0</v>
      </c>
      <c r="M309" s="306">
        <f t="shared" ref="M309:AB309" si="52">SUM(M310:M321)</f>
        <v>0</v>
      </c>
      <c r="N309" s="306">
        <f t="shared" si="52"/>
        <v>0</v>
      </c>
      <c r="O309" s="306">
        <f t="shared" si="52"/>
        <v>0</v>
      </c>
      <c r="P309" s="306">
        <f t="shared" si="52"/>
        <v>0</v>
      </c>
      <c r="Q309" s="306">
        <f t="shared" si="52"/>
        <v>0</v>
      </c>
      <c r="R309" s="306">
        <f t="shared" si="52"/>
        <v>0</v>
      </c>
      <c r="S309" s="306">
        <f t="shared" si="52"/>
        <v>0</v>
      </c>
      <c r="T309" s="306">
        <f t="shared" si="52"/>
        <v>0</v>
      </c>
      <c r="U309" s="306">
        <f t="shared" si="52"/>
        <v>0</v>
      </c>
      <c r="V309" s="306">
        <f t="shared" si="52"/>
        <v>0</v>
      </c>
      <c r="W309" s="306">
        <f t="shared" si="52"/>
        <v>0</v>
      </c>
      <c r="X309" s="306">
        <f t="shared" si="52"/>
        <v>0</v>
      </c>
      <c r="Y309" s="306">
        <f t="shared" si="52"/>
        <v>0</v>
      </c>
      <c r="Z309" s="306">
        <f t="shared" si="52"/>
        <v>0</v>
      </c>
      <c r="AA309" s="306">
        <f t="shared" si="52"/>
        <v>0</v>
      </c>
      <c r="AB309" s="306">
        <f t="shared" si="52"/>
        <v>0</v>
      </c>
      <c r="AC309" s="206" t="str">
        <f>IF((AB309+AB186)&gt;(AB155+AB157),"Total TX_New + Total TX_New_Verify should not be more than Total Initial Tests and Turned Positive + Repeat Tests and turned Positives by Modality","")</f>
        <v/>
      </c>
      <c r="AD309" s="674" t="str">
        <f>CONCATENATE(AC309,AC310,AC311,AC312,AC313,AC314,AC315,AC316,AC317,AC318,AC319,AC320,AC321)</f>
        <v/>
      </c>
      <c r="AE309" s="171"/>
      <c r="AF309" s="671" t="str">
        <f>CONCATENATE(AE309,AE310,AE311,AE312,AE313,AE314,AE315,AE316,AE317,AE318,AE319,AE320,AE321)</f>
        <v/>
      </c>
      <c r="AG309" s="158">
        <v>113</v>
      </c>
    </row>
    <row r="310" spans="1:33" s="4" customFormat="1" ht="44.25" customHeight="1" thickBot="1">
      <c r="A310" s="677" t="s">
        <v>127</v>
      </c>
      <c r="B310" s="307" t="s">
        <v>143</v>
      </c>
      <c r="C310" s="99" t="s">
        <v>370</v>
      </c>
      <c r="D310" s="182"/>
      <c r="E310" s="183"/>
      <c r="F310" s="182"/>
      <c r="G310" s="183"/>
      <c r="H310" s="182"/>
      <c r="I310" s="183"/>
      <c r="J310" s="182"/>
      <c r="K310" s="183"/>
      <c r="L310" s="183"/>
      <c r="M310" s="196"/>
      <c r="N310" s="183"/>
      <c r="O310" s="196"/>
      <c r="P310" s="183"/>
      <c r="Q310" s="196"/>
      <c r="R310" s="183"/>
      <c r="S310" s="196"/>
      <c r="T310" s="183"/>
      <c r="U310" s="196"/>
      <c r="V310" s="183"/>
      <c r="W310" s="196"/>
      <c r="X310" s="183"/>
      <c r="Y310" s="196"/>
      <c r="Z310" s="183"/>
      <c r="AA310" s="288"/>
      <c r="AB310" s="208">
        <f t="shared" si="50"/>
        <v>0</v>
      </c>
      <c r="AC310" s="209"/>
      <c r="AD310" s="675"/>
      <c r="AE310" s="171"/>
      <c r="AF310" s="672"/>
      <c r="AG310" s="158">
        <v>114</v>
      </c>
    </row>
    <row r="311" spans="1:33" s="4" customFormat="1" ht="44.25" customHeight="1">
      <c r="A311" s="678"/>
      <c r="B311" s="207" t="s">
        <v>138</v>
      </c>
      <c r="C311" s="170" t="s">
        <v>371</v>
      </c>
      <c r="D311" s="162"/>
      <c r="E311" s="163"/>
      <c r="F311" s="162"/>
      <c r="G311" s="163"/>
      <c r="H311" s="162"/>
      <c r="I311" s="163"/>
      <c r="J311" s="162"/>
      <c r="K311" s="163"/>
      <c r="L311" s="197"/>
      <c r="M311" s="183"/>
      <c r="N311" s="197"/>
      <c r="O311" s="183"/>
      <c r="P311" s="197"/>
      <c r="Q311" s="183"/>
      <c r="R311" s="197"/>
      <c r="S311" s="183"/>
      <c r="T311" s="197"/>
      <c r="U311" s="183"/>
      <c r="V311" s="197"/>
      <c r="W311" s="183"/>
      <c r="X311" s="197"/>
      <c r="Y311" s="183"/>
      <c r="Z311" s="197"/>
      <c r="AA311" s="183"/>
      <c r="AB311" s="208">
        <f t="shared" si="50"/>
        <v>0</v>
      </c>
      <c r="AC311" s="209"/>
      <c r="AD311" s="675"/>
      <c r="AE311" s="171"/>
      <c r="AF311" s="672"/>
      <c r="AG311" s="158">
        <v>115</v>
      </c>
    </row>
    <row r="312" spans="1:33" s="4" customFormat="1" ht="44.25" customHeight="1">
      <c r="A312" s="678"/>
      <c r="B312" s="207" t="s">
        <v>139</v>
      </c>
      <c r="C312" s="170" t="s">
        <v>372</v>
      </c>
      <c r="D312" s="162"/>
      <c r="E312" s="163"/>
      <c r="F312" s="162"/>
      <c r="G312" s="163"/>
      <c r="H312" s="162"/>
      <c r="I312" s="163"/>
      <c r="J312" s="162"/>
      <c r="K312" s="163"/>
      <c r="L312" s="197"/>
      <c r="M312" s="197"/>
      <c r="N312" s="197"/>
      <c r="O312" s="197"/>
      <c r="P312" s="197"/>
      <c r="Q312" s="197"/>
      <c r="R312" s="197"/>
      <c r="S312" s="197"/>
      <c r="T312" s="197"/>
      <c r="U312" s="197"/>
      <c r="V312" s="197"/>
      <c r="W312" s="197"/>
      <c r="X312" s="197"/>
      <c r="Y312" s="197"/>
      <c r="Z312" s="197"/>
      <c r="AA312" s="290"/>
      <c r="AB312" s="208">
        <f t="shared" ref="AB312:AB318" si="53">SUM(D312:AA312)</f>
        <v>0</v>
      </c>
      <c r="AC312" s="209"/>
      <c r="AD312" s="675"/>
      <c r="AE312" s="171"/>
      <c r="AF312" s="672"/>
      <c r="AG312" s="158">
        <v>116</v>
      </c>
    </row>
    <row r="313" spans="1:33" s="4" customFormat="1" ht="44.25" customHeight="1" thickBot="1">
      <c r="A313" s="678"/>
      <c r="B313" s="207" t="s">
        <v>140</v>
      </c>
      <c r="C313" s="170" t="s">
        <v>373</v>
      </c>
      <c r="D313" s="162"/>
      <c r="E313" s="163"/>
      <c r="F313" s="162"/>
      <c r="G313" s="163"/>
      <c r="H313" s="162"/>
      <c r="I313" s="163"/>
      <c r="J313" s="162"/>
      <c r="K313" s="163"/>
      <c r="L313" s="197"/>
      <c r="M313" s="197"/>
      <c r="N313" s="197"/>
      <c r="O313" s="197"/>
      <c r="P313" s="197"/>
      <c r="Q313" s="197"/>
      <c r="R313" s="197"/>
      <c r="S313" s="197"/>
      <c r="T313" s="197"/>
      <c r="U313" s="197"/>
      <c r="V313" s="197"/>
      <c r="W313" s="197"/>
      <c r="X313" s="197"/>
      <c r="Y313" s="197"/>
      <c r="Z313" s="197"/>
      <c r="AA313" s="290"/>
      <c r="AB313" s="210">
        <f t="shared" si="53"/>
        <v>0</v>
      </c>
      <c r="AC313" s="211"/>
      <c r="AD313" s="675"/>
      <c r="AE313" s="171"/>
      <c r="AF313" s="672"/>
      <c r="AG313" s="158">
        <v>117</v>
      </c>
    </row>
    <row r="314" spans="1:33" s="4" customFormat="1" ht="44.25" customHeight="1" thickBot="1">
      <c r="A314" s="678"/>
      <c r="B314" s="207" t="s">
        <v>141</v>
      </c>
      <c r="C314" s="170" t="s">
        <v>374</v>
      </c>
      <c r="D314" s="162"/>
      <c r="E314" s="163"/>
      <c r="F314" s="162"/>
      <c r="G314" s="163"/>
      <c r="H314" s="162"/>
      <c r="I314" s="163"/>
      <c r="J314" s="162"/>
      <c r="K314" s="163"/>
      <c r="L314" s="197"/>
      <c r="M314" s="197"/>
      <c r="N314" s="197"/>
      <c r="O314" s="197"/>
      <c r="P314" s="197"/>
      <c r="Q314" s="197"/>
      <c r="R314" s="197"/>
      <c r="S314" s="197"/>
      <c r="T314" s="197"/>
      <c r="U314" s="197"/>
      <c r="V314" s="197"/>
      <c r="W314" s="197"/>
      <c r="X314" s="197"/>
      <c r="Y314" s="197"/>
      <c r="Z314" s="197"/>
      <c r="AA314" s="290"/>
      <c r="AB314" s="283">
        <f t="shared" si="53"/>
        <v>0</v>
      </c>
      <c r="AC314" s="206"/>
      <c r="AD314" s="675"/>
      <c r="AE314" s="171"/>
      <c r="AF314" s="672"/>
      <c r="AG314" s="158">
        <v>118</v>
      </c>
    </row>
    <row r="315" spans="1:33" s="4" customFormat="1" ht="44.25" customHeight="1" thickBot="1">
      <c r="A315" s="679"/>
      <c r="B315" s="212" t="s">
        <v>142</v>
      </c>
      <c r="C315" s="176" t="s">
        <v>375</v>
      </c>
      <c r="D315" s="177"/>
      <c r="E315" s="178"/>
      <c r="F315" s="177"/>
      <c r="G315" s="178"/>
      <c r="H315" s="177"/>
      <c r="I315" s="178"/>
      <c r="J315" s="177"/>
      <c r="K315" s="178"/>
      <c r="L315" s="178"/>
      <c r="M315" s="178"/>
      <c r="N315" s="178"/>
      <c r="O315" s="178"/>
      <c r="P315" s="178"/>
      <c r="Q315" s="178"/>
      <c r="R315" s="178"/>
      <c r="S315" s="178"/>
      <c r="T315" s="178"/>
      <c r="U315" s="178"/>
      <c r="V315" s="178"/>
      <c r="W315" s="178"/>
      <c r="X315" s="178"/>
      <c r="Y315" s="178"/>
      <c r="Z315" s="178"/>
      <c r="AA315" s="213"/>
      <c r="AB315" s="214"/>
      <c r="AC315" s="209"/>
      <c r="AD315" s="675"/>
      <c r="AE315" s="171"/>
      <c r="AF315" s="672"/>
      <c r="AG315" s="158">
        <v>119</v>
      </c>
    </row>
    <row r="316" spans="1:33" s="4" customFormat="1" ht="44.25" customHeight="1">
      <c r="A316" s="677" t="s">
        <v>135</v>
      </c>
      <c r="B316" s="307" t="s">
        <v>143</v>
      </c>
      <c r="C316" s="170" t="s">
        <v>376</v>
      </c>
      <c r="D316" s="162"/>
      <c r="E316" s="163"/>
      <c r="F316" s="162"/>
      <c r="G316" s="163"/>
      <c r="H316" s="162"/>
      <c r="I316" s="163"/>
      <c r="J316" s="162"/>
      <c r="K316" s="163"/>
      <c r="L316" s="163"/>
      <c r="M316" s="233"/>
      <c r="N316" s="163"/>
      <c r="O316" s="233"/>
      <c r="P316" s="163"/>
      <c r="Q316" s="233"/>
      <c r="R316" s="163"/>
      <c r="S316" s="233"/>
      <c r="T316" s="163"/>
      <c r="U316" s="233"/>
      <c r="V316" s="163"/>
      <c r="W316" s="233"/>
      <c r="X316" s="163"/>
      <c r="Y316" s="233"/>
      <c r="Z316" s="163"/>
      <c r="AA316" s="234"/>
      <c r="AB316" s="208">
        <f t="shared" si="53"/>
        <v>0</v>
      </c>
      <c r="AC316" s="209"/>
      <c r="AD316" s="675"/>
      <c r="AE316" s="171"/>
      <c r="AF316" s="672"/>
      <c r="AG316" s="158">
        <v>120</v>
      </c>
    </row>
    <row r="317" spans="1:33" s="4" customFormat="1" ht="44.25" customHeight="1">
      <c r="A317" s="678"/>
      <c r="B317" s="207" t="s">
        <v>138</v>
      </c>
      <c r="C317" s="170" t="s">
        <v>377</v>
      </c>
      <c r="D317" s="162"/>
      <c r="E317" s="163"/>
      <c r="F317" s="162"/>
      <c r="G317" s="163"/>
      <c r="H317" s="162"/>
      <c r="I317" s="163"/>
      <c r="J317" s="162"/>
      <c r="K317" s="163"/>
      <c r="L317" s="197"/>
      <c r="M317" s="163"/>
      <c r="N317" s="197"/>
      <c r="O317" s="163"/>
      <c r="P317" s="197"/>
      <c r="Q317" s="163"/>
      <c r="R317" s="197"/>
      <c r="S317" s="163"/>
      <c r="T317" s="197"/>
      <c r="U317" s="163"/>
      <c r="V317" s="197"/>
      <c r="W317" s="163"/>
      <c r="X317" s="197"/>
      <c r="Y317" s="163"/>
      <c r="Z317" s="197"/>
      <c r="AA317" s="163"/>
      <c r="AB317" s="208">
        <f t="shared" si="53"/>
        <v>0</v>
      </c>
      <c r="AC317" s="209"/>
      <c r="AD317" s="675"/>
      <c r="AE317" s="171"/>
      <c r="AF317" s="672"/>
      <c r="AG317" s="158">
        <v>121</v>
      </c>
    </row>
    <row r="318" spans="1:33" s="4" customFormat="1" ht="44.25" customHeight="1" thickBot="1">
      <c r="A318" s="678"/>
      <c r="B318" s="207" t="s">
        <v>139</v>
      </c>
      <c r="C318" s="170" t="s">
        <v>378</v>
      </c>
      <c r="D318" s="162"/>
      <c r="E318" s="163"/>
      <c r="F318" s="162"/>
      <c r="G318" s="163"/>
      <c r="H318" s="162"/>
      <c r="I318" s="163"/>
      <c r="J318" s="162"/>
      <c r="K318" s="163"/>
      <c r="L318" s="197"/>
      <c r="M318" s="197"/>
      <c r="N318" s="197"/>
      <c r="O318" s="197"/>
      <c r="P318" s="197"/>
      <c r="Q318" s="197"/>
      <c r="R318" s="197"/>
      <c r="S318" s="197"/>
      <c r="T318" s="197"/>
      <c r="U318" s="197"/>
      <c r="V318" s="197"/>
      <c r="W318" s="197"/>
      <c r="X318" s="197"/>
      <c r="Y318" s="197"/>
      <c r="Z318" s="197"/>
      <c r="AA318" s="271"/>
      <c r="AB318" s="210">
        <f t="shared" si="53"/>
        <v>0</v>
      </c>
      <c r="AC318" s="211"/>
      <c r="AD318" s="675"/>
      <c r="AE318" s="171"/>
      <c r="AF318" s="672"/>
      <c r="AG318" s="158">
        <v>122</v>
      </c>
    </row>
    <row r="319" spans="1:33" s="4" customFormat="1" ht="44.25" customHeight="1">
      <c r="A319" s="678"/>
      <c r="B319" s="207" t="s">
        <v>140</v>
      </c>
      <c r="C319" s="170" t="s">
        <v>379</v>
      </c>
      <c r="D319" s="162"/>
      <c r="E319" s="163"/>
      <c r="F319" s="162"/>
      <c r="G319" s="163"/>
      <c r="H319" s="162"/>
      <c r="I319" s="163"/>
      <c r="J319" s="162"/>
      <c r="K319" s="163"/>
      <c r="L319" s="197"/>
      <c r="M319" s="197"/>
      <c r="N319" s="197"/>
      <c r="O319" s="197"/>
      <c r="P319" s="197"/>
      <c r="Q319" s="197"/>
      <c r="R319" s="197"/>
      <c r="S319" s="197"/>
      <c r="T319" s="197"/>
      <c r="U319" s="197"/>
      <c r="V319" s="197"/>
      <c r="W319" s="197"/>
      <c r="X319" s="197"/>
      <c r="Y319" s="197"/>
      <c r="Z319" s="197"/>
      <c r="AA319" s="271"/>
      <c r="AB319" s="208">
        <f t="shared" ref="AB319:AB327" si="54">SUM(D319:AA319)</f>
        <v>0</v>
      </c>
      <c r="AC319" s="269"/>
      <c r="AD319" s="675"/>
      <c r="AE319" s="171"/>
      <c r="AF319" s="672"/>
      <c r="AG319" s="158">
        <v>123</v>
      </c>
    </row>
    <row r="320" spans="1:33" s="4" customFormat="1" ht="44.25" customHeight="1" thickBot="1">
      <c r="A320" s="678"/>
      <c r="B320" s="207" t="s">
        <v>141</v>
      </c>
      <c r="C320" s="170" t="s">
        <v>380</v>
      </c>
      <c r="D320" s="162"/>
      <c r="E320" s="163"/>
      <c r="F320" s="162"/>
      <c r="G320" s="163"/>
      <c r="H320" s="162"/>
      <c r="I320" s="163"/>
      <c r="J320" s="162"/>
      <c r="K320" s="163"/>
      <c r="L320" s="197"/>
      <c r="M320" s="197"/>
      <c r="N320" s="197"/>
      <c r="O320" s="197"/>
      <c r="P320" s="197"/>
      <c r="Q320" s="197"/>
      <c r="R320" s="197"/>
      <c r="S320" s="197"/>
      <c r="T320" s="197"/>
      <c r="U320" s="197"/>
      <c r="V320" s="197"/>
      <c r="W320" s="197"/>
      <c r="X320" s="197"/>
      <c r="Y320" s="197"/>
      <c r="Z320" s="197"/>
      <c r="AA320" s="271"/>
      <c r="AB320" s="283">
        <f t="shared" si="54"/>
        <v>0</v>
      </c>
      <c r="AC320" s="216"/>
      <c r="AD320" s="675"/>
      <c r="AE320" s="171"/>
      <c r="AF320" s="672"/>
      <c r="AG320" s="158">
        <v>124</v>
      </c>
    </row>
    <row r="321" spans="1:33" s="4" customFormat="1" ht="44.25" customHeight="1" thickBot="1">
      <c r="A321" s="679"/>
      <c r="B321" s="212" t="s">
        <v>142</v>
      </c>
      <c r="C321" s="176" t="s">
        <v>381</v>
      </c>
      <c r="D321" s="177"/>
      <c r="E321" s="178"/>
      <c r="F321" s="177"/>
      <c r="G321" s="178"/>
      <c r="H321" s="177"/>
      <c r="I321" s="178"/>
      <c r="J321" s="177"/>
      <c r="K321" s="178"/>
      <c r="L321" s="178"/>
      <c r="M321" s="178"/>
      <c r="N321" s="178"/>
      <c r="O321" s="178"/>
      <c r="P321" s="178"/>
      <c r="Q321" s="178"/>
      <c r="R321" s="178"/>
      <c r="S321" s="178"/>
      <c r="T321" s="178"/>
      <c r="U321" s="178"/>
      <c r="V321" s="178"/>
      <c r="W321" s="178"/>
      <c r="X321" s="178"/>
      <c r="Y321" s="178"/>
      <c r="Z321" s="178"/>
      <c r="AA321" s="213"/>
      <c r="AB321" s="214"/>
      <c r="AC321" s="216"/>
      <c r="AD321" s="676"/>
      <c r="AE321" s="171"/>
      <c r="AF321" s="673"/>
      <c r="AG321" s="158">
        <v>125</v>
      </c>
    </row>
    <row r="322" spans="1:33" s="4" customFormat="1" ht="48" customHeight="1" thickBot="1">
      <c r="A322" s="688" t="s">
        <v>1037</v>
      </c>
      <c r="B322" s="689"/>
      <c r="C322" s="692"/>
      <c r="D322" s="689"/>
      <c r="E322" s="689"/>
      <c r="F322" s="689"/>
      <c r="G322" s="689"/>
      <c r="H322" s="689"/>
      <c r="I322" s="689"/>
      <c r="J322" s="689"/>
      <c r="K322" s="689"/>
      <c r="L322" s="689"/>
      <c r="M322" s="689"/>
      <c r="N322" s="689"/>
      <c r="O322" s="689"/>
      <c r="P322" s="689"/>
      <c r="Q322" s="689"/>
      <c r="R322" s="689"/>
      <c r="S322" s="689"/>
      <c r="T322" s="689"/>
      <c r="U322" s="689"/>
      <c r="V322" s="689"/>
      <c r="W322" s="689"/>
      <c r="X322" s="689"/>
      <c r="Y322" s="689"/>
      <c r="Z322" s="689"/>
      <c r="AA322" s="689"/>
      <c r="AB322" s="689"/>
      <c r="AC322" s="689"/>
      <c r="AD322" s="689"/>
      <c r="AE322" s="689"/>
      <c r="AF322" s="691"/>
      <c r="AG322" s="158">
        <v>126</v>
      </c>
    </row>
    <row r="323" spans="1:33" s="4" customFormat="1" ht="38.25" customHeight="1" thickBot="1">
      <c r="A323" s="383" t="s">
        <v>144</v>
      </c>
      <c r="B323" s="292" t="s">
        <v>146</v>
      </c>
      <c r="C323" s="309" t="s">
        <v>382</v>
      </c>
      <c r="D323" s="201">
        <f t="shared" ref="D323:K323" si="55">SUM(D324:D335)</f>
        <v>0</v>
      </c>
      <c r="E323" s="306">
        <f t="shared" si="55"/>
        <v>0</v>
      </c>
      <c r="F323" s="306">
        <f t="shared" si="55"/>
        <v>0</v>
      </c>
      <c r="G323" s="306">
        <f t="shared" si="55"/>
        <v>0</v>
      </c>
      <c r="H323" s="306">
        <f t="shared" si="55"/>
        <v>0</v>
      </c>
      <c r="I323" s="306">
        <f t="shared" si="55"/>
        <v>0</v>
      </c>
      <c r="J323" s="306">
        <f t="shared" si="55"/>
        <v>0</v>
      </c>
      <c r="K323" s="306">
        <f t="shared" si="55"/>
        <v>0</v>
      </c>
      <c r="L323" s="306">
        <f>SUM(L324:L335)</f>
        <v>0</v>
      </c>
      <c r="M323" s="306">
        <f t="shared" ref="M323:AB323" si="56">SUM(M324:M335)</f>
        <v>0</v>
      </c>
      <c r="N323" s="306">
        <f t="shared" si="56"/>
        <v>0</v>
      </c>
      <c r="O323" s="306">
        <f t="shared" si="56"/>
        <v>0</v>
      </c>
      <c r="P323" s="306">
        <f t="shared" si="56"/>
        <v>0</v>
      </c>
      <c r="Q323" s="306">
        <f t="shared" si="56"/>
        <v>0</v>
      </c>
      <c r="R323" s="306">
        <f t="shared" si="56"/>
        <v>0</v>
      </c>
      <c r="S323" s="306">
        <f t="shared" si="56"/>
        <v>0</v>
      </c>
      <c r="T323" s="306">
        <f t="shared" si="56"/>
        <v>0</v>
      </c>
      <c r="U323" s="306">
        <f t="shared" si="56"/>
        <v>0</v>
      </c>
      <c r="V323" s="306">
        <f t="shared" si="56"/>
        <v>0</v>
      </c>
      <c r="W323" s="306">
        <f t="shared" si="56"/>
        <v>0</v>
      </c>
      <c r="X323" s="306">
        <f t="shared" si="56"/>
        <v>0</v>
      </c>
      <c r="Y323" s="306">
        <f t="shared" si="56"/>
        <v>0</v>
      </c>
      <c r="Z323" s="306">
        <f t="shared" si="56"/>
        <v>0</v>
      </c>
      <c r="AA323" s="306">
        <f t="shared" si="56"/>
        <v>0</v>
      </c>
      <c r="AB323" s="306">
        <f t="shared" si="56"/>
        <v>0</v>
      </c>
      <c r="AC323" s="269"/>
      <c r="AD323" s="674" t="str">
        <f>CONCATENATE(AC323,AC324,AC325,AC326,AC327,AC328,AC329,AC330,AC331,AC332,AC333,AC334,AC335)</f>
        <v/>
      </c>
      <c r="AE323" s="171"/>
      <c r="AF323" s="671" t="str">
        <f>CONCATENATE(AE323,AE324,AE325,AE326,AE327,AE328,AE329,AE330,AE331,AE332,AE333,AE334,AE335)</f>
        <v/>
      </c>
      <c r="AG323" s="158">
        <v>127</v>
      </c>
    </row>
    <row r="324" spans="1:33" s="4" customFormat="1" ht="44.25" customHeight="1" thickBot="1">
      <c r="A324" s="678" t="s">
        <v>127</v>
      </c>
      <c r="B324" s="204" t="s">
        <v>147</v>
      </c>
      <c r="C324" s="99" t="s">
        <v>383</v>
      </c>
      <c r="D324" s="162"/>
      <c r="E324" s="163"/>
      <c r="F324" s="162"/>
      <c r="G324" s="163"/>
      <c r="H324" s="162"/>
      <c r="I324" s="163"/>
      <c r="J324" s="162"/>
      <c r="K324" s="163"/>
      <c r="L324" s="163"/>
      <c r="M324" s="197"/>
      <c r="N324" s="163"/>
      <c r="O324" s="197"/>
      <c r="P324" s="163"/>
      <c r="Q324" s="197"/>
      <c r="R324" s="163"/>
      <c r="S324" s="197"/>
      <c r="T324" s="163"/>
      <c r="U324" s="197"/>
      <c r="V324" s="163"/>
      <c r="W324" s="197"/>
      <c r="X324" s="163"/>
      <c r="Y324" s="197"/>
      <c r="Z324" s="163"/>
      <c r="AA324" s="271"/>
      <c r="AB324" s="310">
        <f t="shared" si="54"/>
        <v>0</v>
      </c>
      <c r="AC324" s="282"/>
      <c r="AD324" s="675"/>
      <c r="AE324" s="171"/>
      <c r="AF324" s="672"/>
      <c r="AG324" s="158">
        <v>128</v>
      </c>
    </row>
    <row r="325" spans="1:33" s="4" customFormat="1" ht="44.25" customHeight="1">
      <c r="A325" s="678"/>
      <c r="B325" s="207" t="s">
        <v>148</v>
      </c>
      <c r="C325" s="170" t="s">
        <v>384</v>
      </c>
      <c r="D325" s="162"/>
      <c r="E325" s="163"/>
      <c r="F325" s="162"/>
      <c r="G325" s="163"/>
      <c r="H325" s="162"/>
      <c r="I325" s="163"/>
      <c r="J325" s="162"/>
      <c r="K325" s="163"/>
      <c r="L325" s="197"/>
      <c r="M325" s="163"/>
      <c r="N325" s="197"/>
      <c r="O325" s="163"/>
      <c r="P325" s="197"/>
      <c r="Q325" s="163"/>
      <c r="R325" s="197"/>
      <c r="S325" s="163"/>
      <c r="T325" s="197"/>
      <c r="U325" s="163"/>
      <c r="V325" s="197"/>
      <c r="W325" s="163"/>
      <c r="X325" s="197"/>
      <c r="Y325" s="163"/>
      <c r="Z325" s="197"/>
      <c r="AA325" s="163"/>
      <c r="AB325" s="268">
        <f t="shared" si="54"/>
        <v>0</v>
      </c>
      <c r="AC325" s="206"/>
      <c r="AD325" s="675"/>
      <c r="AE325" s="171"/>
      <c r="AF325" s="672"/>
      <c r="AG325" s="158">
        <v>129</v>
      </c>
    </row>
    <row r="326" spans="1:33" s="4" customFormat="1" ht="44.25" customHeight="1">
      <c r="A326" s="678"/>
      <c r="B326" s="207" t="s">
        <v>149</v>
      </c>
      <c r="C326" s="170" t="s">
        <v>385</v>
      </c>
      <c r="D326" s="162"/>
      <c r="E326" s="163"/>
      <c r="F326" s="162"/>
      <c r="G326" s="163"/>
      <c r="H326" s="162"/>
      <c r="I326" s="163"/>
      <c r="J326" s="162"/>
      <c r="K326" s="163"/>
      <c r="L326" s="197"/>
      <c r="M326" s="197"/>
      <c r="N326" s="197"/>
      <c r="O326" s="197"/>
      <c r="P326" s="197"/>
      <c r="Q326" s="197"/>
      <c r="R326" s="197"/>
      <c r="S326" s="197"/>
      <c r="T326" s="197"/>
      <c r="U326" s="197"/>
      <c r="V326" s="197"/>
      <c r="W326" s="197"/>
      <c r="X326" s="197"/>
      <c r="Y326" s="197"/>
      <c r="Z326" s="197"/>
      <c r="AA326" s="271"/>
      <c r="AB326" s="208">
        <f t="shared" si="54"/>
        <v>0</v>
      </c>
      <c r="AC326" s="209"/>
      <c r="AD326" s="675"/>
      <c r="AE326" s="171"/>
      <c r="AF326" s="672"/>
      <c r="AG326" s="158">
        <v>130</v>
      </c>
    </row>
    <row r="327" spans="1:33" s="4" customFormat="1" ht="44.25" customHeight="1">
      <c r="A327" s="678"/>
      <c r="B327" s="207" t="s">
        <v>150</v>
      </c>
      <c r="C327" s="170" t="s">
        <v>386</v>
      </c>
      <c r="D327" s="162"/>
      <c r="E327" s="163"/>
      <c r="F327" s="162"/>
      <c r="G327" s="163"/>
      <c r="H327" s="162"/>
      <c r="I327" s="163"/>
      <c r="J327" s="162"/>
      <c r="K327" s="163"/>
      <c r="L327" s="197"/>
      <c r="M327" s="197"/>
      <c r="N327" s="197"/>
      <c r="O327" s="197"/>
      <c r="P327" s="197"/>
      <c r="Q327" s="197"/>
      <c r="R327" s="197"/>
      <c r="S327" s="197"/>
      <c r="T327" s="197"/>
      <c r="U327" s="197"/>
      <c r="V327" s="197"/>
      <c r="W327" s="197"/>
      <c r="X327" s="197"/>
      <c r="Y327" s="197"/>
      <c r="Z327" s="197"/>
      <c r="AA327" s="271"/>
      <c r="AB327" s="208">
        <f t="shared" si="54"/>
        <v>0</v>
      </c>
      <c r="AC327" s="209"/>
      <c r="AD327" s="675"/>
      <c r="AE327" s="171"/>
      <c r="AF327" s="672"/>
      <c r="AG327" s="158">
        <v>131</v>
      </c>
    </row>
    <row r="328" spans="1:33" s="4" customFormat="1" ht="44.25" customHeight="1" thickBot="1">
      <c r="A328" s="678"/>
      <c r="B328" s="207" t="s">
        <v>151</v>
      </c>
      <c r="C328" s="170" t="s">
        <v>387</v>
      </c>
      <c r="D328" s="162"/>
      <c r="E328" s="163"/>
      <c r="F328" s="162"/>
      <c r="G328" s="163"/>
      <c r="H328" s="162"/>
      <c r="I328" s="163"/>
      <c r="J328" s="162"/>
      <c r="K328" s="163"/>
      <c r="L328" s="197"/>
      <c r="M328" s="197"/>
      <c r="N328" s="197"/>
      <c r="O328" s="197"/>
      <c r="P328" s="197"/>
      <c r="Q328" s="197"/>
      <c r="R328" s="197"/>
      <c r="S328" s="197"/>
      <c r="T328" s="197"/>
      <c r="U328" s="197"/>
      <c r="V328" s="197"/>
      <c r="W328" s="197"/>
      <c r="X328" s="197"/>
      <c r="Y328" s="197"/>
      <c r="Z328" s="197"/>
      <c r="AA328" s="271"/>
      <c r="AB328" s="283">
        <f t="shared" ref="AB328:AB334" si="57">SUM(D328:AA328)</f>
        <v>0</v>
      </c>
      <c r="AC328" s="209"/>
      <c r="AD328" s="675"/>
      <c r="AE328" s="171"/>
      <c r="AF328" s="672"/>
      <c r="AG328" s="158">
        <v>132</v>
      </c>
    </row>
    <row r="329" spans="1:33" s="4" customFormat="1" ht="44.25" customHeight="1" thickBot="1">
      <c r="A329" s="679"/>
      <c r="B329" s="212" t="s">
        <v>152</v>
      </c>
      <c r="C329" s="176" t="s">
        <v>388</v>
      </c>
      <c r="D329" s="177"/>
      <c r="E329" s="178"/>
      <c r="F329" s="177"/>
      <c r="G329" s="178"/>
      <c r="H329" s="177"/>
      <c r="I329" s="178"/>
      <c r="J329" s="177"/>
      <c r="K329" s="178"/>
      <c r="L329" s="178"/>
      <c r="M329" s="178"/>
      <c r="N329" s="178"/>
      <c r="O329" s="178"/>
      <c r="P329" s="178"/>
      <c r="Q329" s="178"/>
      <c r="R329" s="178"/>
      <c r="S329" s="178"/>
      <c r="T329" s="178"/>
      <c r="U329" s="178"/>
      <c r="V329" s="178"/>
      <c r="W329" s="178"/>
      <c r="X329" s="178"/>
      <c r="Y329" s="178"/>
      <c r="Z329" s="178"/>
      <c r="AA329" s="213"/>
      <c r="AB329" s="214"/>
      <c r="AC329" s="211"/>
      <c r="AD329" s="675"/>
      <c r="AE329" s="171"/>
      <c r="AF329" s="672"/>
      <c r="AG329" s="158">
        <v>133</v>
      </c>
    </row>
    <row r="330" spans="1:33" s="4" customFormat="1" ht="44.25" customHeight="1" thickBot="1">
      <c r="A330" s="677" t="s">
        <v>128</v>
      </c>
      <c r="B330" s="307" t="s">
        <v>147</v>
      </c>
      <c r="C330" s="170" t="s">
        <v>389</v>
      </c>
      <c r="D330" s="182"/>
      <c r="E330" s="183"/>
      <c r="F330" s="182"/>
      <c r="G330" s="183"/>
      <c r="H330" s="182"/>
      <c r="I330" s="183"/>
      <c r="J330" s="182"/>
      <c r="K330" s="183"/>
      <c r="L330" s="183"/>
      <c r="M330" s="196"/>
      <c r="N330" s="183"/>
      <c r="O330" s="196"/>
      <c r="P330" s="183"/>
      <c r="Q330" s="196"/>
      <c r="R330" s="183"/>
      <c r="S330" s="196"/>
      <c r="T330" s="183"/>
      <c r="U330" s="196"/>
      <c r="V330" s="183"/>
      <c r="W330" s="196"/>
      <c r="X330" s="183"/>
      <c r="Y330" s="196"/>
      <c r="Z330" s="183"/>
      <c r="AA330" s="267"/>
      <c r="AB330" s="208">
        <f t="shared" si="57"/>
        <v>0</v>
      </c>
      <c r="AC330" s="206"/>
      <c r="AD330" s="675"/>
      <c r="AE330" s="171"/>
      <c r="AF330" s="672"/>
      <c r="AG330" s="158">
        <v>134</v>
      </c>
    </row>
    <row r="331" spans="1:33" s="4" customFormat="1" ht="44.25" customHeight="1">
      <c r="A331" s="678"/>
      <c r="B331" s="207" t="s">
        <v>148</v>
      </c>
      <c r="C331" s="170" t="s">
        <v>390</v>
      </c>
      <c r="D331" s="162"/>
      <c r="E331" s="163"/>
      <c r="F331" s="162"/>
      <c r="G331" s="163"/>
      <c r="H331" s="162"/>
      <c r="I331" s="163"/>
      <c r="J331" s="162"/>
      <c r="K331" s="163"/>
      <c r="L331" s="197"/>
      <c r="M331" s="183"/>
      <c r="N331" s="197"/>
      <c r="O331" s="183"/>
      <c r="P331" s="197"/>
      <c r="Q331" s="183"/>
      <c r="R331" s="197"/>
      <c r="S331" s="183"/>
      <c r="T331" s="197"/>
      <c r="U331" s="183"/>
      <c r="V331" s="197"/>
      <c r="W331" s="183"/>
      <c r="X331" s="197"/>
      <c r="Y331" s="183"/>
      <c r="Z331" s="197"/>
      <c r="AA331" s="183"/>
      <c r="AB331" s="208">
        <f>SUM(D331:AA331)</f>
        <v>0</v>
      </c>
      <c r="AC331" s="209"/>
      <c r="AD331" s="675"/>
      <c r="AE331" s="171"/>
      <c r="AF331" s="672"/>
      <c r="AG331" s="158">
        <v>135</v>
      </c>
    </row>
    <row r="332" spans="1:33" s="4" customFormat="1" ht="44.25" customHeight="1">
      <c r="A332" s="678"/>
      <c r="B332" s="207" t="s">
        <v>149</v>
      </c>
      <c r="C332" s="170" t="s">
        <v>391</v>
      </c>
      <c r="D332" s="162"/>
      <c r="E332" s="163"/>
      <c r="F332" s="162"/>
      <c r="G332" s="163"/>
      <c r="H332" s="162"/>
      <c r="I332" s="163"/>
      <c r="J332" s="162"/>
      <c r="K332" s="163"/>
      <c r="L332" s="197"/>
      <c r="M332" s="197"/>
      <c r="N332" s="197"/>
      <c r="O332" s="197"/>
      <c r="P332" s="197"/>
      <c r="Q332" s="197"/>
      <c r="R332" s="197"/>
      <c r="S332" s="197"/>
      <c r="T332" s="197"/>
      <c r="U332" s="197"/>
      <c r="V332" s="197"/>
      <c r="W332" s="197"/>
      <c r="X332" s="197"/>
      <c r="Y332" s="197"/>
      <c r="Z332" s="197"/>
      <c r="AA332" s="271"/>
      <c r="AB332" s="208">
        <f>SUM(D332:AA332)</f>
        <v>0</v>
      </c>
      <c r="AC332" s="209"/>
      <c r="AD332" s="675"/>
      <c r="AE332" s="171"/>
      <c r="AF332" s="672"/>
      <c r="AG332" s="158">
        <v>136</v>
      </c>
    </row>
    <row r="333" spans="1:33" s="4" customFormat="1" ht="44.25" customHeight="1">
      <c r="A333" s="678"/>
      <c r="B333" s="207" t="s">
        <v>150</v>
      </c>
      <c r="C333" s="170" t="s">
        <v>392</v>
      </c>
      <c r="D333" s="162"/>
      <c r="E333" s="163"/>
      <c r="F333" s="162"/>
      <c r="G333" s="163"/>
      <c r="H333" s="162"/>
      <c r="I333" s="163"/>
      <c r="J333" s="162"/>
      <c r="K333" s="163"/>
      <c r="L333" s="197"/>
      <c r="M333" s="197"/>
      <c r="N333" s="197"/>
      <c r="O333" s="197"/>
      <c r="P333" s="197"/>
      <c r="Q333" s="197"/>
      <c r="R333" s="197"/>
      <c r="S333" s="197"/>
      <c r="T333" s="197"/>
      <c r="U333" s="197"/>
      <c r="V333" s="197"/>
      <c r="W333" s="197"/>
      <c r="X333" s="197"/>
      <c r="Y333" s="197"/>
      <c r="Z333" s="197"/>
      <c r="AA333" s="271"/>
      <c r="AB333" s="208">
        <f>SUM(D333:AA333)</f>
        <v>0</v>
      </c>
      <c r="AC333" s="209"/>
      <c r="AD333" s="675"/>
      <c r="AE333" s="171"/>
      <c r="AF333" s="672"/>
      <c r="AG333" s="158">
        <v>137</v>
      </c>
    </row>
    <row r="334" spans="1:33" s="4" customFormat="1" ht="44.25" customHeight="1" thickBot="1">
      <c r="A334" s="678"/>
      <c r="B334" s="207" t="s">
        <v>151</v>
      </c>
      <c r="C334" s="170" t="s">
        <v>393</v>
      </c>
      <c r="D334" s="162"/>
      <c r="E334" s="163"/>
      <c r="F334" s="162"/>
      <c r="G334" s="163"/>
      <c r="H334" s="162"/>
      <c r="I334" s="163"/>
      <c r="J334" s="162"/>
      <c r="K334" s="163"/>
      <c r="L334" s="197"/>
      <c r="M334" s="197"/>
      <c r="N334" s="197"/>
      <c r="O334" s="197"/>
      <c r="P334" s="197"/>
      <c r="Q334" s="197"/>
      <c r="R334" s="197"/>
      <c r="S334" s="197"/>
      <c r="T334" s="197"/>
      <c r="U334" s="197"/>
      <c r="V334" s="197"/>
      <c r="W334" s="197"/>
      <c r="X334" s="197"/>
      <c r="Y334" s="197"/>
      <c r="Z334" s="197"/>
      <c r="AA334" s="271"/>
      <c r="AB334" s="283">
        <f t="shared" si="57"/>
        <v>0</v>
      </c>
      <c r="AC334" s="209"/>
      <c r="AD334" s="675"/>
      <c r="AE334" s="171"/>
      <c r="AF334" s="672"/>
      <c r="AG334" s="158">
        <v>138</v>
      </c>
    </row>
    <row r="335" spans="1:33" s="4" customFormat="1" ht="44.25" customHeight="1" thickBot="1">
      <c r="A335" s="678"/>
      <c r="B335" s="299" t="s">
        <v>152</v>
      </c>
      <c r="C335" s="176" t="s">
        <v>394</v>
      </c>
      <c r="D335" s="247"/>
      <c r="E335" s="248"/>
      <c r="F335" s="247"/>
      <c r="G335" s="248"/>
      <c r="H335" s="247"/>
      <c r="I335" s="248"/>
      <c r="J335" s="247"/>
      <c r="K335" s="248"/>
      <c r="L335" s="248"/>
      <c r="M335" s="248"/>
      <c r="N335" s="248"/>
      <c r="O335" s="248"/>
      <c r="P335" s="248"/>
      <c r="Q335" s="248"/>
      <c r="R335" s="248"/>
      <c r="S335" s="248"/>
      <c r="T335" s="248"/>
      <c r="U335" s="248"/>
      <c r="V335" s="248"/>
      <c r="W335" s="248"/>
      <c r="X335" s="248"/>
      <c r="Y335" s="248"/>
      <c r="Z335" s="248"/>
      <c r="AA335" s="300"/>
      <c r="AB335" s="214"/>
      <c r="AC335" s="311"/>
      <c r="AD335" s="676"/>
      <c r="AE335" s="171"/>
      <c r="AF335" s="673"/>
      <c r="AG335" s="158">
        <v>139</v>
      </c>
    </row>
    <row r="336" spans="1:33" s="4" customFormat="1" ht="38.25" customHeight="1" thickBot="1">
      <c r="A336" s="688" t="s">
        <v>1038</v>
      </c>
      <c r="B336" s="689"/>
      <c r="C336" s="690"/>
      <c r="D336" s="689"/>
      <c r="E336" s="689"/>
      <c r="F336" s="689"/>
      <c r="G336" s="689"/>
      <c r="H336" s="689"/>
      <c r="I336" s="689"/>
      <c r="J336" s="689"/>
      <c r="K336" s="689"/>
      <c r="L336" s="689"/>
      <c r="M336" s="689"/>
      <c r="N336" s="689"/>
      <c r="O336" s="689"/>
      <c r="P336" s="689"/>
      <c r="Q336" s="689"/>
      <c r="R336" s="689"/>
      <c r="S336" s="689"/>
      <c r="T336" s="689"/>
      <c r="U336" s="689"/>
      <c r="V336" s="689"/>
      <c r="W336" s="689"/>
      <c r="X336" s="689"/>
      <c r="Y336" s="689"/>
      <c r="Z336" s="689"/>
      <c r="AA336" s="689"/>
      <c r="AB336" s="689"/>
      <c r="AC336" s="689"/>
      <c r="AD336" s="689"/>
      <c r="AE336" s="689"/>
      <c r="AF336" s="691"/>
      <c r="AG336" s="158">
        <v>140</v>
      </c>
    </row>
    <row r="337" spans="1:47" s="4" customFormat="1" ht="38.25" customHeight="1" thickBot="1">
      <c r="A337" s="375" t="s">
        <v>144</v>
      </c>
      <c r="B337" s="294" t="s">
        <v>153</v>
      </c>
      <c r="C337" s="304" t="s">
        <v>395</v>
      </c>
      <c r="D337" s="305">
        <f t="shared" ref="D337:AB337" si="58">SUM(D338:D349)</f>
        <v>0</v>
      </c>
      <c r="E337" s="306">
        <f t="shared" si="58"/>
        <v>0</v>
      </c>
      <c r="F337" s="306">
        <f t="shared" si="58"/>
        <v>0</v>
      </c>
      <c r="G337" s="306">
        <f t="shared" si="58"/>
        <v>0</v>
      </c>
      <c r="H337" s="306">
        <f t="shared" si="58"/>
        <v>0</v>
      </c>
      <c r="I337" s="306">
        <f t="shared" si="58"/>
        <v>0</v>
      </c>
      <c r="J337" s="306">
        <f t="shared" si="58"/>
        <v>0</v>
      </c>
      <c r="K337" s="306">
        <f t="shared" si="58"/>
        <v>0</v>
      </c>
      <c r="L337" s="306">
        <f t="shared" si="58"/>
        <v>0</v>
      </c>
      <c r="M337" s="306">
        <f t="shared" si="58"/>
        <v>0</v>
      </c>
      <c r="N337" s="306">
        <f t="shared" si="58"/>
        <v>0</v>
      </c>
      <c r="O337" s="306">
        <f t="shared" si="58"/>
        <v>0</v>
      </c>
      <c r="P337" s="306">
        <f t="shared" si="58"/>
        <v>0</v>
      </c>
      <c r="Q337" s="306">
        <f t="shared" si="58"/>
        <v>0</v>
      </c>
      <c r="R337" s="306">
        <f t="shared" si="58"/>
        <v>0</v>
      </c>
      <c r="S337" s="306">
        <f t="shared" si="58"/>
        <v>0</v>
      </c>
      <c r="T337" s="306">
        <f t="shared" si="58"/>
        <v>0</v>
      </c>
      <c r="U337" s="306">
        <f t="shared" si="58"/>
        <v>0</v>
      </c>
      <c r="V337" s="306">
        <f t="shared" si="58"/>
        <v>0</v>
      </c>
      <c r="W337" s="306">
        <f t="shared" si="58"/>
        <v>0</v>
      </c>
      <c r="X337" s="306">
        <f t="shared" si="58"/>
        <v>0</v>
      </c>
      <c r="Y337" s="306">
        <f t="shared" si="58"/>
        <v>0</v>
      </c>
      <c r="Z337" s="306">
        <f t="shared" si="58"/>
        <v>0</v>
      </c>
      <c r="AA337" s="306">
        <f t="shared" si="58"/>
        <v>0</v>
      </c>
      <c r="AB337" s="306">
        <f t="shared" si="58"/>
        <v>0</v>
      </c>
      <c r="AC337" s="312"/>
      <c r="AD337" s="674" t="str">
        <f>CONCATENATE(AC337,AC338,AC339,AC340,AC341,AC342,AC343,AC344,AC345,AC346,AC347,AC348,AC349)</f>
        <v/>
      </c>
      <c r="AE337" s="171"/>
      <c r="AF337" s="671" t="str">
        <f>CONCATENATE(AE337,AE338,AE339,AE340,AE341,AE342,AE343,AE344,AE345,AE346,AE347,AE348,AE349)</f>
        <v/>
      </c>
      <c r="AG337" s="158">
        <v>141</v>
      </c>
    </row>
    <row r="338" spans="1:47" s="4" customFormat="1" ht="42" customHeight="1" thickBot="1">
      <c r="A338" s="677" t="s">
        <v>127</v>
      </c>
      <c r="B338" s="307" t="s">
        <v>154</v>
      </c>
      <c r="C338" s="170" t="s">
        <v>396</v>
      </c>
      <c r="D338" s="182"/>
      <c r="E338" s="183"/>
      <c r="F338" s="182"/>
      <c r="G338" s="183"/>
      <c r="H338" s="182"/>
      <c r="I338" s="183"/>
      <c r="J338" s="182"/>
      <c r="K338" s="183"/>
      <c r="L338" s="183"/>
      <c r="M338" s="196"/>
      <c r="N338" s="183"/>
      <c r="O338" s="196"/>
      <c r="P338" s="183"/>
      <c r="Q338" s="196"/>
      <c r="R338" s="183"/>
      <c r="S338" s="196"/>
      <c r="T338" s="183"/>
      <c r="U338" s="196"/>
      <c r="V338" s="183"/>
      <c r="W338" s="196"/>
      <c r="X338" s="183"/>
      <c r="Y338" s="196"/>
      <c r="Z338" s="183"/>
      <c r="AA338" s="288"/>
      <c r="AB338" s="208">
        <f t="shared" ref="AB338:AB348" si="59">SUM(D338:AA338)</f>
        <v>0</v>
      </c>
      <c r="AC338" s="313"/>
      <c r="AD338" s="675"/>
      <c r="AE338" s="171"/>
      <c r="AF338" s="672"/>
      <c r="AG338" s="158">
        <v>142</v>
      </c>
    </row>
    <row r="339" spans="1:47" s="4" customFormat="1" ht="42" customHeight="1">
      <c r="A339" s="678"/>
      <c r="B339" s="207" t="s">
        <v>155</v>
      </c>
      <c r="C339" s="170" t="s">
        <v>397</v>
      </c>
      <c r="D339" s="162"/>
      <c r="E339" s="163"/>
      <c r="F339" s="162"/>
      <c r="G339" s="163"/>
      <c r="H339" s="162"/>
      <c r="I339" s="163"/>
      <c r="J339" s="162"/>
      <c r="K339" s="163"/>
      <c r="L339" s="233"/>
      <c r="M339" s="183"/>
      <c r="N339" s="233"/>
      <c r="O339" s="183"/>
      <c r="P339" s="233"/>
      <c r="Q339" s="183"/>
      <c r="R339" s="233"/>
      <c r="S339" s="183"/>
      <c r="T339" s="233"/>
      <c r="U339" s="183"/>
      <c r="V339" s="233"/>
      <c r="W339" s="183"/>
      <c r="X339" s="233"/>
      <c r="Y339" s="183"/>
      <c r="Z339" s="233"/>
      <c r="AA339" s="183"/>
      <c r="AB339" s="208">
        <f t="shared" si="59"/>
        <v>0</v>
      </c>
      <c r="AC339" s="269"/>
      <c r="AD339" s="675"/>
      <c r="AE339" s="171"/>
      <c r="AF339" s="672"/>
      <c r="AG339" s="158">
        <v>143</v>
      </c>
    </row>
    <row r="340" spans="1:47" s="4" customFormat="1" ht="42" customHeight="1">
      <c r="A340" s="678"/>
      <c r="B340" s="207" t="s">
        <v>156</v>
      </c>
      <c r="C340" s="170" t="s">
        <v>398</v>
      </c>
      <c r="D340" s="162"/>
      <c r="E340" s="163"/>
      <c r="F340" s="162"/>
      <c r="G340" s="163"/>
      <c r="H340" s="162"/>
      <c r="I340" s="163"/>
      <c r="J340" s="162"/>
      <c r="K340" s="163"/>
      <c r="L340" s="197"/>
      <c r="M340" s="197"/>
      <c r="N340" s="197"/>
      <c r="O340" s="197"/>
      <c r="P340" s="197"/>
      <c r="Q340" s="197"/>
      <c r="R340" s="197"/>
      <c r="S340" s="197"/>
      <c r="T340" s="197"/>
      <c r="U340" s="197"/>
      <c r="V340" s="197"/>
      <c r="W340" s="197"/>
      <c r="X340" s="197"/>
      <c r="Y340" s="197"/>
      <c r="Z340" s="197"/>
      <c r="AA340" s="290"/>
      <c r="AB340" s="208">
        <f t="shared" si="59"/>
        <v>0</v>
      </c>
      <c r="AC340" s="216"/>
      <c r="AD340" s="675"/>
      <c r="AE340" s="171"/>
      <c r="AF340" s="672"/>
      <c r="AG340" s="158">
        <v>144</v>
      </c>
    </row>
    <row r="341" spans="1:47" s="4" customFormat="1" ht="42" customHeight="1" thickBot="1">
      <c r="A341" s="678"/>
      <c r="B341" s="207" t="s">
        <v>157</v>
      </c>
      <c r="C341" s="170" t="s">
        <v>399</v>
      </c>
      <c r="D341" s="162"/>
      <c r="E341" s="163"/>
      <c r="F341" s="162"/>
      <c r="G341" s="163"/>
      <c r="H341" s="162"/>
      <c r="I341" s="163"/>
      <c r="J341" s="162"/>
      <c r="K341" s="163"/>
      <c r="L341" s="197"/>
      <c r="M341" s="197"/>
      <c r="N341" s="197"/>
      <c r="O341" s="197"/>
      <c r="P341" s="197"/>
      <c r="Q341" s="197"/>
      <c r="R341" s="197"/>
      <c r="S341" s="197"/>
      <c r="T341" s="197"/>
      <c r="U341" s="197"/>
      <c r="V341" s="197"/>
      <c r="W341" s="197"/>
      <c r="X341" s="197"/>
      <c r="Y341" s="197"/>
      <c r="Z341" s="197"/>
      <c r="AA341" s="290"/>
      <c r="AB341" s="208">
        <f t="shared" si="59"/>
        <v>0</v>
      </c>
      <c r="AC341" s="216"/>
      <c r="AD341" s="675"/>
      <c r="AE341" s="171"/>
      <c r="AF341" s="672"/>
      <c r="AG341" s="158">
        <v>145</v>
      </c>
    </row>
    <row r="342" spans="1:47" s="4" customFormat="1" ht="42" customHeight="1" thickBot="1">
      <c r="A342" s="678"/>
      <c r="B342" s="207" t="s">
        <v>158</v>
      </c>
      <c r="C342" s="170" t="s">
        <v>400</v>
      </c>
      <c r="D342" s="162"/>
      <c r="E342" s="163"/>
      <c r="F342" s="162"/>
      <c r="G342" s="163"/>
      <c r="H342" s="162"/>
      <c r="I342" s="163"/>
      <c r="J342" s="162"/>
      <c r="K342" s="163"/>
      <c r="L342" s="197"/>
      <c r="M342" s="197"/>
      <c r="N342" s="197"/>
      <c r="O342" s="197"/>
      <c r="P342" s="197"/>
      <c r="Q342" s="197"/>
      <c r="R342" s="197"/>
      <c r="S342" s="197"/>
      <c r="T342" s="197"/>
      <c r="U342" s="197"/>
      <c r="V342" s="197"/>
      <c r="W342" s="197"/>
      <c r="X342" s="197"/>
      <c r="Y342" s="197"/>
      <c r="Z342" s="197"/>
      <c r="AA342" s="290"/>
      <c r="AB342" s="283">
        <f t="shared" si="59"/>
        <v>0</v>
      </c>
      <c r="AC342" s="206"/>
      <c r="AD342" s="675"/>
      <c r="AE342" s="171"/>
      <c r="AF342" s="672"/>
      <c r="AG342" s="158">
        <v>146</v>
      </c>
    </row>
    <row r="343" spans="1:47" s="4" customFormat="1" ht="42" customHeight="1" thickBot="1">
      <c r="A343" s="679"/>
      <c r="B343" s="212" t="s">
        <v>159</v>
      </c>
      <c r="C343" s="170" t="s">
        <v>401</v>
      </c>
      <c r="D343" s="177"/>
      <c r="E343" s="178"/>
      <c r="F343" s="177"/>
      <c r="G343" s="178"/>
      <c r="H343" s="177"/>
      <c r="I343" s="178"/>
      <c r="J343" s="177"/>
      <c r="K343" s="178"/>
      <c r="L343" s="178"/>
      <c r="M343" s="178"/>
      <c r="N343" s="178"/>
      <c r="O343" s="178"/>
      <c r="P343" s="178"/>
      <c r="Q343" s="178"/>
      <c r="R343" s="178"/>
      <c r="S343" s="178"/>
      <c r="T343" s="178"/>
      <c r="U343" s="178"/>
      <c r="V343" s="178"/>
      <c r="W343" s="178"/>
      <c r="X343" s="178"/>
      <c r="Y343" s="178"/>
      <c r="Z343" s="178"/>
      <c r="AA343" s="213"/>
      <c r="AB343" s="214"/>
      <c r="AC343" s="209"/>
      <c r="AD343" s="675"/>
      <c r="AE343" s="171"/>
      <c r="AF343" s="672"/>
      <c r="AG343" s="158">
        <v>147</v>
      </c>
    </row>
    <row r="344" spans="1:47" s="4" customFormat="1" ht="42" customHeight="1" thickBot="1">
      <c r="A344" s="773" t="s">
        <v>128</v>
      </c>
      <c r="B344" s="204" t="s">
        <v>154</v>
      </c>
      <c r="C344" s="99" t="s">
        <v>402</v>
      </c>
      <c r="D344" s="162"/>
      <c r="E344" s="163"/>
      <c r="F344" s="162"/>
      <c r="G344" s="163"/>
      <c r="H344" s="162"/>
      <c r="I344" s="163"/>
      <c r="J344" s="162"/>
      <c r="K344" s="163"/>
      <c r="L344" s="183"/>
      <c r="M344" s="233"/>
      <c r="N344" s="183"/>
      <c r="O344" s="233"/>
      <c r="P344" s="183"/>
      <c r="Q344" s="233"/>
      <c r="R344" s="183"/>
      <c r="S344" s="233"/>
      <c r="T344" s="183"/>
      <c r="U344" s="233"/>
      <c r="V344" s="183"/>
      <c r="W344" s="233"/>
      <c r="X344" s="183"/>
      <c r="Y344" s="233"/>
      <c r="Z344" s="183"/>
      <c r="AA344" s="234"/>
      <c r="AB344" s="205">
        <f t="shared" si="59"/>
        <v>0</v>
      </c>
      <c r="AC344" s="269"/>
      <c r="AD344" s="675"/>
      <c r="AE344" s="171"/>
      <c r="AF344" s="672"/>
      <c r="AG344" s="158">
        <v>148</v>
      </c>
    </row>
    <row r="345" spans="1:47" s="4" customFormat="1" ht="42" customHeight="1">
      <c r="A345" s="773"/>
      <c r="B345" s="207" t="s">
        <v>155</v>
      </c>
      <c r="C345" s="170" t="s">
        <v>403</v>
      </c>
      <c r="D345" s="162"/>
      <c r="E345" s="163"/>
      <c r="F345" s="162"/>
      <c r="G345" s="163"/>
      <c r="H345" s="162"/>
      <c r="I345" s="163"/>
      <c r="J345" s="162"/>
      <c r="K345" s="163"/>
      <c r="L345" s="197"/>
      <c r="M345" s="183"/>
      <c r="N345" s="197"/>
      <c r="O345" s="183"/>
      <c r="P345" s="197"/>
      <c r="Q345" s="183"/>
      <c r="R345" s="197"/>
      <c r="S345" s="183"/>
      <c r="T345" s="197"/>
      <c r="U345" s="183"/>
      <c r="V345" s="197"/>
      <c r="W345" s="183"/>
      <c r="X345" s="197"/>
      <c r="Y345" s="183"/>
      <c r="Z345" s="197"/>
      <c r="AA345" s="183"/>
      <c r="AB345" s="208">
        <f t="shared" si="59"/>
        <v>0</v>
      </c>
      <c r="AC345" s="216"/>
      <c r="AD345" s="675"/>
      <c r="AE345" s="171"/>
      <c r="AF345" s="672"/>
      <c r="AG345" s="158">
        <v>149</v>
      </c>
    </row>
    <row r="346" spans="1:47" s="4" customFormat="1" ht="42" customHeight="1" thickBot="1">
      <c r="A346" s="773"/>
      <c r="B346" s="207" t="s">
        <v>156</v>
      </c>
      <c r="C346" s="170" t="s">
        <v>404</v>
      </c>
      <c r="D346" s="162"/>
      <c r="E346" s="163"/>
      <c r="F346" s="162"/>
      <c r="G346" s="163"/>
      <c r="H346" s="162"/>
      <c r="I346" s="163"/>
      <c r="J346" s="162"/>
      <c r="K346" s="163"/>
      <c r="L346" s="197"/>
      <c r="M346" s="197"/>
      <c r="N346" s="197"/>
      <c r="O346" s="197"/>
      <c r="P346" s="197"/>
      <c r="Q346" s="197"/>
      <c r="R346" s="197"/>
      <c r="S346" s="197"/>
      <c r="T346" s="197"/>
      <c r="U346" s="197"/>
      <c r="V346" s="197"/>
      <c r="W346" s="197"/>
      <c r="X346" s="197"/>
      <c r="Y346" s="197"/>
      <c r="Z346" s="197"/>
      <c r="AA346" s="271"/>
      <c r="AB346" s="208">
        <f t="shared" si="59"/>
        <v>0</v>
      </c>
      <c r="AC346" s="216"/>
      <c r="AD346" s="675"/>
      <c r="AE346" s="171"/>
      <c r="AF346" s="672"/>
      <c r="AG346" s="158">
        <v>150</v>
      </c>
    </row>
    <row r="347" spans="1:47" s="4" customFormat="1" ht="42" customHeight="1">
      <c r="A347" s="773"/>
      <c r="B347" s="207" t="s">
        <v>157</v>
      </c>
      <c r="C347" s="170" t="s">
        <v>405</v>
      </c>
      <c r="D347" s="162"/>
      <c r="E347" s="163"/>
      <c r="F347" s="162"/>
      <c r="G347" s="163"/>
      <c r="H347" s="162"/>
      <c r="I347" s="163"/>
      <c r="J347" s="162"/>
      <c r="K347" s="163"/>
      <c r="L347" s="197"/>
      <c r="M347" s="197"/>
      <c r="N347" s="197"/>
      <c r="O347" s="197"/>
      <c r="P347" s="197"/>
      <c r="Q347" s="197"/>
      <c r="R347" s="197"/>
      <c r="S347" s="197"/>
      <c r="T347" s="197"/>
      <c r="U347" s="197"/>
      <c r="V347" s="197"/>
      <c r="W347" s="197"/>
      <c r="X347" s="197"/>
      <c r="Y347" s="197"/>
      <c r="Z347" s="197"/>
      <c r="AA347" s="271"/>
      <c r="AB347" s="208">
        <f t="shared" si="59"/>
        <v>0</v>
      </c>
      <c r="AC347" s="206"/>
      <c r="AD347" s="675"/>
      <c r="AE347" s="171"/>
      <c r="AF347" s="672"/>
      <c r="AG347" s="158">
        <v>151</v>
      </c>
    </row>
    <row r="348" spans="1:47" s="6" customFormat="1" ht="42" customHeight="1" thickBot="1">
      <c r="A348" s="773"/>
      <c r="B348" s="207" t="s">
        <v>158</v>
      </c>
      <c r="C348" s="170" t="s">
        <v>406</v>
      </c>
      <c r="D348" s="162"/>
      <c r="E348" s="163"/>
      <c r="F348" s="162"/>
      <c r="G348" s="163"/>
      <c r="H348" s="162"/>
      <c r="I348" s="163"/>
      <c r="J348" s="162"/>
      <c r="K348" s="163"/>
      <c r="L348" s="197"/>
      <c r="M348" s="197"/>
      <c r="N348" s="197"/>
      <c r="O348" s="197"/>
      <c r="P348" s="197"/>
      <c r="Q348" s="197"/>
      <c r="R348" s="197"/>
      <c r="S348" s="197"/>
      <c r="T348" s="197"/>
      <c r="U348" s="197"/>
      <c r="V348" s="197"/>
      <c r="W348" s="197"/>
      <c r="X348" s="197"/>
      <c r="Y348" s="197"/>
      <c r="Z348" s="197"/>
      <c r="AA348" s="271"/>
      <c r="AB348" s="283">
        <f t="shared" si="59"/>
        <v>0</v>
      </c>
      <c r="AC348" s="209"/>
      <c r="AD348" s="675"/>
      <c r="AE348" s="171"/>
      <c r="AF348" s="672"/>
      <c r="AG348" s="158">
        <v>152</v>
      </c>
      <c r="AH348" s="4"/>
      <c r="AI348" s="4"/>
      <c r="AJ348" s="4"/>
      <c r="AK348" s="4"/>
      <c r="AL348" s="4"/>
      <c r="AM348" s="4"/>
      <c r="AN348" s="4"/>
      <c r="AO348" s="4"/>
      <c r="AP348" s="4"/>
      <c r="AQ348" s="4"/>
      <c r="AR348" s="4"/>
      <c r="AS348" s="4"/>
      <c r="AT348" s="4"/>
      <c r="AU348" s="4"/>
    </row>
    <row r="349" spans="1:47" s="4" customFormat="1" ht="42" customHeight="1" thickBot="1">
      <c r="A349" s="773"/>
      <c r="B349" s="299" t="s">
        <v>159</v>
      </c>
      <c r="C349" s="176" t="s">
        <v>407</v>
      </c>
      <c r="D349" s="247"/>
      <c r="E349" s="248"/>
      <c r="F349" s="247"/>
      <c r="G349" s="248"/>
      <c r="H349" s="247"/>
      <c r="I349" s="248"/>
      <c r="J349" s="247"/>
      <c r="K349" s="248"/>
      <c r="L349" s="248"/>
      <c r="M349" s="248"/>
      <c r="N349" s="248"/>
      <c r="O349" s="248"/>
      <c r="P349" s="248"/>
      <c r="Q349" s="248"/>
      <c r="R349" s="248"/>
      <c r="S349" s="248"/>
      <c r="T349" s="248"/>
      <c r="U349" s="248"/>
      <c r="V349" s="248"/>
      <c r="W349" s="248"/>
      <c r="X349" s="248"/>
      <c r="Y349" s="248"/>
      <c r="Z349" s="248"/>
      <c r="AA349" s="300"/>
      <c r="AB349" s="214"/>
      <c r="AC349" s="209"/>
      <c r="AD349" s="676"/>
      <c r="AE349" s="171"/>
      <c r="AF349" s="673"/>
      <c r="AG349" s="158">
        <v>153</v>
      </c>
    </row>
    <row r="350" spans="1:47" s="549" customFormat="1" ht="67.5" customHeight="1" thickBot="1">
      <c r="A350" s="774" t="s">
        <v>1039</v>
      </c>
      <c r="B350" s="775"/>
      <c r="C350" s="776"/>
      <c r="D350" s="775"/>
      <c r="E350" s="775"/>
      <c r="F350" s="775"/>
      <c r="G350" s="775"/>
      <c r="H350" s="775"/>
      <c r="I350" s="775"/>
      <c r="J350" s="775"/>
      <c r="K350" s="775"/>
      <c r="L350" s="775"/>
      <c r="M350" s="775"/>
      <c r="N350" s="775"/>
      <c r="O350" s="775"/>
      <c r="P350" s="775"/>
      <c r="Q350" s="775"/>
      <c r="R350" s="775"/>
      <c r="S350" s="775"/>
      <c r="T350" s="775"/>
      <c r="U350" s="775"/>
      <c r="V350" s="775"/>
      <c r="W350" s="775"/>
      <c r="X350" s="775"/>
      <c r="Y350" s="775"/>
      <c r="Z350" s="775"/>
      <c r="AA350" s="775"/>
      <c r="AB350" s="776"/>
      <c r="AC350" s="775"/>
      <c r="AD350" s="775"/>
      <c r="AE350" s="775"/>
      <c r="AF350" s="777"/>
      <c r="AG350" s="548">
        <v>154</v>
      </c>
    </row>
    <row r="351" spans="1:47" s="4" customFormat="1" ht="50.25" customHeight="1" thickBot="1">
      <c r="A351" s="375" t="s">
        <v>145</v>
      </c>
      <c r="B351" s="292" t="s">
        <v>145</v>
      </c>
      <c r="C351" s="176" t="s">
        <v>408</v>
      </c>
      <c r="D351" s="201">
        <f t="shared" ref="D351:L351" si="60">SUM(D352:D357)</f>
        <v>0</v>
      </c>
      <c r="E351" s="201">
        <f t="shared" si="60"/>
        <v>0</v>
      </c>
      <c r="F351" s="201">
        <f t="shared" si="60"/>
        <v>0</v>
      </c>
      <c r="G351" s="201">
        <f t="shared" si="60"/>
        <v>0</v>
      </c>
      <c r="H351" s="201">
        <f t="shared" si="60"/>
        <v>0</v>
      </c>
      <c r="I351" s="201">
        <f t="shared" si="60"/>
        <v>0</v>
      </c>
      <c r="J351" s="201">
        <f t="shared" si="60"/>
        <v>0</v>
      </c>
      <c r="K351" s="201">
        <f t="shared" si="60"/>
        <v>0</v>
      </c>
      <c r="L351" s="201">
        <f t="shared" si="60"/>
        <v>0</v>
      </c>
      <c r="M351" s="201">
        <f t="shared" ref="M351:AB351" si="61">SUM(M352:M357)</f>
        <v>0</v>
      </c>
      <c r="N351" s="201">
        <f t="shared" si="61"/>
        <v>0</v>
      </c>
      <c r="O351" s="201">
        <f t="shared" si="61"/>
        <v>0</v>
      </c>
      <c r="P351" s="201">
        <f t="shared" si="61"/>
        <v>0</v>
      </c>
      <c r="Q351" s="201">
        <f t="shared" si="61"/>
        <v>0</v>
      </c>
      <c r="R351" s="201">
        <f t="shared" si="61"/>
        <v>0</v>
      </c>
      <c r="S351" s="201">
        <f t="shared" si="61"/>
        <v>0</v>
      </c>
      <c r="T351" s="201">
        <f t="shared" si="61"/>
        <v>0</v>
      </c>
      <c r="U351" s="201">
        <f t="shared" si="61"/>
        <v>0</v>
      </c>
      <c r="V351" s="201">
        <f t="shared" si="61"/>
        <v>0</v>
      </c>
      <c r="W351" s="201">
        <f t="shared" si="61"/>
        <v>0</v>
      </c>
      <c r="X351" s="201">
        <f t="shared" si="61"/>
        <v>0</v>
      </c>
      <c r="Y351" s="201">
        <f t="shared" si="61"/>
        <v>0</v>
      </c>
      <c r="Z351" s="201">
        <f t="shared" si="61"/>
        <v>0</v>
      </c>
      <c r="AA351" s="201">
        <f t="shared" si="61"/>
        <v>0</v>
      </c>
      <c r="AB351" s="201">
        <f t="shared" si="61"/>
        <v>0</v>
      </c>
      <c r="AC351" s="202"/>
      <c r="AD351" s="674" t="str">
        <f>CONCATENATE(AC351,AC352,AC353,AC354,AC355,AC356,AC357)</f>
        <v/>
      </c>
      <c r="AE351" s="203"/>
      <c r="AF351" s="671" t="str">
        <f>CONCATENATE(AE351,AE352,AE353,AE354,AE355,AE356,AE357)</f>
        <v/>
      </c>
      <c r="AG351" s="158">
        <v>155</v>
      </c>
      <c r="AH351" s="6"/>
      <c r="AI351" s="6"/>
      <c r="AJ351" s="6"/>
      <c r="AK351" s="6"/>
      <c r="AL351" s="6"/>
      <c r="AM351" s="6"/>
      <c r="AN351" s="6"/>
      <c r="AO351" s="6"/>
      <c r="AP351" s="6"/>
      <c r="AQ351" s="6"/>
      <c r="AR351" s="6"/>
      <c r="AS351" s="6"/>
      <c r="AT351" s="6"/>
      <c r="AU351" s="6"/>
    </row>
    <row r="352" spans="1:47" s="4" customFormat="1" ht="50.25" customHeight="1" thickBot="1">
      <c r="A352" s="366" t="s">
        <v>78</v>
      </c>
      <c r="B352" s="204" t="s">
        <v>160</v>
      </c>
      <c r="C352" s="99" t="s">
        <v>409</v>
      </c>
      <c r="D352" s="287"/>
      <c r="E352" s="183"/>
      <c r="F352" s="182"/>
      <c r="G352" s="183"/>
      <c r="H352" s="182"/>
      <c r="I352" s="183"/>
      <c r="J352" s="182"/>
      <c r="K352" s="183"/>
      <c r="L352" s="183"/>
      <c r="M352" s="196"/>
      <c r="N352" s="183"/>
      <c r="O352" s="196"/>
      <c r="P352" s="183"/>
      <c r="Q352" s="196"/>
      <c r="R352" s="183"/>
      <c r="S352" s="196"/>
      <c r="T352" s="183"/>
      <c r="U352" s="196"/>
      <c r="V352" s="183"/>
      <c r="W352" s="196"/>
      <c r="X352" s="183"/>
      <c r="Y352" s="196"/>
      <c r="Z352" s="183"/>
      <c r="AA352" s="288"/>
      <c r="AB352" s="205">
        <f>SUM(D352:AA352)</f>
        <v>0</v>
      </c>
      <c r="AC352" s="206"/>
      <c r="AD352" s="675"/>
      <c r="AE352" s="171"/>
      <c r="AF352" s="672"/>
      <c r="AG352" s="158">
        <v>156</v>
      </c>
    </row>
    <row r="353" spans="1:47" s="4" customFormat="1" ht="50.25" customHeight="1">
      <c r="A353" s="376" t="s">
        <v>76</v>
      </c>
      <c r="B353" s="207" t="s">
        <v>161</v>
      </c>
      <c r="C353" s="170" t="s">
        <v>410</v>
      </c>
      <c r="D353" s="289"/>
      <c r="E353" s="163"/>
      <c r="F353" s="162"/>
      <c r="G353" s="163"/>
      <c r="H353" s="162"/>
      <c r="I353" s="163"/>
      <c r="J353" s="162"/>
      <c r="K353" s="163"/>
      <c r="L353" s="197"/>
      <c r="M353" s="183"/>
      <c r="N353" s="197"/>
      <c r="O353" s="183"/>
      <c r="P353" s="197"/>
      <c r="Q353" s="183"/>
      <c r="R353" s="197"/>
      <c r="S353" s="183"/>
      <c r="T353" s="197"/>
      <c r="U353" s="183"/>
      <c r="V353" s="197"/>
      <c r="W353" s="183"/>
      <c r="X353" s="197"/>
      <c r="Y353" s="183"/>
      <c r="Z353" s="197"/>
      <c r="AA353" s="183"/>
      <c r="AB353" s="208">
        <f>SUM(D353:AA353)</f>
        <v>0</v>
      </c>
      <c r="AC353" s="209"/>
      <c r="AD353" s="675"/>
      <c r="AE353" s="171"/>
      <c r="AF353" s="672"/>
      <c r="AG353" s="158">
        <v>157</v>
      </c>
    </row>
    <row r="354" spans="1:47" s="4" customFormat="1" ht="50.25" customHeight="1">
      <c r="A354" s="376" t="s">
        <v>122</v>
      </c>
      <c r="B354" s="207" t="s">
        <v>162</v>
      </c>
      <c r="C354" s="170" t="s">
        <v>411</v>
      </c>
      <c r="D354" s="289"/>
      <c r="E354" s="163"/>
      <c r="F354" s="162"/>
      <c r="G354" s="163"/>
      <c r="H354" s="162"/>
      <c r="I354" s="163"/>
      <c r="J354" s="162"/>
      <c r="K354" s="163"/>
      <c r="L354" s="197"/>
      <c r="M354" s="197"/>
      <c r="N354" s="197"/>
      <c r="O354" s="197"/>
      <c r="P354" s="197"/>
      <c r="Q354" s="197"/>
      <c r="R354" s="197"/>
      <c r="S354" s="197"/>
      <c r="T354" s="197"/>
      <c r="U354" s="197"/>
      <c r="V354" s="197"/>
      <c r="W354" s="197"/>
      <c r="X354" s="197"/>
      <c r="Y354" s="197"/>
      <c r="Z354" s="197"/>
      <c r="AA354" s="290"/>
      <c r="AB354" s="208">
        <f>SUM(D354:AA354)</f>
        <v>0</v>
      </c>
      <c r="AC354" s="209"/>
      <c r="AD354" s="675"/>
      <c r="AE354" s="171"/>
      <c r="AF354" s="672"/>
      <c r="AG354" s="158">
        <v>158</v>
      </c>
    </row>
    <row r="355" spans="1:47" ht="50.25" customHeight="1">
      <c r="A355" s="376" t="s">
        <v>166</v>
      </c>
      <c r="B355" s="270" t="s">
        <v>163</v>
      </c>
      <c r="C355" s="170" t="s">
        <v>412</v>
      </c>
      <c r="D355" s="289"/>
      <c r="E355" s="163"/>
      <c r="F355" s="162"/>
      <c r="G355" s="163"/>
      <c r="H355" s="162"/>
      <c r="I355" s="163"/>
      <c r="J355" s="162"/>
      <c r="K355" s="163"/>
      <c r="L355" s="197"/>
      <c r="M355" s="197"/>
      <c r="N355" s="197"/>
      <c r="O355" s="197"/>
      <c r="P355" s="197"/>
      <c r="Q355" s="197"/>
      <c r="R355" s="197"/>
      <c r="S355" s="197"/>
      <c r="T355" s="197"/>
      <c r="U355" s="197"/>
      <c r="V355" s="197"/>
      <c r="W355" s="197"/>
      <c r="X355" s="197"/>
      <c r="Y355" s="197"/>
      <c r="Z355" s="197"/>
      <c r="AA355" s="290"/>
      <c r="AB355" s="208">
        <f>SUM(D355:AA355)</f>
        <v>0</v>
      </c>
      <c r="AC355" s="209"/>
      <c r="AD355" s="675"/>
      <c r="AE355" s="171"/>
      <c r="AF355" s="672"/>
      <c r="AG355" s="158">
        <v>159</v>
      </c>
      <c r="AH355" s="4"/>
      <c r="AI355" s="4"/>
      <c r="AJ355" s="4"/>
      <c r="AK355" s="4"/>
      <c r="AL355" s="4"/>
      <c r="AM355" s="4"/>
      <c r="AN355" s="4"/>
      <c r="AO355" s="4"/>
      <c r="AP355" s="4"/>
      <c r="AQ355" s="4"/>
      <c r="AR355" s="4"/>
      <c r="AS355" s="4"/>
      <c r="AT355" s="4"/>
      <c r="AU355" s="4"/>
    </row>
    <row r="356" spans="1:47" ht="50.25" customHeight="1" thickBot="1">
      <c r="A356" s="376" t="s">
        <v>75</v>
      </c>
      <c r="B356" s="207" t="s">
        <v>164</v>
      </c>
      <c r="C356" s="170" t="s">
        <v>413</v>
      </c>
      <c r="D356" s="289"/>
      <c r="E356" s="163"/>
      <c r="F356" s="162"/>
      <c r="G356" s="163"/>
      <c r="H356" s="162"/>
      <c r="I356" s="163"/>
      <c r="J356" s="162"/>
      <c r="K356" s="163"/>
      <c r="L356" s="197"/>
      <c r="M356" s="197"/>
      <c r="N356" s="197"/>
      <c r="O356" s="197"/>
      <c r="P356" s="197"/>
      <c r="Q356" s="197"/>
      <c r="R356" s="197"/>
      <c r="S356" s="197"/>
      <c r="T356" s="197"/>
      <c r="U356" s="197"/>
      <c r="V356" s="197"/>
      <c r="W356" s="197"/>
      <c r="X356" s="197"/>
      <c r="Y356" s="197"/>
      <c r="Z356" s="197"/>
      <c r="AA356" s="290"/>
      <c r="AB356" s="210">
        <f>SUM(D356:AA356)</f>
        <v>0</v>
      </c>
      <c r="AC356" s="211"/>
      <c r="AD356" s="675"/>
      <c r="AE356" s="171"/>
      <c r="AF356" s="672"/>
      <c r="AG356" s="158">
        <v>160</v>
      </c>
      <c r="AH356" s="4"/>
      <c r="AI356" s="4"/>
      <c r="AJ356" s="4"/>
      <c r="AK356" s="4"/>
      <c r="AL356" s="4"/>
      <c r="AM356" s="4"/>
      <c r="AN356" s="4"/>
      <c r="AO356" s="4"/>
      <c r="AP356" s="4"/>
      <c r="AQ356" s="4"/>
      <c r="AR356" s="4"/>
      <c r="AS356" s="4"/>
      <c r="AT356" s="4"/>
      <c r="AU356" s="4"/>
    </row>
    <row r="357" spans="1:47" ht="50.25" customHeight="1" thickBot="1">
      <c r="A357" s="377" t="s">
        <v>421</v>
      </c>
      <c r="B357" s="212" t="s">
        <v>165</v>
      </c>
      <c r="C357" s="176" t="s">
        <v>414</v>
      </c>
      <c r="D357" s="291"/>
      <c r="E357" s="178"/>
      <c r="F357" s="177"/>
      <c r="G357" s="178"/>
      <c r="H357" s="177"/>
      <c r="I357" s="178"/>
      <c r="J357" s="177"/>
      <c r="K357" s="178"/>
      <c r="L357" s="178"/>
      <c r="M357" s="178"/>
      <c r="N357" s="178"/>
      <c r="O357" s="178"/>
      <c r="P357" s="178"/>
      <c r="Q357" s="178"/>
      <c r="R357" s="178"/>
      <c r="S357" s="178"/>
      <c r="T357" s="178"/>
      <c r="U357" s="178"/>
      <c r="V357" s="178"/>
      <c r="W357" s="178"/>
      <c r="X357" s="178"/>
      <c r="Y357" s="178"/>
      <c r="Z357" s="178"/>
      <c r="AA357" s="213"/>
      <c r="AB357" s="214"/>
      <c r="AC357" s="209"/>
      <c r="AD357" s="676"/>
      <c r="AE357" s="171"/>
      <c r="AF357" s="673"/>
      <c r="AG357" s="158">
        <v>161</v>
      </c>
      <c r="AH357" s="4"/>
      <c r="AI357" s="4"/>
      <c r="AJ357" s="4"/>
      <c r="AK357" s="4"/>
      <c r="AL357" s="4"/>
      <c r="AM357" s="4"/>
      <c r="AN357" s="4"/>
      <c r="AO357" s="4"/>
      <c r="AP357" s="4"/>
      <c r="AQ357" s="4"/>
      <c r="AR357" s="4"/>
      <c r="AS357" s="4"/>
      <c r="AT357" s="4"/>
      <c r="AU357" s="4"/>
    </row>
    <row r="358" spans="1:47" s="10" customFormat="1" ht="41.25" customHeight="1" thickBot="1">
      <c r="A358" s="385" t="s">
        <v>40</v>
      </c>
      <c r="B358" s="314"/>
      <c r="C358" s="315"/>
      <c r="D358" s="316"/>
      <c r="E358" s="316"/>
      <c r="F358" s="81"/>
      <c r="G358" s="81"/>
      <c r="H358" s="316"/>
      <c r="I358" s="81"/>
      <c r="J358" s="81"/>
      <c r="K358" s="316"/>
      <c r="L358" s="316"/>
      <c r="M358" s="81"/>
      <c r="N358" s="81"/>
      <c r="O358" s="81"/>
      <c r="P358" s="316"/>
      <c r="Q358" s="81"/>
      <c r="R358" s="316"/>
      <c r="S358" s="316"/>
      <c r="T358" s="316"/>
      <c r="U358" s="316"/>
      <c r="V358" s="316"/>
      <c r="W358" s="316"/>
      <c r="X358" s="81"/>
      <c r="Y358" s="316"/>
      <c r="Z358" s="316"/>
      <c r="AA358" s="316"/>
      <c r="AB358" s="316"/>
      <c r="AC358" s="317"/>
      <c r="AD358" s="318"/>
      <c r="AE358" s="316"/>
      <c r="AF358" s="316"/>
      <c r="AG358" s="319"/>
      <c r="AH358" s="1"/>
      <c r="AI358" s="1"/>
      <c r="AJ358" s="1"/>
      <c r="AK358" s="1"/>
      <c r="AL358" s="1"/>
      <c r="AM358" s="1"/>
      <c r="AN358" s="1"/>
      <c r="AO358" s="1"/>
      <c r="AP358" s="1"/>
      <c r="AQ358" s="1"/>
      <c r="AR358" s="1"/>
      <c r="AS358" s="1"/>
      <c r="AT358" s="1"/>
      <c r="AU358" s="1"/>
    </row>
    <row r="359" spans="1:47" ht="30.75" customHeight="1"/>
    <row r="360" spans="1:47" ht="25.5" customHeight="1" thickBot="1">
      <c r="A360" s="386"/>
      <c r="B360" s="16"/>
      <c r="E360" s="2"/>
      <c r="F360" s="2"/>
      <c r="G360" s="2"/>
      <c r="H360" s="2"/>
      <c r="I360" s="2"/>
      <c r="J360" s="2"/>
      <c r="K360" s="2"/>
      <c r="L360" s="2"/>
      <c r="M360" s="2"/>
    </row>
    <row r="361" spans="1:47" ht="40.5" customHeight="1" thickBot="1">
      <c r="A361" s="760" t="s">
        <v>66</v>
      </c>
      <c r="B361" s="761"/>
      <c r="C361" s="761"/>
      <c r="D361" s="761"/>
      <c r="E361" s="761"/>
      <c r="F361" s="761"/>
      <c r="G361" s="761"/>
      <c r="H361" s="761"/>
      <c r="I361" s="761"/>
      <c r="J361" s="761"/>
      <c r="K361" s="761"/>
      <c r="L361" s="761"/>
      <c r="M361" s="762" t="s">
        <v>63</v>
      </c>
      <c r="N361" s="761"/>
      <c r="O361" s="761"/>
      <c r="P361" s="761"/>
      <c r="Q361" s="761"/>
      <c r="R361" s="761"/>
      <c r="S361" s="761"/>
      <c r="T361" s="761"/>
      <c r="U361" s="761"/>
      <c r="V361" s="761"/>
      <c r="W361" s="761"/>
      <c r="X361" s="761"/>
      <c r="Y361" s="761"/>
      <c r="Z361" s="761"/>
      <c r="AA361" s="761"/>
      <c r="AB361" s="761"/>
      <c r="AC361" s="761"/>
      <c r="AD361" s="761"/>
      <c r="AE361" s="761"/>
      <c r="AF361" s="763"/>
      <c r="AG361" s="12"/>
      <c r="AH361" s="10"/>
      <c r="AI361" s="10"/>
      <c r="AJ361" s="10"/>
      <c r="AK361" s="10"/>
      <c r="AL361" s="10"/>
      <c r="AM361" s="10"/>
      <c r="AN361" s="10"/>
      <c r="AO361" s="10"/>
      <c r="AP361" s="10"/>
      <c r="AQ361" s="10"/>
      <c r="AR361" s="10"/>
      <c r="AS361" s="10"/>
      <c r="AT361" s="10"/>
      <c r="AU361" s="10"/>
    </row>
    <row r="362" spans="1:47" ht="25.5" customHeight="1">
      <c r="A362" s="751" t="str">
        <f>CONCATENATE(AD161,AD24,AD108,AD114,AD170,AD292,AD309,AD323,AD337,AD351,AD208,AD200,AD193,AD186,AD65,AD72,AD234,AD280,AD270,AD259,AD249,AD89,AD79,AD45)</f>
        <v/>
      </c>
      <c r="B362" s="752"/>
      <c r="C362" s="752"/>
      <c r="D362" s="752"/>
      <c r="E362" s="752"/>
      <c r="F362" s="752"/>
      <c r="G362" s="752"/>
      <c r="H362" s="752"/>
      <c r="I362" s="752"/>
      <c r="J362" s="752"/>
      <c r="K362" s="752"/>
      <c r="L362" s="753"/>
      <c r="M362" s="764" t="str">
        <f>IF(LEN(A362)&lt;=0,"","Please ensure you solve the errors appearing on the left . However, In the cases where the errors are valid and can be explained ( We expect this to be very rare cases), Please delete this message and type the  justification for the error here)")</f>
        <v/>
      </c>
      <c r="N362" s="765"/>
      <c r="O362" s="765"/>
      <c r="P362" s="765"/>
      <c r="Q362" s="765"/>
      <c r="R362" s="765"/>
      <c r="S362" s="765"/>
      <c r="T362" s="765"/>
      <c r="U362" s="765"/>
      <c r="V362" s="765"/>
      <c r="W362" s="765"/>
      <c r="X362" s="765"/>
      <c r="Y362" s="765"/>
      <c r="Z362" s="765"/>
      <c r="AA362" s="765"/>
      <c r="AB362" s="765"/>
      <c r="AC362" s="765"/>
      <c r="AD362" s="765"/>
      <c r="AE362" s="765"/>
      <c r="AF362" s="766"/>
    </row>
    <row r="363" spans="1:47" ht="25.5" customHeight="1">
      <c r="A363" s="754"/>
      <c r="B363" s="755"/>
      <c r="C363" s="755"/>
      <c r="D363" s="755"/>
      <c r="E363" s="755"/>
      <c r="F363" s="755"/>
      <c r="G363" s="755"/>
      <c r="H363" s="755"/>
      <c r="I363" s="755"/>
      <c r="J363" s="755"/>
      <c r="K363" s="755"/>
      <c r="L363" s="756"/>
      <c r="M363" s="767"/>
      <c r="N363" s="768"/>
      <c r="O363" s="768"/>
      <c r="P363" s="768"/>
      <c r="Q363" s="768"/>
      <c r="R363" s="768"/>
      <c r="S363" s="768"/>
      <c r="T363" s="768"/>
      <c r="U363" s="768"/>
      <c r="V363" s="768"/>
      <c r="W363" s="768"/>
      <c r="X363" s="768"/>
      <c r="Y363" s="768"/>
      <c r="Z363" s="768"/>
      <c r="AA363" s="768"/>
      <c r="AB363" s="768"/>
      <c r="AC363" s="768"/>
      <c r="AD363" s="768"/>
      <c r="AE363" s="768"/>
      <c r="AF363" s="769"/>
    </row>
    <row r="364" spans="1:47" ht="25.5" customHeight="1">
      <c r="A364" s="754"/>
      <c r="B364" s="755"/>
      <c r="C364" s="755"/>
      <c r="D364" s="755"/>
      <c r="E364" s="755"/>
      <c r="F364" s="755"/>
      <c r="G364" s="755"/>
      <c r="H364" s="755"/>
      <c r="I364" s="755"/>
      <c r="J364" s="755"/>
      <c r="K364" s="755"/>
      <c r="L364" s="756"/>
      <c r="M364" s="767"/>
      <c r="N364" s="768"/>
      <c r="O364" s="768"/>
      <c r="P364" s="768"/>
      <c r="Q364" s="768"/>
      <c r="R364" s="768"/>
      <c r="S364" s="768"/>
      <c r="T364" s="768"/>
      <c r="U364" s="768"/>
      <c r="V364" s="768"/>
      <c r="W364" s="768"/>
      <c r="X364" s="768"/>
      <c r="Y364" s="768"/>
      <c r="Z364" s="768"/>
      <c r="AA364" s="768"/>
      <c r="AB364" s="768"/>
      <c r="AC364" s="768"/>
      <c r="AD364" s="768"/>
      <c r="AE364" s="768"/>
      <c r="AF364" s="769"/>
    </row>
    <row r="365" spans="1:47" ht="25.5" customHeight="1">
      <c r="A365" s="754"/>
      <c r="B365" s="755"/>
      <c r="C365" s="755"/>
      <c r="D365" s="755"/>
      <c r="E365" s="755"/>
      <c r="F365" s="755"/>
      <c r="G365" s="755"/>
      <c r="H365" s="755"/>
      <c r="I365" s="755"/>
      <c r="J365" s="755"/>
      <c r="K365" s="755"/>
      <c r="L365" s="756"/>
      <c r="M365" s="767"/>
      <c r="N365" s="768"/>
      <c r="O365" s="768"/>
      <c r="P365" s="768"/>
      <c r="Q365" s="768"/>
      <c r="R365" s="768"/>
      <c r="S365" s="768"/>
      <c r="T365" s="768"/>
      <c r="U365" s="768"/>
      <c r="V365" s="768"/>
      <c r="W365" s="768"/>
      <c r="X365" s="768"/>
      <c r="Y365" s="768"/>
      <c r="Z365" s="768"/>
      <c r="AA365" s="768"/>
      <c r="AB365" s="768"/>
      <c r="AC365" s="768"/>
      <c r="AD365" s="768"/>
      <c r="AE365" s="768"/>
      <c r="AF365" s="769"/>
    </row>
    <row r="366" spans="1:47" ht="25.5" customHeight="1">
      <c r="A366" s="754"/>
      <c r="B366" s="755"/>
      <c r="C366" s="755"/>
      <c r="D366" s="755"/>
      <c r="E366" s="755"/>
      <c r="F366" s="755"/>
      <c r="G366" s="755"/>
      <c r="H366" s="755"/>
      <c r="I366" s="755"/>
      <c r="J366" s="755"/>
      <c r="K366" s="755"/>
      <c r="L366" s="756"/>
      <c r="M366" s="767"/>
      <c r="N366" s="768"/>
      <c r="O366" s="768"/>
      <c r="P366" s="768"/>
      <c r="Q366" s="768"/>
      <c r="R366" s="768"/>
      <c r="S366" s="768"/>
      <c r="T366" s="768"/>
      <c r="U366" s="768"/>
      <c r="V366" s="768"/>
      <c r="W366" s="768"/>
      <c r="X366" s="768"/>
      <c r="Y366" s="768"/>
      <c r="Z366" s="768"/>
      <c r="AA366" s="768"/>
      <c r="AB366" s="768"/>
      <c r="AC366" s="768"/>
      <c r="AD366" s="768"/>
      <c r="AE366" s="768"/>
      <c r="AF366" s="769"/>
    </row>
    <row r="367" spans="1:47" ht="25.5" customHeight="1">
      <c r="A367" s="754"/>
      <c r="B367" s="755"/>
      <c r="C367" s="755"/>
      <c r="D367" s="755"/>
      <c r="E367" s="755"/>
      <c r="F367" s="755"/>
      <c r="G367" s="755"/>
      <c r="H367" s="755"/>
      <c r="I367" s="755"/>
      <c r="J367" s="755"/>
      <c r="K367" s="755"/>
      <c r="L367" s="756"/>
      <c r="M367" s="767"/>
      <c r="N367" s="768"/>
      <c r="O367" s="768"/>
      <c r="P367" s="768"/>
      <c r="Q367" s="768"/>
      <c r="R367" s="768"/>
      <c r="S367" s="768"/>
      <c r="T367" s="768"/>
      <c r="U367" s="768"/>
      <c r="V367" s="768"/>
      <c r="W367" s="768"/>
      <c r="X367" s="768"/>
      <c r="Y367" s="768"/>
      <c r="Z367" s="768"/>
      <c r="AA367" s="768"/>
      <c r="AB367" s="768"/>
      <c r="AC367" s="768"/>
      <c r="AD367" s="768"/>
      <c r="AE367" s="768"/>
      <c r="AF367" s="769"/>
    </row>
    <row r="368" spans="1:47" ht="25.5" customHeight="1">
      <c r="A368" s="754"/>
      <c r="B368" s="755"/>
      <c r="C368" s="755"/>
      <c r="D368" s="755"/>
      <c r="E368" s="755"/>
      <c r="F368" s="755"/>
      <c r="G368" s="755"/>
      <c r="H368" s="755"/>
      <c r="I368" s="755"/>
      <c r="J368" s="755"/>
      <c r="K368" s="755"/>
      <c r="L368" s="756"/>
      <c r="M368" s="767"/>
      <c r="N368" s="768"/>
      <c r="O368" s="768"/>
      <c r="P368" s="768"/>
      <c r="Q368" s="768"/>
      <c r="R368" s="768"/>
      <c r="S368" s="768"/>
      <c r="T368" s="768"/>
      <c r="U368" s="768"/>
      <c r="V368" s="768"/>
      <c r="W368" s="768"/>
      <c r="X368" s="768"/>
      <c r="Y368" s="768"/>
      <c r="Z368" s="768"/>
      <c r="AA368" s="768"/>
      <c r="AB368" s="768"/>
      <c r="AC368" s="768"/>
      <c r="AD368" s="768"/>
      <c r="AE368" s="768"/>
      <c r="AF368" s="769"/>
    </row>
    <row r="369" spans="1:47" ht="25.5" customHeight="1">
      <c r="A369" s="754"/>
      <c r="B369" s="755"/>
      <c r="C369" s="755"/>
      <c r="D369" s="755"/>
      <c r="E369" s="755"/>
      <c r="F369" s="755"/>
      <c r="G369" s="755"/>
      <c r="H369" s="755"/>
      <c r="I369" s="755"/>
      <c r="J369" s="755"/>
      <c r="K369" s="755"/>
      <c r="L369" s="756"/>
      <c r="M369" s="767"/>
      <c r="N369" s="768"/>
      <c r="O369" s="768"/>
      <c r="P369" s="768"/>
      <c r="Q369" s="768"/>
      <c r="R369" s="768"/>
      <c r="S369" s="768"/>
      <c r="T369" s="768"/>
      <c r="U369" s="768"/>
      <c r="V369" s="768"/>
      <c r="W369" s="768"/>
      <c r="X369" s="768"/>
      <c r="Y369" s="768"/>
      <c r="Z369" s="768"/>
      <c r="AA369" s="768"/>
      <c r="AB369" s="768"/>
      <c r="AC369" s="768"/>
      <c r="AD369" s="768"/>
      <c r="AE369" s="768"/>
      <c r="AF369" s="769"/>
    </row>
    <row r="370" spans="1:47" ht="25.5" customHeight="1">
      <c r="A370" s="754"/>
      <c r="B370" s="755"/>
      <c r="C370" s="755"/>
      <c r="D370" s="755"/>
      <c r="E370" s="755"/>
      <c r="F370" s="755"/>
      <c r="G370" s="755"/>
      <c r="H370" s="755"/>
      <c r="I370" s="755"/>
      <c r="J370" s="755"/>
      <c r="K370" s="755"/>
      <c r="L370" s="756"/>
      <c r="M370" s="767"/>
      <c r="N370" s="768"/>
      <c r="O370" s="768"/>
      <c r="P370" s="768"/>
      <c r="Q370" s="768"/>
      <c r="R370" s="768"/>
      <c r="S370" s="768"/>
      <c r="T370" s="768"/>
      <c r="U370" s="768"/>
      <c r="V370" s="768"/>
      <c r="W370" s="768"/>
      <c r="X370" s="768"/>
      <c r="Y370" s="768"/>
      <c r="Z370" s="768"/>
      <c r="AA370" s="768"/>
      <c r="AB370" s="768"/>
      <c r="AC370" s="768"/>
      <c r="AD370" s="768"/>
      <c r="AE370" s="768"/>
      <c r="AF370" s="769"/>
    </row>
    <row r="371" spans="1:47" ht="25.5" customHeight="1">
      <c r="A371" s="754"/>
      <c r="B371" s="755"/>
      <c r="C371" s="755"/>
      <c r="D371" s="755"/>
      <c r="E371" s="755"/>
      <c r="F371" s="755"/>
      <c r="G371" s="755"/>
      <c r="H371" s="755"/>
      <c r="I371" s="755"/>
      <c r="J371" s="755"/>
      <c r="K371" s="755"/>
      <c r="L371" s="756"/>
      <c r="M371" s="767"/>
      <c r="N371" s="768"/>
      <c r="O371" s="768"/>
      <c r="P371" s="768"/>
      <c r="Q371" s="768"/>
      <c r="R371" s="768"/>
      <c r="S371" s="768"/>
      <c r="T371" s="768"/>
      <c r="U371" s="768"/>
      <c r="V371" s="768"/>
      <c r="W371" s="768"/>
      <c r="X371" s="768"/>
      <c r="Y371" s="768"/>
      <c r="Z371" s="768"/>
      <c r="AA371" s="768"/>
      <c r="AB371" s="768"/>
      <c r="AC371" s="768"/>
      <c r="AD371" s="768"/>
      <c r="AE371" s="768"/>
      <c r="AF371" s="769"/>
    </row>
    <row r="372" spans="1:47" ht="25.5" customHeight="1">
      <c r="A372" s="754"/>
      <c r="B372" s="755"/>
      <c r="C372" s="755"/>
      <c r="D372" s="755"/>
      <c r="E372" s="755"/>
      <c r="F372" s="755"/>
      <c r="G372" s="755"/>
      <c r="H372" s="755"/>
      <c r="I372" s="755"/>
      <c r="J372" s="755"/>
      <c r="K372" s="755"/>
      <c r="L372" s="756"/>
      <c r="M372" s="767"/>
      <c r="N372" s="768"/>
      <c r="O372" s="768"/>
      <c r="P372" s="768"/>
      <c r="Q372" s="768"/>
      <c r="R372" s="768"/>
      <c r="S372" s="768"/>
      <c r="T372" s="768"/>
      <c r="U372" s="768"/>
      <c r="V372" s="768"/>
      <c r="W372" s="768"/>
      <c r="X372" s="768"/>
      <c r="Y372" s="768"/>
      <c r="Z372" s="768"/>
      <c r="AA372" s="768"/>
      <c r="AB372" s="768"/>
      <c r="AC372" s="768"/>
      <c r="AD372" s="768"/>
      <c r="AE372" s="768"/>
      <c r="AF372" s="769"/>
    </row>
    <row r="373" spans="1:47" ht="25.5" customHeight="1">
      <c r="A373" s="754"/>
      <c r="B373" s="755"/>
      <c r="C373" s="755"/>
      <c r="D373" s="755"/>
      <c r="E373" s="755"/>
      <c r="F373" s="755"/>
      <c r="G373" s="755"/>
      <c r="H373" s="755"/>
      <c r="I373" s="755"/>
      <c r="J373" s="755"/>
      <c r="K373" s="755"/>
      <c r="L373" s="756"/>
      <c r="M373" s="767"/>
      <c r="N373" s="768"/>
      <c r="O373" s="768"/>
      <c r="P373" s="768"/>
      <c r="Q373" s="768"/>
      <c r="R373" s="768"/>
      <c r="S373" s="768"/>
      <c r="T373" s="768"/>
      <c r="U373" s="768"/>
      <c r="V373" s="768"/>
      <c r="W373" s="768"/>
      <c r="X373" s="768"/>
      <c r="Y373" s="768"/>
      <c r="Z373" s="768"/>
      <c r="AA373" s="768"/>
      <c r="AB373" s="768"/>
      <c r="AC373" s="768"/>
      <c r="AD373" s="768"/>
      <c r="AE373" s="768"/>
      <c r="AF373" s="769"/>
    </row>
    <row r="374" spans="1:47" ht="25.5" customHeight="1">
      <c r="A374" s="754"/>
      <c r="B374" s="755"/>
      <c r="C374" s="755"/>
      <c r="D374" s="755"/>
      <c r="E374" s="755"/>
      <c r="F374" s="755"/>
      <c r="G374" s="755"/>
      <c r="H374" s="755"/>
      <c r="I374" s="755"/>
      <c r="J374" s="755"/>
      <c r="K374" s="755"/>
      <c r="L374" s="756"/>
      <c r="M374" s="767"/>
      <c r="N374" s="768"/>
      <c r="O374" s="768"/>
      <c r="P374" s="768"/>
      <c r="Q374" s="768"/>
      <c r="R374" s="768"/>
      <c r="S374" s="768"/>
      <c r="T374" s="768"/>
      <c r="U374" s="768"/>
      <c r="V374" s="768"/>
      <c r="W374" s="768"/>
      <c r="X374" s="768"/>
      <c r="Y374" s="768"/>
      <c r="Z374" s="768"/>
      <c r="AA374" s="768"/>
      <c r="AB374" s="768"/>
      <c r="AC374" s="768"/>
      <c r="AD374" s="768"/>
      <c r="AE374" s="768"/>
      <c r="AF374" s="769"/>
    </row>
    <row r="375" spans="1:47" ht="25.5" customHeight="1">
      <c r="A375" s="754"/>
      <c r="B375" s="755"/>
      <c r="C375" s="755"/>
      <c r="D375" s="755"/>
      <c r="E375" s="755"/>
      <c r="F375" s="755"/>
      <c r="G375" s="755"/>
      <c r="H375" s="755"/>
      <c r="I375" s="755"/>
      <c r="J375" s="755"/>
      <c r="K375" s="755"/>
      <c r="L375" s="756"/>
      <c r="M375" s="767"/>
      <c r="N375" s="768"/>
      <c r="O375" s="768"/>
      <c r="P375" s="768"/>
      <c r="Q375" s="768"/>
      <c r="R375" s="768"/>
      <c r="S375" s="768"/>
      <c r="T375" s="768"/>
      <c r="U375" s="768"/>
      <c r="V375" s="768"/>
      <c r="W375" s="768"/>
      <c r="X375" s="768"/>
      <c r="Y375" s="768"/>
      <c r="Z375" s="768"/>
      <c r="AA375" s="768"/>
      <c r="AB375" s="768"/>
      <c r="AC375" s="768"/>
      <c r="AD375" s="768"/>
      <c r="AE375" s="768"/>
      <c r="AF375" s="769"/>
    </row>
    <row r="376" spans="1:47" ht="25.5" customHeight="1">
      <c r="A376" s="754"/>
      <c r="B376" s="755"/>
      <c r="C376" s="755"/>
      <c r="D376" s="755"/>
      <c r="E376" s="755"/>
      <c r="F376" s="755"/>
      <c r="G376" s="755"/>
      <c r="H376" s="755"/>
      <c r="I376" s="755"/>
      <c r="J376" s="755"/>
      <c r="K376" s="755"/>
      <c r="L376" s="756"/>
      <c r="M376" s="767"/>
      <c r="N376" s="768"/>
      <c r="O376" s="768"/>
      <c r="P376" s="768"/>
      <c r="Q376" s="768"/>
      <c r="R376" s="768"/>
      <c r="S376" s="768"/>
      <c r="T376" s="768"/>
      <c r="U376" s="768"/>
      <c r="V376" s="768"/>
      <c r="W376" s="768"/>
      <c r="X376" s="768"/>
      <c r="Y376" s="768"/>
      <c r="Z376" s="768"/>
      <c r="AA376" s="768"/>
      <c r="AB376" s="768"/>
      <c r="AC376" s="768"/>
      <c r="AD376" s="768"/>
      <c r="AE376" s="768"/>
      <c r="AF376" s="769"/>
    </row>
    <row r="377" spans="1:47" ht="25.5" customHeight="1">
      <c r="A377" s="754"/>
      <c r="B377" s="755"/>
      <c r="C377" s="755"/>
      <c r="D377" s="755"/>
      <c r="E377" s="755"/>
      <c r="F377" s="755"/>
      <c r="G377" s="755"/>
      <c r="H377" s="755"/>
      <c r="I377" s="755"/>
      <c r="J377" s="755"/>
      <c r="K377" s="755"/>
      <c r="L377" s="756"/>
      <c r="M377" s="767"/>
      <c r="N377" s="768"/>
      <c r="O377" s="768"/>
      <c r="P377" s="768"/>
      <c r="Q377" s="768"/>
      <c r="R377" s="768"/>
      <c r="S377" s="768"/>
      <c r="T377" s="768"/>
      <c r="U377" s="768"/>
      <c r="V377" s="768"/>
      <c r="W377" s="768"/>
      <c r="X377" s="768"/>
      <c r="Y377" s="768"/>
      <c r="Z377" s="768"/>
      <c r="AA377" s="768"/>
      <c r="AB377" s="768"/>
      <c r="AC377" s="768"/>
      <c r="AD377" s="768"/>
      <c r="AE377" s="768"/>
      <c r="AF377" s="769"/>
    </row>
    <row r="378" spans="1:47" ht="25.5" customHeight="1">
      <c r="A378" s="754"/>
      <c r="B378" s="755"/>
      <c r="C378" s="755"/>
      <c r="D378" s="755"/>
      <c r="E378" s="755"/>
      <c r="F378" s="755"/>
      <c r="G378" s="755"/>
      <c r="H378" s="755"/>
      <c r="I378" s="755"/>
      <c r="J378" s="755"/>
      <c r="K378" s="755"/>
      <c r="L378" s="756"/>
      <c r="M378" s="767"/>
      <c r="N378" s="768"/>
      <c r="O378" s="768"/>
      <c r="P378" s="768"/>
      <c r="Q378" s="768"/>
      <c r="R378" s="768"/>
      <c r="S378" s="768"/>
      <c r="T378" s="768"/>
      <c r="U378" s="768"/>
      <c r="V378" s="768"/>
      <c r="W378" s="768"/>
      <c r="X378" s="768"/>
      <c r="Y378" s="768"/>
      <c r="Z378" s="768"/>
      <c r="AA378" s="768"/>
      <c r="AB378" s="768"/>
      <c r="AC378" s="768"/>
      <c r="AD378" s="768"/>
      <c r="AE378" s="768"/>
      <c r="AF378" s="769"/>
    </row>
    <row r="379" spans="1:47" ht="26.25" customHeight="1">
      <c r="A379" s="754"/>
      <c r="B379" s="755"/>
      <c r="C379" s="755"/>
      <c r="D379" s="755"/>
      <c r="E379" s="755"/>
      <c r="F379" s="755"/>
      <c r="G379" s="755"/>
      <c r="H379" s="755"/>
      <c r="I379" s="755"/>
      <c r="J379" s="755"/>
      <c r="K379" s="755"/>
      <c r="L379" s="756"/>
      <c r="M379" s="767"/>
      <c r="N379" s="768"/>
      <c r="O379" s="768"/>
      <c r="P379" s="768"/>
      <c r="Q379" s="768"/>
      <c r="R379" s="768"/>
      <c r="S379" s="768"/>
      <c r="T379" s="768"/>
      <c r="U379" s="768"/>
      <c r="V379" s="768"/>
      <c r="W379" s="768"/>
      <c r="X379" s="768"/>
      <c r="Y379" s="768"/>
      <c r="Z379" s="768"/>
      <c r="AA379" s="768"/>
      <c r="AB379" s="768"/>
      <c r="AC379" s="768"/>
      <c r="AD379" s="768"/>
      <c r="AE379" s="768"/>
      <c r="AF379" s="769"/>
    </row>
    <row r="380" spans="1:47" s="9" customFormat="1" ht="41.25" customHeight="1">
      <c r="A380" s="754"/>
      <c r="B380" s="755"/>
      <c r="C380" s="755"/>
      <c r="D380" s="755"/>
      <c r="E380" s="755"/>
      <c r="F380" s="755"/>
      <c r="G380" s="755"/>
      <c r="H380" s="755"/>
      <c r="I380" s="755"/>
      <c r="J380" s="755"/>
      <c r="K380" s="755"/>
      <c r="L380" s="756"/>
      <c r="M380" s="767"/>
      <c r="N380" s="768"/>
      <c r="O380" s="768"/>
      <c r="P380" s="768"/>
      <c r="Q380" s="768"/>
      <c r="R380" s="768"/>
      <c r="S380" s="768"/>
      <c r="T380" s="768"/>
      <c r="U380" s="768"/>
      <c r="V380" s="768"/>
      <c r="W380" s="768"/>
      <c r="X380" s="768"/>
      <c r="Y380" s="768"/>
      <c r="Z380" s="768"/>
      <c r="AA380" s="768"/>
      <c r="AB380" s="768"/>
      <c r="AC380" s="768"/>
      <c r="AD380" s="768"/>
      <c r="AE380" s="768"/>
      <c r="AF380" s="769"/>
      <c r="AG380" s="11"/>
      <c r="AH380" s="1"/>
      <c r="AI380" s="1"/>
      <c r="AJ380" s="1"/>
      <c r="AK380" s="1"/>
      <c r="AL380" s="1"/>
      <c r="AM380" s="1"/>
      <c r="AN380" s="1"/>
      <c r="AO380" s="1"/>
      <c r="AP380" s="1"/>
      <c r="AQ380" s="1"/>
      <c r="AR380" s="1"/>
      <c r="AS380" s="1"/>
      <c r="AT380" s="1"/>
      <c r="AU380" s="1"/>
    </row>
    <row r="381" spans="1:47" ht="30.75" customHeight="1">
      <c r="A381" s="754"/>
      <c r="B381" s="755"/>
      <c r="C381" s="755"/>
      <c r="D381" s="755"/>
      <c r="E381" s="755"/>
      <c r="F381" s="755"/>
      <c r="G381" s="755"/>
      <c r="H381" s="755"/>
      <c r="I381" s="755"/>
      <c r="J381" s="755"/>
      <c r="K381" s="755"/>
      <c r="L381" s="756"/>
      <c r="M381" s="767"/>
      <c r="N381" s="768"/>
      <c r="O381" s="768"/>
      <c r="P381" s="768"/>
      <c r="Q381" s="768"/>
      <c r="R381" s="768"/>
      <c r="S381" s="768"/>
      <c r="T381" s="768"/>
      <c r="U381" s="768"/>
      <c r="V381" s="768"/>
      <c r="W381" s="768"/>
      <c r="X381" s="768"/>
      <c r="Y381" s="768"/>
      <c r="Z381" s="768"/>
      <c r="AA381" s="768"/>
      <c r="AB381" s="768"/>
      <c r="AC381" s="768"/>
      <c r="AD381" s="768"/>
      <c r="AE381" s="768"/>
      <c r="AF381" s="769"/>
    </row>
    <row r="382" spans="1:47" ht="30.75" customHeight="1" thickBot="1">
      <c r="A382" s="757"/>
      <c r="B382" s="758"/>
      <c r="C382" s="758"/>
      <c r="D382" s="758"/>
      <c r="E382" s="758"/>
      <c r="F382" s="758"/>
      <c r="G382" s="758"/>
      <c r="H382" s="758"/>
      <c r="I382" s="758"/>
      <c r="J382" s="758"/>
      <c r="K382" s="758"/>
      <c r="L382" s="759"/>
      <c r="M382" s="770"/>
      <c r="N382" s="771"/>
      <c r="O382" s="771"/>
      <c r="P382" s="771"/>
      <c r="Q382" s="771"/>
      <c r="R382" s="771"/>
      <c r="S382" s="771"/>
      <c r="T382" s="771"/>
      <c r="U382" s="771"/>
      <c r="V382" s="771"/>
      <c r="W382" s="771"/>
      <c r="X382" s="771"/>
      <c r="Y382" s="771"/>
      <c r="Z382" s="771"/>
      <c r="AA382" s="771"/>
      <c r="AB382" s="771"/>
      <c r="AC382" s="771"/>
      <c r="AD382" s="771"/>
      <c r="AE382" s="771"/>
      <c r="AF382" s="772"/>
    </row>
    <row r="383" spans="1:47" ht="38.25" customHeight="1" thickBot="1">
      <c r="A383" s="746" t="s">
        <v>62</v>
      </c>
      <c r="B383" s="747"/>
      <c r="C383" s="747"/>
      <c r="D383" s="747"/>
      <c r="E383" s="747"/>
      <c r="F383" s="747"/>
      <c r="G383" s="747"/>
      <c r="H383" s="747"/>
      <c r="I383" s="747"/>
      <c r="J383" s="747"/>
      <c r="K383" s="747"/>
      <c r="L383" s="748"/>
      <c r="M383" s="749" t="s">
        <v>64</v>
      </c>
      <c r="N383" s="749"/>
      <c r="O383" s="749"/>
      <c r="P383" s="749"/>
      <c r="Q383" s="749"/>
      <c r="R383" s="749"/>
      <c r="S383" s="749"/>
      <c r="T383" s="749"/>
      <c r="U383" s="749"/>
      <c r="V383" s="749"/>
      <c r="W383" s="749"/>
      <c r="X383" s="749"/>
      <c r="Y383" s="749"/>
      <c r="Z383" s="749"/>
      <c r="AA383" s="749"/>
      <c r="AB383" s="749"/>
      <c r="AC383" s="749"/>
      <c r="AD383" s="749"/>
      <c r="AE383" s="749"/>
      <c r="AF383" s="750"/>
      <c r="AG383" s="13"/>
      <c r="AH383" s="9"/>
      <c r="AI383" s="9"/>
      <c r="AJ383" s="9"/>
      <c r="AK383" s="9"/>
      <c r="AL383" s="9"/>
      <c r="AM383" s="9"/>
      <c r="AN383" s="9"/>
      <c r="AO383" s="9"/>
      <c r="AP383" s="9"/>
      <c r="AQ383" s="9"/>
      <c r="AR383" s="9"/>
      <c r="AS383" s="9"/>
      <c r="AT383" s="9"/>
      <c r="AU383" s="9"/>
    </row>
    <row r="384" spans="1:47" ht="30.75" customHeight="1">
      <c r="A384" s="728" t="str">
        <f>CONCATENATE(AF161,AF24,AF108,AF114,AF170,AF292,AF309,AF323,AF337,AF351,AF208,AF200,AF193,AF186,AF72,AF65,AF234,AF280,AF270,AF259,AF249,AF89,AF79,AF55,AF45)</f>
        <v/>
      </c>
      <c r="B384" s="729"/>
      <c r="C384" s="729"/>
      <c r="D384" s="729"/>
      <c r="E384" s="729"/>
      <c r="F384" s="729"/>
      <c r="G384" s="729"/>
      <c r="H384" s="729"/>
      <c r="I384" s="729"/>
      <c r="J384" s="729"/>
      <c r="K384" s="729"/>
      <c r="L384" s="730"/>
      <c r="M384" s="737"/>
      <c r="N384" s="738"/>
      <c r="O384" s="738"/>
      <c r="P384" s="738"/>
      <c r="Q384" s="738"/>
      <c r="R384" s="738"/>
      <c r="S384" s="738"/>
      <c r="T384" s="738"/>
      <c r="U384" s="738"/>
      <c r="V384" s="738"/>
      <c r="W384" s="738"/>
      <c r="X384" s="738"/>
      <c r="Y384" s="738"/>
      <c r="Z384" s="738"/>
      <c r="AA384" s="738"/>
      <c r="AB384" s="738"/>
      <c r="AC384" s="738"/>
      <c r="AD384" s="738"/>
      <c r="AE384" s="738"/>
      <c r="AF384" s="739"/>
    </row>
    <row r="385" spans="1:32" ht="30.75" customHeight="1">
      <c r="A385" s="731"/>
      <c r="B385" s="732"/>
      <c r="C385" s="732"/>
      <c r="D385" s="732"/>
      <c r="E385" s="732"/>
      <c r="F385" s="732"/>
      <c r="G385" s="732"/>
      <c r="H385" s="732"/>
      <c r="I385" s="732"/>
      <c r="J385" s="732"/>
      <c r="K385" s="732"/>
      <c r="L385" s="733"/>
      <c r="M385" s="740"/>
      <c r="N385" s="741"/>
      <c r="O385" s="741"/>
      <c r="P385" s="741"/>
      <c r="Q385" s="741"/>
      <c r="R385" s="741"/>
      <c r="S385" s="741"/>
      <c r="T385" s="741"/>
      <c r="U385" s="741"/>
      <c r="V385" s="741"/>
      <c r="W385" s="741"/>
      <c r="X385" s="741"/>
      <c r="Y385" s="741"/>
      <c r="Z385" s="741"/>
      <c r="AA385" s="741"/>
      <c r="AB385" s="741"/>
      <c r="AC385" s="741"/>
      <c r="AD385" s="741"/>
      <c r="AE385" s="741"/>
      <c r="AF385" s="742"/>
    </row>
    <row r="386" spans="1:32" ht="30.75" customHeight="1">
      <c r="A386" s="731"/>
      <c r="B386" s="732"/>
      <c r="C386" s="732"/>
      <c r="D386" s="732"/>
      <c r="E386" s="732"/>
      <c r="F386" s="732"/>
      <c r="G386" s="732"/>
      <c r="H386" s="732"/>
      <c r="I386" s="732"/>
      <c r="J386" s="732"/>
      <c r="K386" s="732"/>
      <c r="L386" s="733"/>
      <c r="M386" s="740"/>
      <c r="N386" s="741"/>
      <c r="O386" s="741"/>
      <c r="P386" s="741"/>
      <c r="Q386" s="741"/>
      <c r="R386" s="741"/>
      <c r="S386" s="741"/>
      <c r="T386" s="741"/>
      <c r="U386" s="741"/>
      <c r="V386" s="741"/>
      <c r="W386" s="741"/>
      <c r="X386" s="741"/>
      <c r="Y386" s="741"/>
      <c r="Z386" s="741"/>
      <c r="AA386" s="741"/>
      <c r="AB386" s="741"/>
      <c r="AC386" s="741"/>
      <c r="AD386" s="741"/>
      <c r="AE386" s="741"/>
      <c r="AF386" s="742"/>
    </row>
    <row r="387" spans="1:32" ht="30.75" customHeight="1">
      <c r="A387" s="731"/>
      <c r="B387" s="732"/>
      <c r="C387" s="732"/>
      <c r="D387" s="732"/>
      <c r="E387" s="732"/>
      <c r="F387" s="732"/>
      <c r="G387" s="732"/>
      <c r="H387" s="732"/>
      <c r="I387" s="732"/>
      <c r="J387" s="732"/>
      <c r="K387" s="732"/>
      <c r="L387" s="733"/>
      <c r="M387" s="740"/>
      <c r="N387" s="741"/>
      <c r="O387" s="741"/>
      <c r="P387" s="741"/>
      <c r="Q387" s="741"/>
      <c r="R387" s="741"/>
      <c r="S387" s="741"/>
      <c r="T387" s="741"/>
      <c r="U387" s="741"/>
      <c r="V387" s="741"/>
      <c r="W387" s="741"/>
      <c r="X387" s="741"/>
      <c r="Y387" s="741"/>
      <c r="Z387" s="741"/>
      <c r="AA387" s="741"/>
      <c r="AB387" s="741"/>
      <c r="AC387" s="741"/>
      <c r="AD387" s="741"/>
      <c r="AE387" s="741"/>
      <c r="AF387" s="742"/>
    </row>
    <row r="388" spans="1:32" ht="30.75" customHeight="1">
      <c r="A388" s="731"/>
      <c r="B388" s="732"/>
      <c r="C388" s="732"/>
      <c r="D388" s="732"/>
      <c r="E388" s="732"/>
      <c r="F388" s="732"/>
      <c r="G388" s="732"/>
      <c r="H388" s="732"/>
      <c r="I388" s="732"/>
      <c r="J388" s="732"/>
      <c r="K388" s="732"/>
      <c r="L388" s="733"/>
      <c r="M388" s="740"/>
      <c r="N388" s="741"/>
      <c r="O388" s="741"/>
      <c r="P388" s="741"/>
      <c r="Q388" s="741"/>
      <c r="R388" s="741"/>
      <c r="S388" s="741"/>
      <c r="T388" s="741"/>
      <c r="U388" s="741"/>
      <c r="V388" s="741"/>
      <c r="W388" s="741"/>
      <c r="X388" s="741"/>
      <c r="Y388" s="741"/>
      <c r="Z388" s="741"/>
      <c r="AA388" s="741"/>
      <c r="AB388" s="741"/>
      <c r="AC388" s="741"/>
      <c r="AD388" s="741"/>
      <c r="AE388" s="741"/>
      <c r="AF388" s="742"/>
    </row>
    <row r="389" spans="1:32" ht="30.75" customHeight="1">
      <c r="A389" s="731"/>
      <c r="B389" s="732"/>
      <c r="C389" s="732"/>
      <c r="D389" s="732"/>
      <c r="E389" s="732"/>
      <c r="F389" s="732"/>
      <c r="G389" s="732"/>
      <c r="H389" s="732"/>
      <c r="I389" s="732"/>
      <c r="J389" s="732"/>
      <c r="K389" s="732"/>
      <c r="L389" s="733"/>
      <c r="M389" s="740"/>
      <c r="N389" s="741"/>
      <c r="O389" s="741"/>
      <c r="P389" s="741"/>
      <c r="Q389" s="741"/>
      <c r="R389" s="741"/>
      <c r="S389" s="741"/>
      <c r="T389" s="741"/>
      <c r="U389" s="741"/>
      <c r="V389" s="741"/>
      <c r="W389" s="741"/>
      <c r="X389" s="741"/>
      <c r="Y389" s="741"/>
      <c r="Z389" s="741"/>
      <c r="AA389" s="741"/>
      <c r="AB389" s="741"/>
      <c r="AC389" s="741"/>
      <c r="AD389" s="741"/>
      <c r="AE389" s="741"/>
      <c r="AF389" s="742"/>
    </row>
    <row r="390" spans="1:32" ht="30.75" customHeight="1">
      <c r="A390" s="731"/>
      <c r="B390" s="732"/>
      <c r="C390" s="732"/>
      <c r="D390" s="732"/>
      <c r="E390" s="732"/>
      <c r="F390" s="732"/>
      <c r="G390" s="732"/>
      <c r="H390" s="732"/>
      <c r="I390" s="732"/>
      <c r="J390" s="732"/>
      <c r="K390" s="732"/>
      <c r="L390" s="733"/>
      <c r="M390" s="740"/>
      <c r="N390" s="741"/>
      <c r="O390" s="741"/>
      <c r="P390" s="741"/>
      <c r="Q390" s="741"/>
      <c r="R390" s="741"/>
      <c r="S390" s="741"/>
      <c r="T390" s="741"/>
      <c r="U390" s="741"/>
      <c r="V390" s="741"/>
      <c r="W390" s="741"/>
      <c r="X390" s="741"/>
      <c r="Y390" s="741"/>
      <c r="Z390" s="741"/>
      <c r="AA390" s="741"/>
      <c r="AB390" s="741"/>
      <c r="AC390" s="741"/>
      <c r="AD390" s="741"/>
      <c r="AE390" s="741"/>
      <c r="AF390" s="742"/>
    </row>
    <row r="391" spans="1:32" ht="30.75" customHeight="1">
      <c r="A391" s="731"/>
      <c r="B391" s="732"/>
      <c r="C391" s="732"/>
      <c r="D391" s="732"/>
      <c r="E391" s="732"/>
      <c r="F391" s="732"/>
      <c r="G391" s="732"/>
      <c r="H391" s="732"/>
      <c r="I391" s="732"/>
      <c r="J391" s="732"/>
      <c r="K391" s="732"/>
      <c r="L391" s="733"/>
      <c r="M391" s="740"/>
      <c r="N391" s="741"/>
      <c r="O391" s="741"/>
      <c r="P391" s="741"/>
      <c r="Q391" s="741"/>
      <c r="R391" s="741"/>
      <c r="S391" s="741"/>
      <c r="T391" s="741"/>
      <c r="U391" s="741"/>
      <c r="V391" s="741"/>
      <c r="W391" s="741"/>
      <c r="X391" s="741"/>
      <c r="Y391" s="741"/>
      <c r="Z391" s="741"/>
      <c r="AA391" s="741"/>
      <c r="AB391" s="741"/>
      <c r="AC391" s="741"/>
      <c r="AD391" s="741"/>
      <c r="AE391" s="741"/>
      <c r="AF391" s="742"/>
    </row>
    <row r="392" spans="1:32" ht="30.75" customHeight="1">
      <c r="A392" s="731"/>
      <c r="B392" s="732"/>
      <c r="C392" s="732"/>
      <c r="D392" s="732"/>
      <c r="E392" s="732"/>
      <c r="F392" s="732"/>
      <c r="G392" s="732"/>
      <c r="H392" s="732"/>
      <c r="I392" s="732"/>
      <c r="J392" s="732"/>
      <c r="K392" s="732"/>
      <c r="L392" s="733"/>
      <c r="M392" s="740"/>
      <c r="N392" s="741"/>
      <c r="O392" s="741"/>
      <c r="P392" s="741"/>
      <c r="Q392" s="741"/>
      <c r="R392" s="741"/>
      <c r="S392" s="741"/>
      <c r="T392" s="741"/>
      <c r="U392" s="741"/>
      <c r="V392" s="741"/>
      <c r="W392" s="741"/>
      <c r="X392" s="741"/>
      <c r="Y392" s="741"/>
      <c r="Z392" s="741"/>
      <c r="AA392" s="741"/>
      <c r="AB392" s="741"/>
      <c r="AC392" s="741"/>
      <c r="AD392" s="741"/>
      <c r="AE392" s="741"/>
      <c r="AF392" s="742"/>
    </row>
    <row r="393" spans="1:32" ht="30.75" customHeight="1">
      <c r="A393" s="731"/>
      <c r="B393" s="732"/>
      <c r="C393" s="732"/>
      <c r="D393" s="732"/>
      <c r="E393" s="732"/>
      <c r="F393" s="732"/>
      <c r="G393" s="732"/>
      <c r="H393" s="732"/>
      <c r="I393" s="732"/>
      <c r="J393" s="732"/>
      <c r="K393" s="732"/>
      <c r="L393" s="733"/>
      <c r="M393" s="740"/>
      <c r="N393" s="741"/>
      <c r="O393" s="741"/>
      <c r="P393" s="741"/>
      <c r="Q393" s="741"/>
      <c r="R393" s="741"/>
      <c r="S393" s="741"/>
      <c r="T393" s="741"/>
      <c r="U393" s="741"/>
      <c r="V393" s="741"/>
      <c r="W393" s="741"/>
      <c r="X393" s="741"/>
      <c r="Y393" s="741"/>
      <c r="Z393" s="741"/>
      <c r="AA393" s="741"/>
      <c r="AB393" s="741"/>
      <c r="AC393" s="741"/>
      <c r="AD393" s="741"/>
      <c r="AE393" s="741"/>
      <c r="AF393" s="742"/>
    </row>
    <row r="394" spans="1:32" ht="30.75" customHeight="1">
      <c r="A394" s="731"/>
      <c r="B394" s="732"/>
      <c r="C394" s="732"/>
      <c r="D394" s="732"/>
      <c r="E394" s="732"/>
      <c r="F394" s="732"/>
      <c r="G394" s="732"/>
      <c r="H394" s="732"/>
      <c r="I394" s="732"/>
      <c r="J394" s="732"/>
      <c r="K394" s="732"/>
      <c r="L394" s="733"/>
      <c r="M394" s="740"/>
      <c r="N394" s="741"/>
      <c r="O394" s="741"/>
      <c r="P394" s="741"/>
      <c r="Q394" s="741"/>
      <c r="R394" s="741"/>
      <c r="S394" s="741"/>
      <c r="T394" s="741"/>
      <c r="U394" s="741"/>
      <c r="V394" s="741"/>
      <c r="W394" s="741"/>
      <c r="X394" s="741"/>
      <c r="Y394" s="741"/>
      <c r="Z394" s="741"/>
      <c r="AA394" s="741"/>
      <c r="AB394" s="741"/>
      <c r="AC394" s="741"/>
      <c r="AD394" s="741"/>
      <c r="AE394" s="741"/>
      <c r="AF394" s="742"/>
    </row>
    <row r="395" spans="1:32" ht="30.75" customHeight="1">
      <c r="A395" s="731"/>
      <c r="B395" s="732"/>
      <c r="C395" s="732"/>
      <c r="D395" s="732"/>
      <c r="E395" s="732"/>
      <c r="F395" s="732"/>
      <c r="G395" s="732"/>
      <c r="H395" s="732"/>
      <c r="I395" s="732"/>
      <c r="J395" s="732"/>
      <c r="K395" s="732"/>
      <c r="L395" s="733"/>
      <c r="M395" s="740"/>
      <c r="N395" s="741"/>
      <c r="O395" s="741"/>
      <c r="P395" s="741"/>
      <c r="Q395" s="741"/>
      <c r="R395" s="741"/>
      <c r="S395" s="741"/>
      <c r="T395" s="741"/>
      <c r="U395" s="741"/>
      <c r="V395" s="741"/>
      <c r="W395" s="741"/>
      <c r="X395" s="741"/>
      <c r="Y395" s="741"/>
      <c r="Z395" s="741"/>
      <c r="AA395" s="741"/>
      <c r="AB395" s="741"/>
      <c r="AC395" s="741"/>
      <c r="AD395" s="741"/>
      <c r="AE395" s="741"/>
      <c r="AF395" s="742"/>
    </row>
    <row r="396" spans="1:32" ht="30.75" customHeight="1">
      <c r="A396" s="731"/>
      <c r="B396" s="732"/>
      <c r="C396" s="732"/>
      <c r="D396" s="732"/>
      <c r="E396" s="732"/>
      <c r="F396" s="732"/>
      <c r="G396" s="732"/>
      <c r="H396" s="732"/>
      <c r="I396" s="732"/>
      <c r="J396" s="732"/>
      <c r="K396" s="732"/>
      <c r="L396" s="733"/>
      <c r="M396" s="740"/>
      <c r="N396" s="741"/>
      <c r="O396" s="741"/>
      <c r="P396" s="741"/>
      <c r="Q396" s="741"/>
      <c r="R396" s="741"/>
      <c r="S396" s="741"/>
      <c r="T396" s="741"/>
      <c r="U396" s="741"/>
      <c r="V396" s="741"/>
      <c r="W396" s="741"/>
      <c r="X396" s="741"/>
      <c r="Y396" s="741"/>
      <c r="Z396" s="741"/>
      <c r="AA396" s="741"/>
      <c r="AB396" s="741"/>
      <c r="AC396" s="741"/>
      <c r="AD396" s="741"/>
      <c r="AE396" s="741"/>
      <c r="AF396" s="742"/>
    </row>
    <row r="397" spans="1:32" ht="30.75" customHeight="1">
      <c r="A397" s="731"/>
      <c r="B397" s="732"/>
      <c r="C397" s="732"/>
      <c r="D397" s="732"/>
      <c r="E397" s="732"/>
      <c r="F397" s="732"/>
      <c r="G397" s="732"/>
      <c r="H397" s="732"/>
      <c r="I397" s="732"/>
      <c r="J397" s="732"/>
      <c r="K397" s="732"/>
      <c r="L397" s="733"/>
      <c r="M397" s="740"/>
      <c r="N397" s="741"/>
      <c r="O397" s="741"/>
      <c r="P397" s="741"/>
      <c r="Q397" s="741"/>
      <c r="R397" s="741"/>
      <c r="S397" s="741"/>
      <c r="T397" s="741"/>
      <c r="U397" s="741"/>
      <c r="V397" s="741"/>
      <c r="W397" s="741"/>
      <c r="X397" s="741"/>
      <c r="Y397" s="741"/>
      <c r="Z397" s="741"/>
      <c r="AA397" s="741"/>
      <c r="AB397" s="741"/>
      <c r="AC397" s="741"/>
      <c r="AD397" s="741"/>
      <c r="AE397" s="741"/>
      <c r="AF397" s="742"/>
    </row>
    <row r="398" spans="1:32" ht="30.75" customHeight="1">
      <c r="A398" s="731"/>
      <c r="B398" s="732"/>
      <c r="C398" s="732"/>
      <c r="D398" s="732"/>
      <c r="E398" s="732"/>
      <c r="F398" s="732"/>
      <c r="G398" s="732"/>
      <c r="H398" s="732"/>
      <c r="I398" s="732"/>
      <c r="J398" s="732"/>
      <c r="K398" s="732"/>
      <c r="L398" s="733"/>
      <c r="M398" s="740"/>
      <c r="N398" s="741"/>
      <c r="O398" s="741"/>
      <c r="P398" s="741"/>
      <c r="Q398" s="741"/>
      <c r="R398" s="741"/>
      <c r="S398" s="741"/>
      <c r="T398" s="741"/>
      <c r="U398" s="741"/>
      <c r="V398" s="741"/>
      <c r="W398" s="741"/>
      <c r="X398" s="741"/>
      <c r="Y398" s="741"/>
      <c r="Z398" s="741"/>
      <c r="AA398" s="741"/>
      <c r="AB398" s="741"/>
      <c r="AC398" s="741"/>
      <c r="AD398" s="741"/>
      <c r="AE398" s="741"/>
      <c r="AF398" s="742"/>
    </row>
    <row r="399" spans="1:32" ht="30.75" customHeight="1">
      <c r="A399" s="731"/>
      <c r="B399" s="732"/>
      <c r="C399" s="732"/>
      <c r="D399" s="732"/>
      <c r="E399" s="732"/>
      <c r="F399" s="732"/>
      <c r="G399" s="732"/>
      <c r="H399" s="732"/>
      <c r="I399" s="732"/>
      <c r="J399" s="732"/>
      <c r="K399" s="732"/>
      <c r="L399" s="733"/>
      <c r="M399" s="740"/>
      <c r="N399" s="741"/>
      <c r="O399" s="741"/>
      <c r="P399" s="741"/>
      <c r="Q399" s="741"/>
      <c r="R399" s="741"/>
      <c r="S399" s="741"/>
      <c r="T399" s="741"/>
      <c r="U399" s="741"/>
      <c r="V399" s="741"/>
      <c r="W399" s="741"/>
      <c r="X399" s="741"/>
      <c r="Y399" s="741"/>
      <c r="Z399" s="741"/>
      <c r="AA399" s="741"/>
      <c r="AB399" s="741"/>
      <c r="AC399" s="741"/>
      <c r="AD399" s="741"/>
      <c r="AE399" s="741"/>
      <c r="AF399" s="742"/>
    </row>
    <row r="400" spans="1:32" ht="30.75" customHeight="1">
      <c r="A400" s="731"/>
      <c r="B400" s="732"/>
      <c r="C400" s="732"/>
      <c r="D400" s="732"/>
      <c r="E400" s="732"/>
      <c r="F400" s="732"/>
      <c r="G400" s="732"/>
      <c r="H400" s="732"/>
      <c r="I400" s="732"/>
      <c r="J400" s="732"/>
      <c r="K400" s="732"/>
      <c r="L400" s="733"/>
      <c r="M400" s="740"/>
      <c r="N400" s="741"/>
      <c r="O400" s="741"/>
      <c r="P400" s="741"/>
      <c r="Q400" s="741"/>
      <c r="R400" s="741"/>
      <c r="S400" s="741"/>
      <c r="T400" s="741"/>
      <c r="U400" s="741"/>
      <c r="V400" s="741"/>
      <c r="W400" s="741"/>
      <c r="X400" s="741"/>
      <c r="Y400" s="741"/>
      <c r="Z400" s="741"/>
      <c r="AA400" s="741"/>
      <c r="AB400" s="741"/>
      <c r="AC400" s="741"/>
      <c r="AD400" s="741"/>
      <c r="AE400" s="741"/>
      <c r="AF400" s="742"/>
    </row>
    <row r="401" spans="1:32" ht="30.75" customHeight="1">
      <c r="A401" s="731"/>
      <c r="B401" s="732"/>
      <c r="C401" s="732"/>
      <c r="D401" s="732"/>
      <c r="E401" s="732"/>
      <c r="F401" s="732"/>
      <c r="G401" s="732"/>
      <c r="H401" s="732"/>
      <c r="I401" s="732"/>
      <c r="J401" s="732"/>
      <c r="K401" s="732"/>
      <c r="L401" s="733"/>
      <c r="M401" s="740"/>
      <c r="N401" s="741"/>
      <c r="O401" s="741"/>
      <c r="P401" s="741"/>
      <c r="Q401" s="741"/>
      <c r="R401" s="741"/>
      <c r="S401" s="741"/>
      <c r="T401" s="741"/>
      <c r="U401" s="741"/>
      <c r="V401" s="741"/>
      <c r="W401" s="741"/>
      <c r="X401" s="741"/>
      <c r="Y401" s="741"/>
      <c r="Z401" s="741"/>
      <c r="AA401" s="741"/>
      <c r="AB401" s="741"/>
      <c r="AC401" s="741"/>
      <c r="AD401" s="741"/>
      <c r="AE401" s="741"/>
      <c r="AF401" s="742"/>
    </row>
    <row r="402" spans="1:32" ht="30.75" customHeight="1">
      <c r="A402" s="731"/>
      <c r="B402" s="732"/>
      <c r="C402" s="732"/>
      <c r="D402" s="732"/>
      <c r="E402" s="732"/>
      <c r="F402" s="732"/>
      <c r="G402" s="732"/>
      <c r="H402" s="732"/>
      <c r="I402" s="732"/>
      <c r="J402" s="732"/>
      <c r="K402" s="732"/>
      <c r="L402" s="733"/>
      <c r="M402" s="740"/>
      <c r="N402" s="741"/>
      <c r="O402" s="741"/>
      <c r="P402" s="741"/>
      <c r="Q402" s="741"/>
      <c r="R402" s="741"/>
      <c r="S402" s="741"/>
      <c r="T402" s="741"/>
      <c r="U402" s="741"/>
      <c r="V402" s="741"/>
      <c r="W402" s="741"/>
      <c r="X402" s="741"/>
      <c r="Y402" s="741"/>
      <c r="Z402" s="741"/>
      <c r="AA402" s="741"/>
      <c r="AB402" s="741"/>
      <c r="AC402" s="741"/>
      <c r="AD402" s="741"/>
      <c r="AE402" s="741"/>
      <c r="AF402" s="742"/>
    </row>
    <row r="403" spans="1:32" ht="30.75" customHeight="1">
      <c r="A403" s="731"/>
      <c r="B403" s="732"/>
      <c r="C403" s="732"/>
      <c r="D403" s="732"/>
      <c r="E403" s="732"/>
      <c r="F403" s="732"/>
      <c r="G403" s="732"/>
      <c r="H403" s="732"/>
      <c r="I403" s="732"/>
      <c r="J403" s="732"/>
      <c r="K403" s="732"/>
      <c r="L403" s="733"/>
      <c r="M403" s="740"/>
      <c r="N403" s="741"/>
      <c r="O403" s="741"/>
      <c r="P403" s="741"/>
      <c r="Q403" s="741"/>
      <c r="R403" s="741"/>
      <c r="S403" s="741"/>
      <c r="T403" s="741"/>
      <c r="U403" s="741"/>
      <c r="V403" s="741"/>
      <c r="W403" s="741"/>
      <c r="X403" s="741"/>
      <c r="Y403" s="741"/>
      <c r="Z403" s="741"/>
      <c r="AA403" s="741"/>
      <c r="AB403" s="741"/>
      <c r="AC403" s="741"/>
      <c r="AD403" s="741"/>
      <c r="AE403" s="741"/>
      <c r="AF403" s="742"/>
    </row>
    <row r="404" spans="1:32" ht="30.75" customHeight="1">
      <c r="A404" s="731"/>
      <c r="B404" s="732"/>
      <c r="C404" s="732"/>
      <c r="D404" s="732"/>
      <c r="E404" s="732"/>
      <c r="F404" s="732"/>
      <c r="G404" s="732"/>
      <c r="H404" s="732"/>
      <c r="I404" s="732"/>
      <c r="J404" s="732"/>
      <c r="K404" s="732"/>
      <c r="L404" s="733"/>
      <c r="M404" s="740"/>
      <c r="N404" s="741"/>
      <c r="O404" s="741"/>
      <c r="P404" s="741"/>
      <c r="Q404" s="741"/>
      <c r="R404" s="741"/>
      <c r="S404" s="741"/>
      <c r="T404" s="741"/>
      <c r="U404" s="741"/>
      <c r="V404" s="741"/>
      <c r="W404" s="741"/>
      <c r="X404" s="741"/>
      <c r="Y404" s="741"/>
      <c r="Z404" s="741"/>
      <c r="AA404" s="741"/>
      <c r="AB404" s="741"/>
      <c r="AC404" s="741"/>
      <c r="AD404" s="741"/>
      <c r="AE404" s="741"/>
      <c r="AF404" s="742"/>
    </row>
    <row r="405" spans="1:32" ht="30.75" customHeight="1">
      <c r="A405" s="731"/>
      <c r="B405" s="732"/>
      <c r="C405" s="732"/>
      <c r="D405" s="732"/>
      <c r="E405" s="732"/>
      <c r="F405" s="732"/>
      <c r="G405" s="732"/>
      <c r="H405" s="732"/>
      <c r="I405" s="732"/>
      <c r="J405" s="732"/>
      <c r="K405" s="732"/>
      <c r="L405" s="733"/>
      <c r="M405" s="740"/>
      <c r="N405" s="741"/>
      <c r="O405" s="741"/>
      <c r="P405" s="741"/>
      <c r="Q405" s="741"/>
      <c r="R405" s="741"/>
      <c r="S405" s="741"/>
      <c r="T405" s="741"/>
      <c r="U405" s="741"/>
      <c r="V405" s="741"/>
      <c r="W405" s="741"/>
      <c r="X405" s="741"/>
      <c r="Y405" s="741"/>
      <c r="Z405" s="741"/>
      <c r="AA405" s="741"/>
      <c r="AB405" s="741"/>
      <c r="AC405" s="741"/>
      <c r="AD405" s="741"/>
      <c r="AE405" s="741"/>
      <c r="AF405" s="742"/>
    </row>
    <row r="406" spans="1:32" ht="30.75" customHeight="1">
      <c r="A406" s="731"/>
      <c r="B406" s="732"/>
      <c r="C406" s="732"/>
      <c r="D406" s="732"/>
      <c r="E406" s="732"/>
      <c r="F406" s="732"/>
      <c r="G406" s="732"/>
      <c r="H406" s="732"/>
      <c r="I406" s="732"/>
      <c r="J406" s="732"/>
      <c r="K406" s="732"/>
      <c r="L406" s="733"/>
      <c r="M406" s="740"/>
      <c r="N406" s="741"/>
      <c r="O406" s="741"/>
      <c r="P406" s="741"/>
      <c r="Q406" s="741"/>
      <c r="R406" s="741"/>
      <c r="S406" s="741"/>
      <c r="T406" s="741"/>
      <c r="U406" s="741"/>
      <c r="V406" s="741"/>
      <c r="W406" s="741"/>
      <c r="X406" s="741"/>
      <c r="Y406" s="741"/>
      <c r="Z406" s="741"/>
      <c r="AA406" s="741"/>
      <c r="AB406" s="741"/>
      <c r="AC406" s="741"/>
      <c r="AD406" s="741"/>
      <c r="AE406" s="741"/>
      <c r="AF406" s="742"/>
    </row>
    <row r="407" spans="1:32" ht="30.75" customHeight="1">
      <c r="A407" s="731"/>
      <c r="B407" s="732"/>
      <c r="C407" s="732"/>
      <c r="D407" s="732"/>
      <c r="E407" s="732"/>
      <c r="F407" s="732"/>
      <c r="G407" s="732"/>
      <c r="H407" s="732"/>
      <c r="I407" s="732"/>
      <c r="J407" s="732"/>
      <c r="K407" s="732"/>
      <c r="L407" s="733"/>
      <c r="M407" s="740"/>
      <c r="N407" s="741"/>
      <c r="O407" s="741"/>
      <c r="P407" s="741"/>
      <c r="Q407" s="741"/>
      <c r="R407" s="741"/>
      <c r="S407" s="741"/>
      <c r="T407" s="741"/>
      <c r="U407" s="741"/>
      <c r="V407" s="741"/>
      <c r="W407" s="741"/>
      <c r="X407" s="741"/>
      <c r="Y407" s="741"/>
      <c r="Z407" s="741"/>
      <c r="AA407" s="741"/>
      <c r="AB407" s="741"/>
      <c r="AC407" s="741"/>
      <c r="AD407" s="741"/>
      <c r="AE407" s="741"/>
      <c r="AF407" s="742"/>
    </row>
    <row r="408" spans="1:32" ht="30.75" customHeight="1">
      <c r="A408" s="731"/>
      <c r="B408" s="732"/>
      <c r="C408" s="732"/>
      <c r="D408" s="732"/>
      <c r="E408" s="732"/>
      <c r="F408" s="732"/>
      <c r="G408" s="732"/>
      <c r="H408" s="732"/>
      <c r="I408" s="732"/>
      <c r="J408" s="732"/>
      <c r="K408" s="732"/>
      <c r="L408" s="733"/>
      <c r="M408" s="740"/>
      <c r="N408" s="741"/>
      <c r="O408" s="741"/>
      <c r="P408" s="741"/>
      <c r="Q408" s="741"/>
      <c r="R408" s="741"/>
      <c r="S408" s="741"/>
      <c r="T408" s="741"/>
      <c r="U408" s="741"/>
      <c r="V408" s="741"/>
      <c r="W408" s="741"/>
      <c r="X408" s="741"/>
      <c r="Y408" s="741"/>
      <c r="Z408" s="741"/>
      <c r="AA408" s="741"/>
      <c r="AB408" s="741"/>
      <c r="AC408" s="741"/>
      <c r="AD408" s="741"/>
      <c r="AE408" s="741"/>
      <c r="AF408" s="742"/>
    </row>
    <row r="409" spans="1:32" ht="30.75" customHeight="1">
      <c r="A409" s="731"/>
      <c r="B409" s="732"/>
      <c r="C409" s="732"/>
      <c r="D409" s="732"/>
      <c r="E409" s="732"/>
      <c r="F409" s="732"/>
      <c r="G409" s="732"/>
      <c r="H409" s="732"/>
      <c r="I409" s="732"/>
      <c r="J409" s="732"/>
      <c r="K409" s="732"/>
      <c r="L409" s="733"/>
      <c r="M409" s="740"/>
      <c r="N409" s="741"/>
      <c r="O409" s="741"/>
      <c r="P409" s="741"/>
      <c r="Q409" s="741"/>
      <c r="R409" s="741"/>
      <c r="S409" s="741"/>
      <c r="T409" s="741"/>
      <c r="U409" s="741"/>
      <c r="V409" s="741"/>
      <c r="W409" s="741"/>
      <c r="X409" s="741"/>
      <c r="Y409" s="741"/>
      <c r="Z409" s="741"/>
      <c r="AA409" s="741"/>
      <c r="AB409" s="741"/>
      <c r="AC409" s="741"/>
      <c r="AD409" s="741"/>
      <c r="AE409" s="741"/>
      <c r="AF409" s="742"/>
    </row>
    <row r="410" spans="1:32" ht="30.75" customHeight="1">
      <c r="A410" s="731"/>
      <c r="B410" s="732"/>
      <c r="C410" s="732"/>
      <c r="D410" s="732"/>
      <c r="E410" s="732"/>
      <c r="F410" s="732"/>
      <c r="G410" s="732"/>
      <c r="H410" s="732"/>
      <c r="I410" s="732"/>
      <c r="J410" s="732"/>
      <c r="K410" s="732"/>
      <c r="L410" s="733"/>
      <c r="M410" s="740"/>
      <c r="N410" s="741"/>
      <c r="O410" s="741"/>
      <c r="P410" s="741"/>
      <c r="Q410" s="741"/>
      <c r="R410" s="741"/>
      <c r="S410" s="741"/>
      <c r="T410" s="741"/>
      <c r="U410" s="741"/>
      <c r="V410" s="741"/>
      <c r="W410" s="741"/>
      <c r="X410" s="741"/>
      <c r="Y410" s="741"/>
      <c r="Z410" s="741"/>
      <c r="AA410" s="741"/>
      <c r="AB410" s="741"/>
      <c r="AC410" s="741"/>
      <c r="AD410" s="741"/>
      <c r="AE410" s="741"/>
      <c r="AF410" s="742"/>
    </row>
    <row r="411" spans="1:32" ht="26.25">
      <c r="A411" s="731"/>
      <c r="B411" s="732"/>
      <c r="C411" s="732"/>
      <c r="D411" s="732"/>
      <c r="E411" s="732"/>
      <c r="F411" s="732"/>
      <c r="G411" s="732"/>
      <c r="H411" s="732"/>
      <c r="I411" s="732"/>
      <c r="J411" s="732"/>
      <c r="K411" s="732"/>
      <c r="L411" s="733"/>
      <c r="M411" s="740"/>
      <c r="N411" s="741"/>
      <c r="O411" s="741"/>
      <c r="P411" s="741"/>
      <c r="Q411" s="741"/>
      <c r="R411" s="741"/>
      <c r="S411" s="741"/>
      <c r="T411" s="741"/>
      <c r="U411" s="741"/>
      <c r="V411" s="741"/>
      <c r="W411" s="741"/>
      <c r="X411" s="741"/>
      <c r="Y411" s="741"/>
      <c r="Z411" s="741"/>
      <c r="AA411" s="741"/>
      <c r="AB411" s="741"/>
      <c r="AC411" s="741"/>
      <c r="AD411" s="741"/>
      <c r="AE411" s="741"/>
      <c r="AF411" s="742"/>
    </row>
    <row r="412" spans="1:32" ht="26.25">
      <c r="A412" s="731"/>
      <c r="B412" s="732"/>
      <c r="C412" s="732"/>
      <c r="D412" s="732"/>
      <c r="E412" s="732"/>
      <c r="F412" s="732"/>
      <c r="G412" s="732"/>
      <c r="H412" s="732"/>
      <c r="I412" s="732"/>
      <c r="J412" s="732"/>
      <c r="K412" s="732"/>
      <c r="L412" s="733"/>
      <c r="M412" s="740"/>
      <c r="N412" s="741"/>
      <c r="O412" s="741"/>
      <c r="P412" s="741"/>
      <c r="Q412" s="741"/>
      <c r="R412" s="741"/>
      <c r="S412" s="741"/>
      <c r="T412" s="741"/>
      <c r="U412" s="741"/>
      <c r="V412" s="741"/>
      <c r="W412" s="741"/>
      <c r="X412" s="741"/>
      <c r="Y412" s="741"/>
      <c r="Z412" s="741"/>
      <c r="AA412" s="741"/>
      <c r="AB412" s="741"/>
      <c r="AC412" s="741"/>
      <c r="AD412" s="741"/>
      <c r="AE412" s="741"/>
      <c r="AF412" s="742"/>
    </row>
    <row r="413" spans="1:32" ht="27" thickBot="1">
      <c r="A413" s="734"/>
      <c r="B413" s="735"/>
      <c r="C413" s="735"/>
      <c r="D413" s="735"/>
      <c r="E413" s="735"/>
      <c r="F413" s="735"/>
      <c r="G413" s="735"/>
      <c r="H413" s="735"/>
      <c r="I413" s="735"/>
      <c r="J413" s="735"/>
      <c r="K413" s="735"/>
      <c r="L413" s="736"/>
      <c r="M413" s="743"/>
      <c r="N413" s="744"/>
      <c r="O413" s="744"/>
      <c r="P413" s="744"/>
      <c r="Q413" s="744"/>
      <c r="R413" s="744"/>
      <c r="S413" s="744"/>
      <c r="T413" s="744"/>
      <c r="U413" s="744"/>
      <c r="V413" s="744"/>
      <c r="W413" s="744"/>
      <c r="X413" s="744"/>
      <c r="Y413" s="744"/>
      <c r="Z413" s="744"/>
      <c r="AA413" s="744"/>
      <c r="AB413" s="744"/>
      <c r="AC413" s="744"/>
      <c r="AD413" s="744"/>
      <c r="AE413" s="744"/>
      <c r="AF413" s="745"/>
    </row>
  </sheetData>
  <sheetProtection algorithmName="SHA-512" hashValue="T8sZrDCPI7BMz9Vhv5SzcbKAbds6YF0DUipZIMWbi+1Ir+MKEGlfpVxGXsCx6hXmmfEUt2fZaEv03gO9pLggIA==" saltValue="g4djnWyhkEZ0bHgKdY/75g==" spinCount="100000" sheet="1" selectLockedCells="1"/>
  <mergeCells count="282">
    <mergeCell ref="A44:AF44"/>
    <mergeCell ref="A45:A53"/>
    <mergeCell ref="A268:AF268"/>
    <mergeCell ref="A88:AF88"/>
    <mergeCell ref="AE106:AE107"/>
    <mergeCell ref="AD106:AD107"/>
    <mergeCell ref="AD108:AD110"/>
    <mergeCell ref="A78:AF78"/>
    <mergeCell ref="A79:A87"/>
    <mergeCell ref="A54:AF54"/>
    <mergeCell ref="A55:A63"/>
    <mergeCell ref="AC159:AC160"/>
    <mergeCell ref="A170:A171"/>
    <mergeCell ref="A182:A184"/>
    <mergeCell ref="AD193:AD198"/>
    <mergeCell ref="AF193:AF198"/>
    <mergeCell ref="A192:AF192"/>
    <mergeCell ref="A199:AF199"/>
    <mergeCell ref="A185:AF185"/>
    <mergeCell ref="AD200:AD205"/>
    <mergeCell ref="AD89:AD104"/>
    <mergeCell ref="AF89:AF104"/>
    <mergeCell ref="A93:A95"/>
    <mergeCell ref="A90:A92"/>
    <mergeCell ref="AB290:AB291"/>
    <mergeCell ref="A154:A157"/>
    <mergeCell ref="AC290:AC291"/>
    <mergeCell ref="B290:B291"/>
    <mergeCell ref="C290:C291"/>
    <mergeCell ref="D290:E290"/>
    <mergeCell ref="F290:G290"/>
    <mergeCell ref="H290:I290"/>
    <mergeCell ref="J290:K290"/>
    <mergeCell ref="L290:M290"/>
    <mergeCell ref="N290:O290"/>
    <mergeCell ref="P290:Q290"/>
    <mergeCell ref="D159:E159"/>
    <mergeCell ref="F159:G159"/>
    <mergeCell ref="H159:I159"/>
    <mergeCell ref="J159:K159"/>
    <mergeCell ref="A247:AF247"/>
    <mergeCell ref="AD161:AD166"/>
    <mergeCell ref="X159:Y159"/>
    <mergeCell ref="V159:W159"/>
    <mergeCell ref="T159:U159"/>
    <mergeCell ref="A249:A257"/>
    <mergeCell ref="A258:AF258"/>
    <mergeCell ref="A206:AF206"/>
    <mergeCell ref="A289:AF289"/>
    <mergeCell ref="A290:A291"/>
    <mergeCell ref="R290:S290"/>
    <mergeCell ref="T290:U290"/>
    <mergeCell ref="V290:W290"/>
    <mergeCell ref="X290:Y290"/>
    <mergeCell ref="Z290:AA290"/>
    <mergeCell ref="AD208:AD232"/>
    <mergeCell ref="AF208:AF232"/>
    <mergeCell ref="A259:A267"/>
    <mergeCell ref="A270:A278"/>
    <mergeCell ref="A269:AF269"/>
    <mergeCell ref="A279:AF279"/>
    <mergeCell ref="A280:A288"/>
    <mergeCell ref="A248:AF248"/>
    <mergeCell ref="A233:AF233"/>
    <mergeCell ref="AD234:AD246"/>
    <mergeCell ref="AF234:AF246"/>
    <mergeCell ref="A235:A240"/>
    <mergeCell ref="A241:A246"/>
    <mergeCell ref="AD259:AD265"/>
    <mergeCell ref="AF259:AF265"/>
    <mergeCell ref="AD270:AD278"/>
    <mergeCell ref="AD280:AD288"/>
    <mergeCell ref="AD24:AD43"/>
    <mergeCell ref="AD186:AD191"/>
    <mergeCell ref="AF186:AF191"/>
    <mergeCell ref="A64:AF64"/>
    <mergeCell ref="AD65:AD70"/>
    <mergeCell ref="AF65:AF70"/>
    <mergeCell ref="AD72:AD77"/>
    <mergeCell ref="AF72:AF77"/>
    <mergeCell ref="A71:AF71"/>
    <mergeCell ref="A111:AF111"/>
    <mergeCell ref="X106:Y106"/>
    <mergeCell ref="T106:U106"/>
    <mergeCell ref="R106:S106"/>
    <mergeCell ref="C106:C107"/>
    <mergeCell ref="B106:B107"/>
    <mergeCell ref="A105:AF105"/>
    <mergeCell ref="AF108:AF110"/>
    <mergeCell ref="AF106:AF107"/>
    <mergeCell ref="A118:A121"/>
    <mergeCell ref="A114:A117"/>
    <mergeCell ref="A130:A133"/>
    <mergeCell ref="AC168:AC169"/>
    <mergeCell ref="AE168:AE169"/>
    <mergeCell ref="A122:A125"/>
    <mergeCell ref="AF8:AF18"/>
    <mergeCell ref="A134:A137"/>
    <mergeCell ref="A8:A10"/>
    <mergeCell ref="F19:G19"/>
    <mergeCell ref="N19:O19"/>
    <mergeCell ref="AD19:AD20"/>
    <mergeCell ref="A24:A28"/>
    <mergeCell ref="L112:M112"/>
    <mergeCell ref="J112:K112"/>
    <mergeCell ref="A29:A31"/>
    <mergeCell ref="A32:A34"/>
    <mergeCell ref="A35:A37"/>
    <mergeCell ref="A38:A40"/>
    <mergeCell ref="A41:A43"/>
    <mergeCell ref="A108:A110"/>
    <mergeCell ref="AD8:AD18"/>
    <mergeCell ref="Z106:AA106"/>
    <mergeCell ref="V106:W106"/>
    <mergeCell ref="A112:A113"/>
    <mergeCell ref="R112:S112"/>
    <mergeCell ref="P112:Q112"/>
    <mergeCell ref="N112:O112"/>
    <mergeCell ref="AF24:AF43"/>
    <mergeCell ref="A21:AF21"/>
    <mergeCell ref="AF19:AF20"/>
    <mergeCell ref="A22:AF22"/>
    <mergeCell ref="F5:G5"/>
    <mergeCell ref="H5:I5"/>
    <mergeCell ref="J5:K5"/>
    <mergeCell ref="L5:M5"/>
    <mergeCell ref="N5:O5"/>
    <mergeCell ref="P5:Q5"/>
    <mergeCell ref="AC1:AF1"/>
    <mergeCell ref="X19:Y19"/>
    <mergeCell ref="Z19:AA19"/>
    <mergeCell ref="A2:AC2"/>
    <mergeCell ref="H19:I19"/>
    <mergeCell ref="V19:W19"/>
    <mergeCell ref="AC19:AC20"/>
    <mergeCell ref="AB19:AB20"/>
    <mergeCell ref="T19:U19"/>
    <mergeCell ref="C19:C20"/>
    <mergeCell ref="B19:B20"/>
    <mergeCell ref="A19:A20"/>
    <mergeCell ref="H1:J1"/>
    <mergeCell ref="A7:AF7"/>
    <mergeCell ref="A5:A6"/>
    <mergeCell ref="AE19:AE20"/>
    <mergeCell ref="B5:B6"/>
    <mergeCell ref="C5:C6"/>
    <mergeCell ref="D5:E5"/>
    <mergeCell ref="D4:V4"/>
    <mergeCell ref="K1:Q1"/>
    <mergeCell ref="R1:S1"/>
    <mergeCell ref="T1:V1"/>
    <mergeCell ref="W1:X1"/>
    <mergeCell ref="AA1:AB1"/>
    <mergeCell ref="W4:AF4"/>
    <mergeCell ref="A4:C4"/>
    <mergeCell ref="R5:S5"/>
    <mergeCell ref="T5:U5"/>
    <mergeCell ref="V5:W5"/>
    <mergeCell ref="X5:Y5"/>
    <mergeCell ref="Z5:AA5"/>
    <mergeCell ref="AB5:AB6"/>
    <mergeCell ref="AC5:AC6"/>
    <mergeCell ref="AE5:AE6"/>
    <mergeCell ref="B1:C1"/>
    <mergeCell ref="D1:E1"/>
    <mergeCell ref="F1:G1"/>
    <mergeCell ref="A384:L413"/>
    <mergeCell ref="M384:AF413"/>
    <mergeCell ref="A383:L383"/>
    <mergeCell ref="M383:AF383"/>
    <mergeCell ref="A362:L382"/>
    <mergeCell ref="A361:L361"/>
    <mergeCell ref="M361:AF361"/>
    <mergeCell ref="M362:AF382"/>
    <mergeCell ref="A296:A301"/>
    <mergeCell ref="A302:A307"/>
    <mergeCell ref="AD351:AD357"/>
    <mergeCell ref="AD337:AD349"/>
    <mergeCell ref="AF337:AF349"/>
    <mergeCell ref="AF351:AF357"/>
    <mergeCell ref="A336:AF336"/>
    <mergeCell ref="A338:A343"/>
    <mergeCell ref="A344:A349"/>
    <mergeCell ref="A350:AF350"/>
    <mergeCell ref="AD292:AD307"/>
    <mergeCell ref="A293:A295"/>
    <mergeCell ref="A310:A315"/>
    <mergeCell ref="A316:A321"/>
    <mergeCell ref="A324:A329"/>
    <mergeCell ref="A330:A335"/>
    <mergeCell ref="L19:M19"/>
    <mergeCell ref="J19:K19"/>
    <mergeCell ref="D19:E19"/>
    <mergeCell ref="R19:S19"/>
    <mergeCell ref="P19:Q19"/>
    <mergeCell ref="T112:U112"/>
    <mergeCell ref="H106:I106"/>
    <mergeCell ref="A161:A166"/>
    <mergeCell ref="A168:A169"/>
    <mergeCell ref="B168:B169"/>
    <mergeCell ref="C168:C169"/>
    <mergeCell ref="D168:E168"/>
    <mergeCell ref="F168:G168"/>
    <mergeCell ref="H168:I168"/>
    <mergeCell ref="J168:K168"/>
    <mergeCell ref="L168:M168"/>
    <mergeCell ref="B112:B113"/>
    <mergeCell ref="P106:Q106"/>
    <mergeCell ref="R159:S159"/>
    <mergeCell ref="A158:AF158"/>
    <mergeCell ref="N168:O168"/>
    <mergeCell ref="A138:A141"/>
    <mergeCell ref="A146:A149"/>
    <mergeCell ref="A126:A129"/>
    <mergeCell ref="A15:A17"/>
    <mergeCell ref="A11:A13"/>
    <mergeCell ref="AF161:AF166"/>
    <mergeCell ref="AF170:AF184"/>
    <mergeCell ref="AD170:AD184"/>
    <mergeCell ref="AE159:AE160"/>
    <mergeCell ref="V112:W112"/>
    <mergeCell ref="X112:Y112"/>
    <mergeCell ref="Z112:AA112"/>
    <mergeCell ref="AD159:AD160"/>
    <mergeCell ref="AF112:AF113"/>
    <mergeCell ref="AE112:AE113"/>
    <mergeCell ref="AD112:AD113"/>
    <mergeCell ref="AB112:AB113"/>
    <mergeCell ref="AC112:AC113"/>
    <mergeCell ref="A167:AF167"/>
    <mergeCell ref="AF114:AF157"/>
    <mergeCell ref="AD114:AD157"/>
    <mergeCell ref="C159:C160"/>
    <mergeCell ref="A159:A160"/>
    <mergeCell ref="B159:B160"/>
    <mergeCell ref="AF159:AF160"/>
    <mergeCell ref="L159:M159"/>
    <mergeCell ref="N159:O159"/>
    <mergeCell ref="A308:AF308"/>
    <mergeCell ref="A322:AF322"/>
    <mergeCell ref="AD323:AD335"/>
    <mergeCell ref="AF323:AF335"/>
    <mergeCell ref="AD309:AD321"/>
    <mergeCell ref="AF309:AF321"/>
    <mergeCell ref="AF292:AF307"/>
    <mergeCell ref="AB106:AB107"/>
    <mergeCell ref="AC106:AC107"/>
    <mergeCell ref="A150:A153"/>
    <mergeCell ref="P159:Q159"/>
    <mergeCell ref="Z159:AA159"/>
    <mergeCell ref="AB159:AB160"/>
    <mergeCell ref="A142:A145"/>
    <mergeCell ref="N106:O106"/>
    <mergeCell ref="A106:A107"/>
    <mergeCell ref="D106:E106"/>
    <mergeCell ref="F106:G106"/>
    <mergeCell ref="L106:M106"/>
    <mergeCell ref="J106:K106"/>
    <mergeCell ref="AE290:AE291"/>
    <mergeCell ref="P168:Q168"/>
    <mergeCell ref="R168:S168"/>
    <mergeCell ref="T168:U168"/>
    <mergeCell ref="A99:A101"/>
    <mergeCell ref="A96:A98"/>
    <mergeCell ref="A102:A104"/>
    <mergeCell ref="V168:W168"/>
    <mergeCell ref="X168:Y168"/>
    <mergeCell ref="Z168:AA168"/>
    <mergeCell ref="AB168:AB169"/>
    <mergeCell ref="C112:C113"/>
    <mergeCell ref="D112:E112"/>
    <mergeCell ref="F112:G112"/>
    <mergeCell ref="H112:I112"/>
    <mergeCell ref="AF200:AF205"/>
    <mergeCell ref="AD45:AD53"/>
    <mergeCell ref="AF45:AF53"/>
    <mergeCell ref="AD55:AD63"/>
    <mergeCell ref="AF55:AF63"/>
    <mergeCell ref="AD79:AD87"/>
    <mergeCell ref="AF79:AF87"/>
    <mergeCell ref="AD249:AD257"/>
    <mergeCell ref="AF249:AF257"/>
  </mergeCells>
  <phoneticPr fontId="2" type="noConversion"/>
  <conditionalFormatting sqref="AC33:AC34">
    <cfRule type="notContainsBlanks" dxfId="748" priority="3137">
      <formula>LEN(TRIM(AC33))&gt;0</formula>
    </cfRule>
  </conditionalFormatting>
  <conditionalFormatting sqref="AC35:AC36">
    <cfRule type="notContainsBlanks" dxfId="747" priority="3135">
      <formula>LEN(TRIM(AC35))&gt;0</formula>
    </cfRule>
  </conditionalFormatting>
  <conditionalFormatting sqref="AC26">
    <cfRule type="notContainsBlanks" dxfId="746" priority="3116">
      <formula>LEN(TRIM(AC26))&gt;0</formula>
    </cfRule>
  </conditionalFormatting>
  <conditionalFormatting sqref="AE35">
    <cfRule type="notContainsBlanks" dxfId="745" priority="3077">
      <formula>LEN(TRIM(AE35))&gt;0</formula>
    </cfRule>
  </conditionalFormatting>
  <conditionalFormatting sqref="AE108:AF108 AE161:AF161 AE114:AF114 AE24:AF24 AE109:AE110 AE25:AE43 AE162:AE166 AE170:AE184 AE307 AE309:AE321 AE115 AE132:AE133 AE126:AE127 AE118:AE119 AE122:AE123 AE136:AE139 AE146:AE147 AE68:AE69 AE203:AE204 AE103:AE104">
    <cfRule type="notContainsBlanks" dxfId="744" priority="3074">
      <formula>LEN(TRIM(AE24))&gt;0</formula>
    </cfRule>
  </conditionalFormatting>
  <conditionalFormatting sqref="AE37">
    <cfRule type="notContainsBlanks" dxfId="743" priority="3073">
      <formula>LEN(TRIM(AE37))&gt;0</formula>
    </cfRule>
  </conditionalFormatting>
  <conditionalFormatting sqref="AE39">
    <cfRule type="notContainsBlanks" dxfId="742" priority="3072">
      <formula>LEN(TRIM(AE39))&gt;0</formula>
    </cfRule>
  </conditionalFormatting>
  <conditionalFormatting sqref="AE41">
    <cfRule type="notContainsBlanks" dxfId="741" priority="3071">
      <formula>LEN(TRIM(AE41))&gt;0</formula>
    </cfRule>
  </conditionalFormatting>
  <conditionalFormatting sqref="AE43">
    <cfRule type="notContainsBlanks" dxfId="740" priority="3069">
      <formula>LEN(TRIM(AE43))&gt;0</formula>
    </cfRule>
  </conditionalFormatting>
  <conditionalFormatting sqref="AD108:AD110 AD114 AD24 AD161 AD170 AD309">
    <cfRule type="notContainsBlanks" dxfId="739" priority="3303">
      <formula>LEN(TRIM(AD24))&gt;0</formula>
    </cfRule>
  </conditionalFormatting>
  <conditionalFormatting sqref="AB108:AB110 AB30:AB31 AB114:AB115 AB161:AB166 AB175:AB178 AB312:AB314 AB180:AB184 AB316:AB320 AB172:AB173 AB122:AB123 AB132:AB133 AB126:AB127 AB136:AB139 AB146:AB147 AB68:AB69 AB203:AB204">
    <cfRule type="cellIs" dxfId="738" priority="3058" operator="equal">
      <formula>0</formula>
    </cfRule>
  </conditionalFormatting>
  <conditionalFormatting sqref="A1">
    <cfRule type="cellIs" dxfId="737" priority="3056" operator="equal">
      <formula>0</formula>
    </cfRule>
  </conditionalFormatting>
  <conditionalFormatting sqref="AB29">
    <cfRule type="cellIs" dxfId="736" priority="3048" operator="equal">
      <formula>0</formula>
    </cfRule>
  </conditionalFormatting>
  <conditionalFormatting sqref="AC10 AC13 AC17:AC18">
    <cfRule type="notContainsBlanks" dxfId="735" priority="2836">
      <formula>LEN(TRIM(AC10))&gt;0</formula>
    </cfRule>
  </conditionalFormatting>
  <conditionalFormatting sqref="AE8:AF8 AE9:AE18">
    <cfRule type="notContainsBlanks" dxfId="734" priority="2835">
      <formula>LEN(TRIM(AE8))&gt;0</formula>
    </cfRule>
  </conditionalFormatting>
  <conditionalFormatting sqref="AD8">
    <cfRule type="notContainsBlanks" dxfId="733" priority="3304">
      <formula>LEN(TRIM(AD8))&gt;0</formula>
    </cfRule>
  </conditionalFormatting>
  <conditionalFormatting sqref="D18:AB18">
    <cfRule type="cellIs" dxfId="732" priority="2059" operator="equal">
      <formula>0</formula>
    </cfRule>
  </conditionalFormatting>
  <conditionalFormatting sqref="D14:AA14">
    <cfRule type="cellIs" dxfId="731" priority="2038" operator="equal">
      <formula>0</formula>
    </cfRule>
  </conditionalFormatting>
  <conditionalFormatting sqref="AB12:AB13">
    <cfRule type="cellIs" dxfId="730" priority="1834" operator="equal">
      <formula>0</formula>
    </cfRule>
  </conditionalFormatting>
  <conditionalFormatting sqref="AB14">
    <cfRule type="cellIs" dxfId="729" priority="1833" operator="equal">
      <formula>0</formula>
    </cfRule>
  </conditionalFormatting>
  <conditionalFormatting sqref="AB15:AB17">
    <cfRule type="cellIs" dxfId="728" priority="1832" operator="equal">
      <formula>0</formula>
    </cfRule>
  </conditionalFormatting>
  <conditionalFormatting sqref="AB11">
    <cfRule type="cellIs" dxfId="727" priority="1755" operator="equal">
      <formula>0</formula>
    </cfRule>
  </conditionalFormatting>
  <conditionalFormatting sqref="AB11">
    <cfRule type="cellIs" dxfId="726" priority="1753" operator="equal">
      <formula>0</formula>
    </cfRule>
  </conditionalFormatting>
  <conditionalFormatting sqref="AB10">
    <cfRule type="cellIs" dxfId="725" priority="1668" operator="equal">
      <formula>0</formula>
    </cfRule>
  </conditionalFormatting>
  <conditionalFormatting sqref="AB8:AB9">
    <cfRule type="cellIs" dxfId="724" priority="1667" operator="equal">
      <formula>0</formula>
    </cfRule>
  </conditionalFormatting>
  <conditionalFormatting sqref="D14:AA14">
    <cfRule type="expression" dxfId="723" priority="3308">
      <formula>#REF!&gt;D14</formula>
    </cfRule>
  </conditionalFormatting>
  <conditionalFormatting sqref="AB24:AB25">
    <cfRule type="cellIs" dxfId="722" priority="1362" operator="equal">
      <formula>0</formula>
    </cfRule>
  </conditionalFormatting>
  <conditionalFormatting sqref="AB33:AB34">
    <cfRule type="cellIs" dxfId="721" priority="1360" operator="equal">
      <formula>0</formula>
    </cfRule>
  </conditionalFormatting>
  <conditionalFormatting sqref="AB32">
    <cfRule type="cellIs" dxfId="720" priority="1359" operator="equal">
      <formula>0</formula>
    </cfRule>
  </conditionalFormatting>
  <conditionalFormatting sqref="AB39:AB40">
    <cfRule type="cellIs" dxfId="719" priority="1356" operator="equal">
      <formula>0</formula>
    </cfRule>
  </conditionalFormatting>
  <conditionalFormatting sqref="AB38">
    <cfRule type="cellIs" dxfId="718" priority="1355" operator="equal">
      <formula>0</formula>
    </cfRule>
  </conditionalFormatting>
  <conditionalFormatting sqref="AB42:AB43">
    <cfRule type="cellIs" dxfId="717" priority="1354" operator="equal">
      <formula>0</formula>
    </cfRule>
  </conditionalFormatting>
  <conditionalFormatting sqref="AB41">
    <cfRule type="cellIs" dxfId="716" priority="1353" operator="equal">
      <formula>0</formula>
    </cfRule>
  </conditionalFormatting>
  <conditionalFormatting sqref="D170:AB170">
    <cfRule type="cellIs" dxfId="715" priority="1352" operator="equal">
      <formula>0</formula>
    </cfRule>
  </conditionalFormatting>
  <conditionalFormatting sqref="D171:AB171">
    <cfRule type="cellIs" dxfId="714" priority="1351" operator="equal">
      <formula>0</formula>
    </cfRule>
  </conditionalFormatting>
  <conditionalFormatting sqref="AE292:AE306">
    <cfRule type="notContainsBlanks" dxfId="713" priority="1349">
      <formula>LEN(TRIM(AE292))&gt;0</formula>
    </cfRule>
  </conditionalFormatting>
  <conditionalFormatting sqref="AD292">
    <cfRule type="notContainsBlanks" dxfId="712" priority="1350">
      <formula>LEN(TRIM(AD292))&gt;0</formula>
    </cfRule>
  </conditionalFormatting>
  <conditionalFormatting sqref="AB293:AB300 AB310:AB311 AB302:AB306">
    <cfRule type="cellIs" dxfId="711" priority="1348" operator="equal">
      <formula>0</formula>
    </cfRule>
  </conditionalFormatting>
  <conditionalFormatting sqref="AE323:AE330 AE334:AE335 AE337:AE341">
    <cfRule type="notContainsBlanks" dxfId="710" priority="1339">
      <formula>LEN(TRIM(AE323))&gt;0</formula>
    </cfRule>
  </conditionalFormatting>
  <conditionalFormatting sqref="AD323 AD337">
    <cfRule type="notContainsBlanks" dxfId="709" priority="1340">
      <formula>LEN(TRIM(AD323))&gt;0</formula>
    </cfRule>
  </conditionalFormatting>
  <conditionalFormatting sqref="AB334 AB324:AB328 AB330">
    <cfRule type="cellIs" dxfId="708" priority="1338" operator="equal">
      <formula>0</formula>
    </cfRule>
  </conditionalFormatting>
  <conditionalFormatting sqref="D323:AB323">
    <cfRule type="cellIs" dxfId="707" priority="1337" operator="equal">
      <formula>0</formula>
    </cfRule>
  </conditionalFormatting>
  <conditionalFormatting sqref="AE342:AE343 AE354:AE356">
    <cfRule type="notContainsBlanks" dxfId="706" priority="1334">
      <formula>LEN(TRIM(AE342))&gt;0</formula>
    </cfRule>
  </conditionalFormatting>
  <conditionalFormatting sqref="AB354:AB356">
    <cfRule type="cellIs" dxfId="705" priority="1333" operator="equal">
      <formula>0</formula>
    </cfRule>
  </conditionalFormatting>
  <conditionalFormatting sqref="AE357">
    <cfRule type="notContainsBlanks" dxfId="704" priority="1331">
      <formula>LEN(TRIM(AE357))&gt;0</formula>
    </cfRule>
  </conditionalFormatting>
  <conditionalFormatting sqref="AE331:AE333">
    <cfRule type="notContainsBlanks" dxfId="703" priority="1328">
      <formula>LEN(TRIM(AE331))&gt;0</formula>
    </cfRule>
  </conditionalFormatting>
  <conditionalFormatting sqref="AB331:AB333">
    <cfRule type="cellIs" dxfId="702" priority="1327" operator="equal">
      <formula>0</formula>
    </cfRule>
  </conditionalFormatting>
  <conditionalFormatting sqref="AE344:AE346">
    <cfRule type="notContainsBlanks" dxfId="701" priority="1319">
      <formula>LEN(TRIM(AE344))&gt;0</formula>
    </cfRule>
  </conditionalFormatting>
  <conditionalFormatting sqref="AB338:AB342 AB344:AB348">
    <cfRule type="cellIs" dxfId="700" priority="1318" operator="equal">
      <formula>0</formula>
    </cfRule>
  </conditionalFormatting>
  <conditionalFormatting sqref="AE352:AE353">
    <cfRule type="notContainsBlanks" dxfId="699" priority="1316">
      <formula>LEN(TRIM(AE352))&gt;0</formula>
    </cfRule>
  </conditionalFormatting>
  <conditionalFormatting sqref="AB352:AB353">
    <cfRule type="cellIs" dxfId="698" priority="1315" operator="equal">
      <formula>0</formula>
    </cfRule>
  </conditionalFormatting>
  <conditionalFormatting sqref="AE349 AE351">
    <cfRule type="notContainsBlanks" dxfId="697" priority="1313">
      <formula>LEN(TRIM(AE349))&gt;0</formula>
    </cfRule>
  </conditionalFormatting>
  <conditionalFormatting sqref="AD351">
    <cfRule type="notContainsBlanks" dxfId="696" priority="1314">
      <formula>LEN(TRIM(AD351))&gt;0</formula>
    </cfRule>
  </conditionalFormatting>
  <conditionalFormatting sqref="AE347:AE348">
    <cfRule type="notContainsBlanks" dxfId="695" priority="1310">
      <formula>LEN(TRIM(AE347))&gt;0</formula>
    </cfRule>
  </conditionalFormatting>
  <conditionalFormatting sqref="D309:AB309">
    <cfRule type="cellIs" dxfId="694" priority="1302" operator="equal">
      <formula>0</formula>
    </cfRule>
  </conditionalFormatting>
  <conditionalFormatting sqref="D337:AB337">
    <cfRule type="cellIs" dxfId="693" priority="1301" operator="equal">
      <formula>0</formula>
    </cfRule>
  </conditionalFormatting>
  <conditionalFormatting sqref="D351:AB351">
    <cfRule type="cellIs" dxfId="692" priority="1300" operator="equal">
      <formula>0</formula>
    </cfRule>
  </conditionalFormatting>
  <conditionalFormatting sqref="L115:AA115 L147:AA147">
    <cfRule type="expression" dxfId="691" priority="1299">
      <formula>L115&gt;L114</formula>
    </cfRule>
  </conditionalFormatting>
  <conditionalFormatting sqref="L114:AA114">
    <cfRule type="expression" dxfId="690" priority="1298">
      <formula>L115&gt;L114</formula>
    </cfRule>
  </conditionalFormatting>
  <conditionalFormatting sqref="M123 O123 Q123 S123 U123 W123 Y123 AA123">
    <cfRule type="expression" dxfId="689" priority="1295">
      <formula>M123&gt;M122</formula>
    </cfRule>
  </conditionalFormatting>
  <conditionalFormatting sqref="M122 O122 Q122 S122 U122 W122 Y122 AA122">
    <cfRule type="expression" dxfId="688" priority="1294">
      <formula>M123&gt;M122</formula>
    </cfRule>
  </conditionalFormatting>
  <conditionalFormatting sqref="L133 N133 P133 R133 T133 V133 X133 Z133">
    <cfRule type="expression" dxfId="687" priority="1291">
      <formula>L133&gt;L132</formula>
    </cfRule>
  </conditionalFormatting>
  <conditionalFormatting sqref="L132 N132 P132 R132 T132 V132 X132 Z132">
    <cfRule type="expression" dxfId="686" priority="1290">
      <formula>L133&gt;L132</formula>
    </cfRule>
  </conditionalFormatting>
  <conditionalFormatting sqref="L137:AA137">
    <cfRule type="expression" dxfId="685" priority="1289">
      <formula>L137&gt;L136</formula>
    </cfRule>
  </conditionalFormatting>
  <conditionalFormatting sqref="L136:AA136">
    <cfRule type="expression" dxfId="684" priority="1288">
      <formula>L137&gt;L136</formula>
    </cfRule>
  </conditionalFormatting>
  <conditionalFormatting sqref="L139:AA139">
    <cfRule type="expression" dxfId="683" priority="1287">
      <formula>L139&gt;L138</formula>
    </cfRule>
  </conditionalFormatting>
  <conditionalFormatting sqref="L138:AA138">
    <cfRule type="expression" dxfId="682" priority="1286">
      <formula>L139&gt;L138</formula>
    </cfRule>
  </conditionalFormatting>
  <conditionalFormatting sqref="L146:AA146">
    <cfRule type="expression" dxfId="681" priority="1284">
      <formula>L147&gt;L146</formula>
    </cfRule>
  </conditionalFormatting>
  <conditionalFormatting sqref="L162:AA162">
    <cfRule type="expression" dxfId="680" priority="1283">
      <formula>L162&gt;L161</formula>
    </cfRule>
  </conditionalFormatting>
  <conditionalFormatting sqref="L161:AA161">
    <cfRule type="expression" dxfId="679" priority="1282">
      <formula>L162&gt;L161</formula>
    </cfRule>
  </conditionalFormatting>
  <conditionalFormatting sqref="L166:AA166">
    <cfRule type="expression" dxfId="678" priority="1281">
      <formula>L166&gt;L165</formula>
    </cfRule>
  </conditionalFormatting>
  <conditionalFormatting sqref="L165:AA165">
    <cfRule type="expression" dxfId="677" priority="1280">
      <formula>L166&gt;L165</formula>
    </cfRule>
  </conditionalFormatting>
  <conditionalFormatting sqref="L164:AA164">
    <cfRule type="expression" dxfId="676" priority="1279">
      <formula>(L164+L165)&gt;L163</formula>
    </cfRule>
  </conditionalFormatting>
  <conditionalFormatting sqref="L165:AA165">
    <cfRule type="expression" dxfId="675" priority="1278">
      <formula>(L164+L165)&gt;L163</formula>
    </cfRule>
  </conditionalFormatting>
  <conditionalFormatting sqref="L163:AA163">
    <cfRule type="expression" dxfId="674" priority="1277">
      <formula>(L164+L165)&gt;L163</formula>
    </cfRule>
  </conditionalFormatting>
  <conditionalFormatting sqref="D292:AB292">
    <cfRule type="cellIs" dxfId="673" priority="1276" operator="equal">
      <formula>0</formula>
    </cfRule>
  </conditionalFormatting>
  <conditionalFormatting sqref="L293:AA293">
    <cfRule type="expression" dxfId="672" priority="1275">
      <formula>(L293+L294+L295)&lt;&gt;L292</formula>
    </cfRule>
  </conditionalFormatting>
  <conditionalFormatting sqref="L294:AA294">
    <cfRule type="expression" dxfId="671" priority="1274">
      <formula>(L293+L294+L295)&lt;&gt;L292</formula>
    </cfRule>
  </conditionalFormatting>
  <conditionalFormatting sqref="L295:AA295">
    <cfRule type="expression" dxfId="670" priority="1273">
      <formula>(L293+L294+L295)&lt;&gt;L292</formula>
    </cfRule>
  </conditionalFormatting>
  <conditionalFormatting sqref="L292:AB292">
    <cfRule type="expression" dxfId="669" priority="1272">
      <formula>(L293+L294+L295)&lt;&gt;L292</formula>
    </cfRule>
  </conditionalFormatting>
  <conditionalFormatting sqref="AB307">
    <cfRule type="expression" dxfId="668" priority="1267">
      <formula>AB307&gt;AB306</formula>
    </cfRule>
  </conditionalFormatting>
  <conditionalFormatting sqref="AB179">
    <cfRule type="expression" dxfId="667" priority="1269">
      <formula>AB179&gt;AB178</formula>
    </cfRule>
  </conditionalFormatting>
  <conditionalFormatting sqref="AB301">
    <cfRule type="expression" dxfId="666" priority="1268">
      <formula>AB301&gt;AB300</formula>
    </cfRule>
  </conditionalFormatting>
  <conditionalFormatting sqref="AB315">
    <cfRule type="expression" dxfId="665" priority="1266">
      <formula>AB315&gt;AB314</formula>
    </cfRule>
  </conditionalFormatting>
  <conditionalFormatting sqref="AB321">
    <cfRule type="expression" dxfId="664" priority="1265">
      <formula>AB321&gt;AB320</formula>
    </cfRule>
  </conditionalFormatting>
  <conditionalFormatting sqref="AB329">
    <cfRule type="expression" dxfId="663" priority="1264">
      <formula>AB329&gt;AB328</formula>
    </cfRule>
  </conditionalFormatting>
  <conditionalFormatting sqref="AB335">
    <cfRule type="expression" dxfId="662" priority="1263">
      <formula>AB335&gt;AB334</formula>
    </cfRule>
  </conditionalFormatting>
  <conditionalFormatting sqref="AB343">
    <cfRule type="expression" dxfId="661" priority="1262">
      <formula>AB343&gt;AB342</formula>
    </cfRule>
  </conditionalFormatting>
  <conditionalFormatting sqref="AB349">
    <cfRule type="expression" dxfId="660" priority="1261">
      <formula>AB349&gt;AB348</formula>
    </cfRule>
  </conditionalFormatting>
  <conditionalFormatting sqref="AB357">
    <cfRule type="expression" dxfId="659" priority="1260">
      <formula>AB357&gt;AB356</formula>
    </cfRule>
  </conditionalFormatting>
  <conditionalFormatting sqref="L110:AA110">
    <cfRule type="expression" dxfId="658" priority="1259">
      <formula>L110&gt;L108</formula>
    </cfRule>
  </conditionalFormatting>
  <conditionalFormatting sqref="L108:AA108">
    <cfRule type="expression" dxfId="657" priority="1257">
      <formula>L110&gt;(L109+L108)</formula>
    </cfRule>
  </conditionalFormatting>
  <conditionalFormatting sqref="L126:AA126">
    <cfRule type="expression" dxfId="656" priority="3309">
      <formula>L127&gt;L126</formula>
    </cfRule>
  </conditionalFormatting>
  <conditionalFormatting sqref="L127:AA127">
    <cfRule type="expression" dxfId="655" priority="3312">
      <formula>L127&gt;L126</formula>
    </cfRule>
  </conditionalFormatting>
  <conditionalFormatting sqref="AE128:AE129">
    <cfRule type="notContainsBlanks" dxfId="654" priority="1253">
      <formula>LEN(TRIM(AE128))&gt;0</formula>
    </cfRule>
  </conditionalFormatting>
  <conditionalFormatting sqref="AB128:AB129">
    <cfRule type="cellIs" dxfId="653" priority="1252" operator="equal">
      <formula>0</formula>
    </cfRule>
  </conditionalFormatting>
  <conditionalFormatting sqref="L128:AA128">
    <cfRule type="expression" dxfId="652" priority="1255">
      <formula>L129&gt;L128</formula>
    </cfRule>
  </conditionalFormatting>
  <conditionalFormatting sqref="L129:AA129">
    <cfRule type="expression" dxfId="651" priority="1256">
      <formula>L129&gt;L128</formula>
    </cfRule>
  </conditionalFormatting>
  <conditionalFormatting sqref="AE124:AE125">
    <cfRule type="notContainsBlanks" dxfId="650" priority="1250">
      <formula>LEN(TRIM(AE124))&gt;0</formula>
    </cfRule>
  </conditionalFormatting>
  <conditionalFormatting sqref="AB124:AB125">
    <cfRule type="cellIs" dxfId="649" priority="1249" operator="equal">
      <formula>0</formula>
    </cfRule>
  </conditionalFormatting>
  <conditionalFormatting sqref="M125 O125 Q125 S125 U125 W125 Y125 AA125">
    <cfRule type="expression" dxfId="648" priority="1248">
      <formula>M125&gt;M124</formula>
    </cfRule>
  </conditionalFormatting>
  <conditionalFormatting sqref="M124 O124 Q124 S124 U124 W124 Y124 AA124">
    <cfRule type="expression" dxfId="647" priority="1247">
      <formula>M125&gt;M124</formula>
    </cfRule>
  </conditionalFormatting>
  <conditionalFormatting sqref="AE116:AE117">
    <cfRule type="notContainsBlanks" dxfId="646" priority="1244">
      <formula>LEN(TRIM(AE116))&gt;0</formula>
    </cfRule>
  </conditionalFormatting>
  <conditionalFormatting sqref="AB116:AB117">
    <cfRule type="cellIs" dxfId="645" priority="1243" operator="equal">
      <formula>0</formula>
    </cfRule>
  </conditionalFormatting>
  <conditionalFormatting sqref="L117:AA117">
    <cfRule type="expression" dxfId="644" priority="1241">
      <formula>L117&gt;L116</formula>
    </cfRule>
  </conditionalFormatting>
  <conditionalFormatting sqref="L116:AA116">
    <cfRule type="expression" dxfId="643" priority="1240">
      <formula>L117&gt;L116</formula>
    </cfRule>
  </conditionalFormatting>
  <conditionalFormatting sqref="AE120:AE121">
    <cfRule type="notContainsBlanks" dxfId="642" priority="1238">
      <formula>LEN(TRIM(AE120))&gt;0</formula>
    </cfRule>
  </conditionalFormatting>
  <conditionalFormatting sqref="L135:AA135">
    <cfRule type="expression" dxfId="641" priority="1226">
      <formula>L135&gt;L134</formula>
    </cfRule>
  </conditionalFormatting>
  <conditionalFormatting sqref="AE130:AE131">
    <cfRule type="notContainsBlanks" dxfId="640" priority="1234">
      <formula>LEN(TRIM(AE130))&gt;0</formula>
    </cfRule>
  </conditionalFormatting>
  <conditionalFormatting sqref="AB130:AB131">
    <cfRule type="cellIs" dxfId="639" priority="1233" operator="equal">
      <formula>0</formula>
    </cfRule>
  </conditionalFormatting>
  <conditionalFormatting sqref="L131 N131 P131 R131 T131 V131 X131 Z131">
    <cfRule type="expression" dxfId="638" priority="1232">
      <formula>L131&gt;L130</formula>
    </cfRule>
  </conditionalFormatting>
  <conditionalFormatting sqref="L130 N130 P130 R130 T130 V130 X130 Z130">
    <cfRule type="expression" dxfId="637" priority="1231">
      <formula>L131&gt;L130</formula>
    </cfRule>
  </conditionalFormatting>
  <conditionalFormatting sqref="AE134:AE135">
    <cfRule type="notContainsBlanks" dxfId="636" priority="1228">
      <formula>LEN(TRIM(AE134))&gt;0</formula>
    </cfRule>
  </conditionalFormatting>
  <conditionalFormatting sqref="AB134:AB135">
    <cfRule type="cellIs" dxfId="635" priority="1227" operator="equal">
      <formula>0</formula>
    </cfRule>
  </conditionalFormatting>
  <conditionalFormatting sqref="L134:AA134">
    <cfRule type="expression" dxfId="634" priority="1225">
      <formula>L135&gt;L134</formula>
    </cfRule>
  </conditionalFormatting>
  <conditionalFormatting sqref="AE140:AE141">
    <cfRule type="notContainsBlanks" dxfId="633" priority="1222">
      <formula>LEN(TRIM(AE140))&gt;0</formula>
    </cfRule>
  </conditionalFormatting>
  <conditionalFormatting sqref="AB140:AB141">
    <cfRule type="cellIs" dxfId="632" priority="1221" operator="equal">
      <formula>0</formula>
    </cfRule>
  </conditionalFormatting>
  <conditionalFormatting sqref="L141:AA141">
    <cfRule type="expression" dxfId="631" priority="1220">
      <formula>L141&gt;L140</formula>
    </cfRule>
  </conditionalFormatting>
  <conditionalFormatting sqref="L140:AA140">
    <cfRule type="expression" dxfId="630" priority="1219">
      <formula>L141&gt;L140</formula>
    </cfRule>
  </conditionalFormatting>
  <conditionalFormatting sqref="AE148:AE149">
    <cfRule type="notContainsBlanks" dxfId="629" priority="1218">
      <formula>LEN(TRIM(AE148))&gt;0</formula>
    </cfRule>
  </conditionalFormatting>
  <conditionalFormatting sqref="AB148:AB149">
    <cfRule type="cellIs" dxfId="628" priority="1217" operator="equal">
      <formula>0</formula>
    </cfRule>
  </conditionalFormatting>
  <conditionalFormatting sqref="L149:AA149">
    <cfRule type="expression" dxfId="627" priority="1216">
      <formula>L149&gt;L148</formula>
    </cfRule>
  </conditionalFormatting>
  <conditionalFormatting sqref="L148:AA148">
    <cfRule type="expression" dxfId="626" priority="1215">
      <formula>L149&gt;L148</formula>
    </cfRule>
  </conditionalFormatting>
  <conditionalFormatting sqref="AE150:AE151">
    <cfRule type="notContainsBlanks" dxfId="625" priority="1214">
      <formula>LEN(TRIM(AE150))&gt;0</formula>
    </cfRule>
  </conditionalFormatting>
  <conditionalFormatting sqref="AE152:AE153">
    <cfRule type="notContainsBlanks" dxfId="624" priority="1210">
      <formula>LEN(TRIM(AE152))&gt;0</formula>
    </cfRule>
  </conditionalFormatting>
  <conditionalFormatting sqref="AB119">
    <cfRule type="expression" dxfId="623" priority="1206">
      <formula>AB119&gt;AB118</formula>
    </cfRule>
  </conditionalFormatting>
  <conditionalFormatting sqref="AB121">
    <cfRule type="expression" dxfId="622" priority="1204">
      <formula>AB121&gt;AB120</formula>
    </cfRule>
  </conditionalFormatting>
  <conditionalFormatting sqref="AE70">
    <cfRule type="notContainsBlanks" dxfId="621" priority="1200">
      <formula>LEN(TRIM(AE70))&gt;0</formula>
    </cfRule>
  </conditionalFormatting>
  <conditionalFormatting sqref="AE66:AE67">
    <cfRule type="notContainsBlanks" dxfId="620" priority="1199">
      <formula>LEN(TRIM(AE66))&gt;0</formula>
    </cfRule>
  </conditionalFormatting>
  <conditionalFormatting sqref="AB66:AB67">
    <cfRule type="cellIs" dxfId="619" priority="1198" operator="equal">
      <formula>0</formula>
    </cfRule>
  </conditionalFormatting>
  <conditionalFormatting sqref="AE65">
    <cfRule type="notContainsBlanks" dxfId="618" priority="1196">
      <formula>LEN(TRIM(AE65))&gt;0</formula>
    </cfRule>
  </conditionalFormatting>
  <conditionalFormatting sqref="AD65">
    <cfRule type="notContainsBlanks" dxfId="617" priority="1197">
      <formula>LEN(TRIM(AD65))&gt;0</formula>
    </cfRule>
  </conditionalFormatting>
  <conditionalFormatting sqref="D65:AB65">
    <cfRule type="cellIs" dxfId="616" priority="1195" operator="equal">
      <formula>0</formula>
    </cfRule>
  </conditionalFormatting>
  <conditionalFormatting sqref="AE75:AE76">
    <cfRule type="notContainsBlanks" dxfId="615" priority="1193">
      <formula>LEN(TRIM(AE75))&gt;0</formula>
    </cfRule>
  </conditionalFormatting>
  <conditionalFormatting sqref="AB75:AB76">
    <cfRule type="cellIs" dxfId="614" priority="1192" operator="equal">
      <formula>0</formula>
    </cfRule>
  </conditionalFormatting>
  <conditionalFormatting sqref="AE77">
    <cfRule type="notContainsBlanks" dxfId="613" priority="1191">
      <formula>LEN(TRIM(AE77))&gt;0</formula>
    </cfRule>
  </conditionalFormatting>
  <conditionalFormatting sqref="AE73:AE74">
    <cfRule type="notContainsBlanks" dxfId="612" priority="1190">
      <formula>LEN(TRIM(AE73))&gt;0</formula>
    </cfRule>
  </conditionalFormatting>
  <conditionalFormatting sqref="AB73:AB74">
    <cfRule type="cellIs" dxfId="611" priority="1189" operator="equal">
      <formula>0</formula>
    </cfRule>
  </conditionalFormatting>
  <conditionalFormatting sqref="AE72">
    <cfRule type="notContainsBlanks" dxfId="610" priority="1187">
      <formula>LEN(TRIM(AE72))&gt;0</formula>
    </cfRule>
  </conditionalFormatting>
  <conditionalFormatting sqref="AD72">
    <cfRule type="notContainsBlanks" dxfId="609" priority="1188">
      <formula>LEN(TRIM(AD72))&gt;0</formula>
    </cfRule>
  </conditionalFormatting>
  <conditionalFormatting sqref="D72:AB72">
    <cfRule type="cellIs" dxfId="608" priority="1186" operator="equal">
      <formula>0</formula>
    </cfRule>
  </conditionalFormatting>
  <conditionalFormatting sqref="AE189:AE190">
    <cfRule type="notContainsBlanks" dxfId="607" priority="1184">
      <formula>LEN(TRIM(AE189))&gt;0</formula>
    </cfRule>
  </conditionalFormatting>
  <conditionalFormatting sqref="AB189:AB190">
    <cfRule type="cellIs" dxfId="606" priority="1183" operator="equal">
      <formula>0</formula>
    </cfRule>
  </conditionalFormatting>
  <conditionalFormatting sqref="AE191">
    <cfRule type="notContainsBlanks" dxfId="605" priority="1182">
      <formula>LEN(TRIM(AE191))&gt;0</formula>
    </cfRule>
  </conditionalFormatting>
  <conditionalFormatting sqref="AE187:AE188">
    <cfRule type="notContainsBlanks" dxfId="604" priority="1181">
      <formula>LEN(TRIM(AE187))&gt;0</formula>
    </cfRule>
  </conditionalFormatting>
  <conditionalFormatting sqref="AB187:AB188">
    <cfRule type="cellIs" dxfId="603" priority="1180" operator="equal">
      <formula>0</formula>
    </cfRule>
  </conditionalFormatting>
  <conditionalFormatting sqref="AE186">
    <cfRule type="notContainsBlanks" dxfId="602" priority="1178">
      <formula>LEN(TRIM(AE186))&gt;0</formula>
    </cfRule>
  </conditionalFormatting>
  <conditionalFormatting sqref="AD186">
    <cfRule type="notContainsBlanks" dxfId="601" priority="1179">
      <formula>LEN(TRIM(AD186))&gt;0</formula>
    </cfRule>
  </conditionalFormatting>
  <conditionalFormatting sqref="D186:AB186">
    <cfRule type="cellIs" dxfId="600" priority="1177" operator="equal">
      <formula>0</formula>
    </cfRule>
  </conditionalFormatting>
  <conditionalFormatting sqref="AB191">
    <cfRule type="expression" dxfId="599" priority="1176">
      <formula>AB191&gt;AB190</formula>
    </cfRule>
  </conditionalFormatting>
  <conditionalFormatting sqref="AE196:AE197">
    <cfRule type="notContainsBlanks" dxfId="598" priority="1175">
      <formula>LEN(TRIM(AE196))&gt;0</formula>
    </cfRule>
  </conditionalFormatting>
  <conditionalFormatting sqref="AB196:AB197">
    <cfRule type="cellIs" dxfId="597" priority="1174" operator="equal">
      <formula>0</formula>
    </cfRule>
  </conditionalFormatting>
  <conditionalFormatting sqref="AE198">
    <cfRule type="notContainsBlanks" dxfId="596" priority="1173">
      <formula>LEN(TRIM(AE198))&gt;0</formula>
    </cfRule>
  </conditionalFormatting>
  <conditionalFormatting sqref="AE194:AE195">
    <cfRule type="notContainsBlanks" dxfId="595" priority="1172">
      <formula>LEN(TRIM(AE194))&gt;0</formula>
    </cfRule>
  </conditionalFormatting>
  <conditionalFormatting sqref="AB194:AB195">
    <cfRule type="cellIs" dxfId="594" priority="1171" operator="equal">
      <formula>0</formula>
    </cfRule>
  </conditionalFormatting>
  <conditionalFormatting sqref="AE193">
    <cfRule type="notContainsBlanks" dxfId="593" priority="1169">
      <formula>LEN(TRIM(AE193))&gt;0</formula>
    </cfRule>
  </conditionalFormatting>
  <conditionalFormatting sqref="AD193">
    <cfRule type="notContainsBlanks" dxfId="592" priority="1170">
      <formula>LEN(TRIM(AD193))&gt;0</formula>
    </cfRule>
  </conditionalFormatting>
  <conditionalFormatting sqref="D193:AB193">
    <cfRule type="cellIs" dxfId="591" priority="1168" operator="equal">
      <formula>0</formula>
    </cfRule>
  </conditionalFormatting>
  <conditionalFormatting sqref="AB198">
    <cfRule type="expression" dxfId="590" priority="862">
      <formula>AB198&lt;(AB213+AB219)</formula>
    </cfRule>
    <cfRule type="expression" dxfId="589" priority="1167">
      <formula>AB198&gt;AB197</formula>
    </cfRule>
  </conditionalFormatting>
  <conditionalFormatting sqref="AE205">
    <cfRule type="notContainsBlanks" dxfId="588" priority="1164">
      <formula>LEN(TRIM(AE205))&gt;0</formula>
    </cfRule>
  </conditionalFormatting>
  <conditionalFormatting sqref="AE201:AE202">
    <cfRule type="notContainsBlanks" dxfId="587" priority="1163">
      <formula>LEN(TRIM(AE201))&gt;0</formula>
    </cfRule>
  </conditionalFormatting>
  <conditionalFormatting sqref="AB201:AB202">
    <cfRule type="cellIs" dxfId="586" priority="1162" operator="equal">
      <formula>0</formula>
    </cfRule>
  </conditionalFormatting>
  <conditionalFormatting sqref="AE200">
    <cfRule type="notContainsBlanks" dxfId="585" priority="1160">
      <formula>LEN(TRIM(AE200))&gt;0</formula>
    </cfRule>
  </conditionalFormatting>
  <conditionalFormatting sqref="AD200">
    <cfRule type="notContainsBlanks" dxfId="584" priority="1161">
      <formula>LEN(TRIM(AD200))&gt;0</formula>
    </cfRule>
  </conditionalFormatting>
  <conditionalFormatting sqref="D200:AB200">
    <cfRule type="cellIs" dxfId="583" priority="1159" operator="equal">
      <formula>0</formula>
    </cfRule>
  </conditionalFormatting>
  <conditionalFormatting sqref="AB205">
    <cfRule type="expression" dxfId="582" priority="1158">
      <formula>AB205&gt;AB204</formula>
    </cfRule>
  </conditionalFormatting>
  <conditionalFormatting sqref="AE211:AE212">
    <cfRule type="notContainsBlanks" dxfId="581" priority="1157">
      <formula>LEN(TRIM(AE211))&gt;0</formula>
    </cfRule>
  </conditionalFormatting>
  <conditionalFormatting sqref="AB211:AB212">
    <cfRule type="cellIs" dxfId="580" priority="1156" operator="equal">
      <formula>0</formula>
    </cfRule>
  </conditionalFormatting>
  <conditionalFormatting sqref="AE213">
    <cfRule type="notContainsBlanks" dxfId="579" priority="1155">
      <formula>LEN(TRIM(AE213))&gt;0</formula>
    </cfRule>
  </conditionalFormatting>
  <conditionalFormatting sqref="AE209:AE210">
    <cfRule type="notContainsBlanks" dxfId="578" priority="1154">
      <formula>LEN(TRIM(AE209))&gt;0</formula>
    </cfRule>
  </conditionalFormatting>
  <conditionalFormatting sqref="AB209:AB210">
    <cfRule type="cellIs" dxfId="577" priority="1153" operator="equal">
      <formula>0</formula>
    </cfRule>
  </conditionalFormatting>
  <conditionalFormatting sqref="AE208">
    <cfRule type="notContainsBlanks" dxfId="576" priority="1151">
      <formula>LEN(TRIM(AE208))&gt;0</formula>
    </cfRule>
  </conditionalFormatting>
  <conditionalFormatting sqref="AD208">
    <cfRule type="notContainsBlanks" dxfId="575" priority="1152">
      <formula>LEN(TRIM(AD208))&gt;0</formula>
    </cfRule>
  </conditionalFormatting>
  <conditionalFormatting sqref="D208:AB208">
    <cfRule type="cellIs" dxfId="574" priority="1150" operator="equal">
      <formula>0</formula>
    </cfRule>
  </conditionalFormatting>
  <conditionalFormatting sqref="AB213">
    <cfRule type="expression" dxfId="573" priority="861">
      <formula>AB198&lt;(AB213+AB219)</formula>
    </cfRule>
    <cfRule type="expression" dxfId="572" priority="1068">
      <formula>AB226&gt;AB213</formula>
    </cfRule>
    <cfRule type="expression" dxfId="571" priority="1149">
      <formula>AB213&gt;AB212</formula>
    </cfRule>
  </conditionalFormatting>
  <conditionalFormatting sqref="AE217:AE218">
    <cfRule type="notContainsBlanks" dxfId="570" priority="1148">
      <formula>LEN(TRIM(AE217))&gt;0</formula>
    </cfRule>
  </conditionalFormatting>
  <conditionalFormatting sqref="AB217:AB218">
    <cfRule type="cellIs" dxfId="569" priority="1147" operator="equal">
      <formula>0</formula>
    </cfRule>
  </conditionalFormatting>
  <conditionalFormatting sqref="AE219">
    <cfRule type="notContainsBlanks" dxfId="568" priority="1146">
      <formula>LEN(TRIM(AE219))&gt;0</formula>
    </cfRule>
  </conditionalFormatting>
  <conditionalFormatting sqref="AE215:AE216">
    <cfRule type="notContainsBlanks" dxfId="567" priority="1145">
      <formula>LEN(TRIM(AE215))&gt;0</formula>
    </cfRule>
  </conditionalFormatting>
  <conditionalFormatting sqref="AB215:AB216">
    <cfRule type="cellIs" dxfId="566" priority="1144" operator="equal">
      <formula>0</formula>
    </cfRule>
  </conditionalFormatting>
  <conditionalFormatting sqref="AE214">
    <cfRule type="notContainsBlanks" dxfId="565" priority="1142">
      <formula>LEN(TRIM(AE214))&gt;0</formula>
    </cfRule>
  </conditionalFormatting>
  <conditionalFormatting sqref="D214:AB214">
    <cfRule type="cellIs" dxfId="564" priority="1141" operator="equal">
      <formula>0</formula>
    </cfRule>
  </conditionalFormatting>
  <conditionalFormatting sqref="AB219">
    <cfRule type="expression" dxfId="563" priority="1106">
      <formula>AB232&gt;AB219</formula>
    </cfRule>
    <cfRule type="expression" dxfId="562" priority="1140">
      <formula>AB219&gt;AB218</formula>
    </cfRule>
  </conditionalFormatting>
  <conditionalFormatting sqref="D207:AB207">
    <cfRule type="cellIs" dxfId="561" priority="1139" operator="equal">
      <formula>0</formula>
    </cfRule>
  </conditionalFormatting>
  <conditionalFormatting sqref="AE224:AE225">
    <cfRule type="notContainsBlanks" dxfId="560" priority="1138">
      <formula>LEN(TRIM(AE224))&gt;0</formula>
    </cfRule>
  </conditionalFormatting>
  <conditionalFormatting sqref="AB224:AB225">
    <cfRule type="cellIs" dxfId="559" priority="1137" operator="equal">
      <formula>0</formula>
    </cfRule>
  </conditionalFormatting>
  <conditionalFormatting sqref="AE226">
    <cfRule type="notContainsBlanks" dxfId="558" priority="1136">
      <formula>LEN(TRIM(AE226))&gt;0</formula>
    </cfRule>
  </conditionalFormatting>
  <conditionalFormatting sqref="AE222:AE223">
    <cfRule type="notContainsBlanks" dxfId="557" priority="1135">
      <formula>LEN(TRIM(AE222))&gt;0</formula>
    </cfRule>
  </conditionalFormatting>
  <conditionalFormatting sqref="AB222:AB223">
    <cfRule type="cellIs" dxfId="556" priority="1134" operator="equal">
      <formula>0</formula>
    </cfRule>
  </conditionalFormatting>
  <conditionalFormatting sqref="AE221">
    <cfRule type="notContainsBlanks" dxfId="555" priority="1132">
      <formula>LEN(TRIM(AE221))&gt;0</formula>
    </cfRule>
  </conditionalFormatting>
  <conditionalFormatting sqref="D221:AB221">
    <cfRule type="cellIs" dxfId="554" priority="1131" operator="equal">
      <formula>0</formula>
    </cfRule>
  </conditionalFormatting>
  <conditionalFormatting sqref="AE230:AE231">
    <cfRule type="notContainsBlanks" dxfId="553" priority="1129">
      <formula>LEN(TRIM(AE230))&gt;0</formula>
    </cfRule>
  </conditionalFormatting>
  <conditionalFormatting sqref="AB230:AB231">
    <cfRule type="cellIs" dxfId="552" priority="1128" operator="equal">
      <formula>0</formula>
    </cfRule>
  </conditionalFormatting>
  <conditionalFormatting sqref="AE232">
    <cfRule type="notContainsBlanks" dxfId="551" priority="1127">
      <formula>LEN(TRIM(AE232))&gt;0</formula>
    </cfRule>
  </conditionalFormatting>
  <conditionalFormatting sqref="AE228:AE229">
    <cfRule type="notContainsBlanks" dxfId="550" priority="1126">
      <formula>LEN(TRIM(AE228))&gt;0</formula>
    </cfRule>
  </conditionalFormatting>
  <conditionalFormatting sqref="AB228:AB229">
    <cfRule type="cellIs" dxfId="549" priority="1125" operator="equal">
      <formula>0</formula>
    </cfRule>
  </conditionalFormatting>
  <conditionalFormatting sqref="AE227">
    <cfRule type="notContainsBlanks" dxfId="548" priority="1123">
      <formula>LEN(TRIM(AE227))&gt;0</formula>
    </cfRule>
  </conditionalFormatting>
  <conditionalFormatting sqref="D227:AB227">
    <cfRule type="cellIs" dxfId="547" priority="1122" operator="equal">
      <formula>0</formula>
    </cfRule>
  </conditionalFormatting>
  <conditionalFormatting sqref="AB232">
    <cfRule type="expression" dxfId="546" priority="1107">
      <formula>AB232&gt;AB219</formula>
    </cfRule>
    <cfRule type="expression" dxfId="545" priority="1121">
      <formula>AB232&gt;AB231</formula>
    </cfRule>
  </conditionalFormatting>
  <conditionalFormatting sqref="D220:AB220">
    <cfRule type="cellIs" dxfId="544" priority="1120" operator="equal">
      <formula>0</formula>
    </cfRule>
  </conditionalFormatting>
  <conditionalFormatting sqref="AF208">
    <cfRule type="notContainsBlanks" dxfId="543" priority="3313">
      <formula>LEN(TRIM(AF208))&gt;0</formula>
    </cfRule>
  </conditionalFormatting>
  <conditionalFormatting sqref="AE154:AE155">
    <cfRule type="notContainsBlanks" dxfId="542" priority="1118">
      <formula>LEN(TRIM(AE154))&gt;0</formula>
    </cfRule>
  </conditionalFormatting>
  <conditionalFormatting sqref="AE156:AE157">
    <cfRule type="notContainsBlanks" dxfId="541" priority="1114">
      <formula>LEN(TRIM(AE156))&gt;0</formula>
    </cfRule>
  </conditionalFormatting>
  <conditionalFormatting sqref="D154:AB157">
    <cfRule type="cellIs" dxfId="540" priority="1110" operator="equal">
      <formula>0</formula>
    </cfRule>
  </conditionalFormatting>
  <conditionalFormatting sqref="L231:AA231">
    <cfRule type="expression" dxfId="539" priority="1109">
      <formula>L231&gt;L218</formula>
    </cfRule>
  </conditionalFormatting>
  <conditionalFormatting sqref="L218:AA218">
    <cfRule type="expression" dxfId="538" priority="1108">
      <formula>L231&gt;L218</formula>
    </cfRule>
  </conditionalFormatting>
  <conditionalFormatting sqref="L230:AA230">
    <cfRule type="expression" dxfId="537" priority="1105">
      <formula>L230&gt;L217</formula>
    </cfRule>
  </conditionalFormatting>
  <conditionalFormatting sqref="L217:AA217">
    <cfRule type="expression" dxfId="536" priority="1104">
      <formula>L230&gt;L217</formula>
    </cfRule>
  </conditionalFormatting>
  <conditionalFormatting sqref="L229">
    <cfRule type="expression" dxfId="535" priority="1103">
      <formula>L229&gt;L216</formula>
    </cfRule>
  </conditionalFormatting>
  <conditionalFormatting sqref="L216">
    <cfRule type="expression" dxfId="534" priority="854">
      <formula>(L216+L210)&gt;L195</formula>
    </cfRule>
    <cfRule type="expression" dxfId="533" priority="1102">
      <formula>L229&gt;L216</formula>
    </cfRule>
  </conditionalFormatting>
  <conditionalFormatting sqref="N229">
    <cfRule type="expression" dxfId="532" priority="1101">
      <formula>N229&gt;N216</formula>
    </cfRule>
  </conditionalFormatting>
  <conditionalFormatting sqref="P229">
    <cfRule type="expression" dxfId="531" priority="1100">
      <formula>P229&gt;P216</formula>
    </cfRule>
  </conditionalFormatting>
  <conditionalFormatting sqref="R229">
    <cfRule type="expression" dxfId="530" priority="1099">
      <formula>R229&gt;R216</formula>
    </cfRule>
  </conditionalFormatting>
  <conditionalFormatting sqref="T229">
    <cfRule type="expression" dxfId="529" priority="1098">
      <formula>T229&gt;T216</formula>
    </cfRule>
  </conditionalFormatting>
  <conditionalFormatting sqref="V229">
    <cfRule type="expression" dxfId="528" priority="1097">
      <formula>V229&gt;V216</formula>
    </cfRule>
  </conditionalFormatting>
  <conditionalFormatting sqref="X229">
    <cfRule type="expression" dxfId="527" priority="1096">
      <formula>X229&gt;X216</formula>
    </cfRule>
  </conditionalFormatting>
  <conditionalFormatting sqref="Z229">
    <cfRule type="expression" dxfId="526" priority="1095">
      <formula>Z229&gt;Z216</formula>
    </cfRule>
  </conditionalFormatting>
  <conditionalFormatting sqref="M228">
    <cfRule type="expression" dxfId="525" priority="1087">
      <formula>M228&gt;M215</formula>
    </cfRule>
  </conditionalFormatting>
  <conditionalFormatting sqref="M215">
    <cfRule type="expression" dxfId="524" priority="778">
      <formula>M215&gt;M209</formula>
    </cfRule>
    <cfRule type="expression" dxfId="523" priority="816">
      <formula>(M215+M209)&gt;M194</formula>
    </cfRule>
    <cfRule type="expression" dxfId="522" priority="1086">
      <formula>M228&gt;M215</formula>
    </cfRule>
  </conditionalFormatting>
  <conditionalFormatting sqref="O228">
    <cfRule type="expression" dxfId="521" priority="1085">
      <formula>O228&gt;O215</formula>
    </cfRule>
  </conditionalFormatting>
  <conditionalFormatting sqref="Q228">
    <cfRule type="expression" dxfId="520" priority="1084">
      <formula>Q228&gt;Q215</formula>
    </cfRule>
  </conditionalFormatting>
  <conditionalFormatting sqref="S228">
    <cfRule type="expression" dxfId="519" priority="1083">
      <formula>S228&gt;S215</formula>
    </cfRule>
  </conditionalFormatting>
  <conditionalFormatting sqref="U228">
    <cfRule type="expression" dxfId="518" priority="1082">
      <formula>U228&gt;U215</formula>
    </cfRule>
  </conditionalFormatting>
  <conditionalFormatting sqref="W228">
    <cfRule type="expression" dxfId="517" priority="1081">
      <formula>W228&gt;W215</formula>
    </cfRule>
  </conditionalFormatting>
  <conditionalFormatting sqref="Y228">
    <cfRule type="expression" dxfId="516" priority="1080">
      <formula>Y228&gt;Y215</formula>
    </cfRule>
  </conditionalFormatting>
  <conditionalFormatting sqref="AA228">
    <cfRule type="expression" dxfId="515" priority="1079">
      <formula>AA228&gt;AA215</formula>
    </cfRule>
  </conditionalFormatting>
  <conditionalFormatting sqref="L227:AA227">
    <cfRule type="expression" dxfId="514" priority="1071">
      <formula>L227&gt;L214</formula>
    </cfRule>
  </conditionalFormatting>
  <conditionalFormatting sqref="L214:AA214">
    <cfRule type="expression" dxfId="513" priority="1070">
      <formula>L227&gt;L214</formula>
    </cfRule>
  </conditionalFormatting>
  <conditionalFormatting sqref="AB226">
    <cfRule type="expression" dxfId="512" priority="863">
      <formula>(AB213+AB219)&gt;AB198</formula>
    </cfRule>
    <cfRule type="expression" dxfId="511" priority="1069">
      <formula>AB226&gt;AB213</formula>
    </cfRule>
  </conditionalFormatting>
  <conditionalFormatting sqref="L225:AA225">
    <cfRule type="expression" dxfId="510" priority="1067">
      <formula>L225&gt;L212</formula>
    </cfRule>
  </conditionalFormatting>
  <conditionalFormatting sqref="L212:AA212">
    <cfRule type="expression" dxfId="509" priority="1066">
      <formula>L225&gt;L212</formula>
    </cfRule>
  </conditionalFormatting>
  <conditionalFormatting sqref="L224:AA224">
    <cfRule type="expression" dxfId="508" priority="1065">
      <formula>L224&gt;L211</formula>
    </cfRule>
  </conditionalFormatting>
  <conditionalFormatting sqref="L211:AA211">
    <cfRule type="expression" dxfId="507" priority="1064">
      <formula>L224&gt;L211</formula>
    </cfRule>
  </conditionalFormatting>
  <conditionalFormatting sqref="L223">
    <cfRule type="expression" dxfId="506" priority="1063">
      <formula>L223&gt;L210</formula>
    </cfRule>
  </conditionalFormatting>
  <conditionalFormatting sqref="L210">
    <cfRule type="expression" dxfId="505" priority="853">
      <formula>(L216+L210)&gt;L195</formula>
    </cfRule>
    <cfRule type="expression" dxfId="504" priority="1062">
      <formula>L223&gt;L210</formula>
    </cfRule>
  </conditionalFormatting>
  <conditionalFormatting sqref="N223">
    <cfRule type="expression" dxfId="503" priority="1061">
      <formula>N223&gt;N210</formula>
    </cfRule>
  </conditionalFormatting>
  <conditionalFormatting sqref="P223">
    <cfRule type="expression" dxfId="502" priority="1060">
      <formula>P223&gt;P210</formula>
    </cfRule>
  </conditionalFormatting>
  <conditionalFormatting sqref="R223">
    <cfRule type="expression" dxfId="501" priority="1059">
      <formula>R223&gt;R210</formula>
    </cfRule>
  </conditionalFormatting>
  <conditionalFormatting sqref="T223">
    <cfRule type="expression" dxfId="500" priority="1058">
      <formula>T223&gt;T210</formula>
    </cfRule>
  </conditionalFormatting>
  <conditionalFormatting sqref="V223">
    <cfRule type="expression" dxfId="499" priority="1057">
      <formula>V223&gt;V210</formula>
    </cfRule>
  </conditionalFormatting>
  <conditionalFormatting sqref="X223">
    <cfRule type="expression" dxfId="498" priority="1056">
      <formula>X223&gt;X210</formula>
    </cfRule>
  </conditionalFormatting>
  <conditionalFormatting sqref="Z223">
    <cfRule type="expression" dxfId="497" priority="1055">
      <formula>Z223&gt;Z210</formula>
    </cfRule>
  </conditionalFormatting>
  <conditionalFormatting sqref="M222">
    <cfRule type="expression" dxfId="496" priority="1047">
      <formula>M222&gt;M209</formula>
    </cfRule>
  </conditionalFormatting>
  <conditionalFormatting sqref="M209">
    <cfRule type="expression" dxfId="495" priority="777">
      <formula>M215&gt;M209</formula>
    </cfRule>
    <cfRule type="expression" dxfId="494" priority="815">
      <formula>(M215+M209)&gt;M194</formula>
    </cfRule>
    <cfRule type="expression" dxfId="493" priority="1046">
      <formula>M222&gt;M209</formula>
    </cfRule>
  </conditionalFormatting>
  <conditionalFormatting sqref="O222">
    <cfRule type="expression" dxfId="492" priority="1045">
      <formula>O222&gt;O209</formula>
    </cfRule>
  </conditionalFormatting>
  <conditionalFormatting sqref="Q222">
    <cfRule type="expression" dxfId="491" priority="1044">
      <formula>Q222&gt;Q209</formula>
    </cfRule>
  </conditionalFormatting>
  <conditionalFormatting sqref="S222">
    <cfRule type="expression" dxfId="490" priority="1043">
      <formula>S222&gt;S209</formula>
    </cfRule>
  </conditionalFormatting>
  <conditionalFormatting sqref="U222">
    <cfRule type="expression" dxfId="489" priority="1042">
      <formula>U222&gt;U209</formula>
    </cfRule>
  </conditionalFormatting>
  <conditionalFormatting sqref="W222">
    <cfRule type="expression" dxfId="488" priority="1041">
      <formula>W222&gt;W209</formula>
    </cfRule>
  </conditionalFormatting>
  <conditionalFormatting sqref="Y222">
    <cfRule type="expression" dxfId="487" priority="1040">
      <formula>Y222&gt;Y209</formula>
    </cfRule>
  </conditionalFormatting>
  <conditionalFormatting sqref="AA222">
    <cfRule type="expression" dxfId="486" priority="1039">
      <formula>AA222&gt;AA209</formula>
    </cfRule>
  </conditionalFormatting>
  <conditionalFormatting sqref="L221:AB221">
    <cfRule type="expression" dxfId="485" priority="1031">
      <formula>L221&gt;L208</formula>
    </cfRule>
  </conditionalFormatting>
  <conditionalFormatting sqref="L208:AB208">
    <cfRule type="expression" dxfId="484" priority="1030">
      <formula>L221&gt;L208</formula>
    </cfRule>
  </conditionalFormatting>
  <conditionalFormatting sqref="M66">
    <cfRule type="expression" dxfId="483" priority="191">
      <formula>(M249+M66)&gt;M55</formula>
    </cfRule>
    <cfRule type="expression" dxfId="482" priority="1027">
      <formula>M66&gt;M27</formula>
    </cfRule>
  </conditionalFormatting>
  <conditionalFormatting sqref="D23:AB23">
    <cfRule type="cellIs" dxfId="481" priority="983" operator="equal">
      <formula>0</formula>
    </cfRule>
  </conditionalFormatting>
  <conditionalFormatting sqref="AF65">
    <cfRule type="notContainsBlanks" dxfId="480" priority="982">
      <formula>LEN(TRIM(AF65))&gt;0</formula>
    </cfRule>
  </conditionalFormatting>
  <conditionalFormatting sqref="L65:AB65">
    <cfRule type="expression" dxfId="479" priority="981">
      <formula>L65&lt;L23</formula>
    </cfRule>
  </conditionalFormatting>
  <conditionalFormatting sqref="L23:AB23">
    <cfRule type="expression" dxfId="478" priority="980">
      <formula>L65&lt;L23</formula>
    </cfRule>
  </conditionalFormatting>
  <conditionalFormatting sqref="M73">
    <cfRule type="expression" dxfId="477" priority="979">
      <formula>M66&gt;M73</formula>
    </cfRule>
  </conditionalFormatting>
  <conditionalFormatting sqref="O73">
    <cfRule type="expression" dxfId="476" priority="977">
      <formula>O66&gt;O73</formula>
    </cfRule>
  </conditionalFormatting>
  <conditionalFormatting sqref="Q73">
    <cfRule type="expression" dxfId="475" priority="976">
      <formula>Q66&gt;Q73</formula>
    </cfRule>
  </conditionalFormatting>
  <conditionalFormatting sqref="S73">
    <cfRule type="expression" dxfId="474" priority="975">
      <formula>S66&gt;S73</formula>
    </cfRule>
  </conditionalFormatting>
  <conditionalFormatting sqref="U73">
    <cfRule type="expression" dxfId="473" priority="974">
      <formula>U66&gt;U73</formula>
    </cfRule>
  </conditionalFormatting>
  <conditionalFormatting sqref="W73">
    <cfRule type="expression" dxfId="472" priority="973">
      <formula>W66&gt;W73</formula>
    </cfRule>
  </conditionalFormatting>
  <conditionalFormatting sqref="Y73">
    <cfRule type="expression" dxfId="471" priority="972">
      <formula>Y66&gt;Y73</formula>
    </cfRule>
  </conditionalFormatting>
  <conditionalFormatting sqref="AA73">
    <cfRule type="expression" dxfId="470" priority="971">
      <formula>AA66&gt;AA73</formula>
    </cfRule>
  </conditionalFormatting>
  <conditionalFormatting sqref="L74">
    <cfRule type="expression" dxfId="469" priority="970">
      <formula>L74&lt;L67</formula>
    </cfRule>
  </conditionalFormatting>
  <conditionalFormatting sqref="N74">
    <cfRule type="expression" dxfId="468" priority="954">
      <formula>N74&lt;N67</formula>
    </cfRule>
  </conditionalFormatting>
  <conditionalFormatting sqref="P74">
    <cfRule type="expression" dxfId="467" priority="953">
      <formula>P74&lt;P67</formula>
    </cfRule>
  </conditionalFormatting>
  <conditionalFormatting sqref="R74">
    <cfRule type="expression" dxfId="466" priority="952">
      <formula>R74&lt;R67</formula>
    </cfRule>
  </conditionalFormatting>
  <conditionalFormatting sqref="T74">
    <cfRule type="expression" dxfId="465" priority="951">
      <formula>T74&lt;T67</formula>
    </cfRule>
  </conditionalFormatting>
  <conditionalFormatting sqref="V74">
    <cfRule type="expression" dxfId="464" priority="950">
      <formula>V74&lt;V67</formula>
    </cfRule>
  </conditionalFormatting>
  <conditionalFormatting sqref="X74">
    <cfRule type="expression" dxfId="463" priority="949">
      <formula>X74&lt;X67</formula>
    </cfRule>
  </conditionalFormatting>
  <conditionalFormatting sqref="Z74">
    <cfRule type="expression" dxfId="462" priority="948">
      <formula>Z74&lt;Z67</formula>
    </cfRule>
  </conditionalFormatting>
  <conditionalFormatting sqref="L75:AA75">
    <cfRule type="expression" dxfId="461" priority="947">
      <formula>L75&lt;L68</formula>
    </cfRule>
  </conditionalFormatting>
  <conditionalFormatting sqref="L76:AA76">
    <cfRule type="expression" dxfId="460" priority="945">
      <formula>L69&gt;L76</formula>
    </cfRule>
  </conditionalFormatting>
  <conditionalFormatting sqref="L23:AB23">
    <cfRule type="expression" dxfId="459" priority="940">
      <formula>(L109+L108)&gt;$L$23</formula>
    </cfRule>
  </conditionalFormatting>
  <conditionalFormatting sqref="L30:AA30">
    <cfRule type="expression" dxfId="458" priority="935">
      <formula>(L116+L114)&gt;L30</formula>
    </cfRule>
  </conditionalFormatting>
  <conditionalFormatting sqref="L42:AA42">
    <cfRule type="expression" dxfId="457" priority="905">
      <formula>(L126+L128)&gt;L42</formula>
    </cfRule>
  </conditionalFormatting>
  <conditionalFormatting sqref="D150:AB153">
    <cfRule type="cellIs" dxfId="456" priority="880" operator="equal">
      <formula>0</formula>
    </cfRule>
  </conditionalFormatting>
  <conditionalFormatting sqref="D154:AB154">
    <cfRule type="expression" dxfId="455" priority="879">
      <formula>D154&lt;&gt;D150</formula>
    </cfRule>
  </conditionalFormatting>
  <conditionalFormatting sqref="D150:AB150">
    <cfRule type="expression" dxfId="454" priority="878">
      <formula>D154&lt;&gt;D150</formula>
    </cfRule>
  </conditionalFormatting>
  <conditionalFormatting sqref="D151:AB151">
    <cfRule type="expression" dxfId="453" priority="877">
      <formula>D151&lt;&gt;D155</formula>
    </cfRule>
  </conditionalFormatting>
  <conditionalFormatting sqref="D152:AB152">
    <cfRule type="expression" dxfId="452" priority="876">
      <formula>D152&lt;&gt;D156</formula>
    </cfRule>
  </conditionalFormatting>
  <conditionalFormatting sqref="D153:AB153">
    <cfRule type="expression" dxfId="451" priority="874">
      <formula>D153&lt;&gt;D157</formula>
    </cfRule>
  </conditionalFormatting>
  <conditionalFormatting sqref="D157:AB157">
    <cfRule type="expression" dxfId="450" priority="873">
      <formula>D153&lt;&gt;D157</formula>
    </cfRule>
  </conditionalFormatting>
  <conditionalFormatting sqref="D156:AB156">
    <cfRule type="expression" dxfId="449" priority="872">
      <formula>D152&lt;&gt;D156</formula>
    </cfRule>
  </conditionalFormatting>
  <conditionalFormatting sqref="D155:AB155">
    <cfRule type="expression" dxfId="448" priority="871">
      <formula>D151&lt;&gt;D155</formula>
    </cfRule>
  </conditionalFormatting>
  <conditionalFormatting sqref="L182:AA182">
    <cfRule type="expression" dxfId="447" priority="870">
      <formula>(L182+L183+L184)&lt;&gt;L171</formula>
    </cfRule>
  </conditionalFormatting>
  <conditionalFormatting sqref="L183:AA183">
    <cfRule type="expression" dxfId="446" priority="869">
      <formula>(L182+L183+L184)&lt;&gt;L171</formula>
    </cfRule>
  </conditionalFormatting>
  <conditionalFormatting sqref="L184:AA184">
    <cfRule type="expression" dxfId="445" priority="868">
      <formula>(L182+L183+L184)&lt;&gt;L171</formula>
    </cfRule>
  </conditionalFormatting>
  <conditionalFormatting sqref="L171:AA171">
    <cfRule type="expression" dxfId="444" priority="867">
      <formula>(L182+L183+L184)&lt;&gt;L171</formula>
    </cfRule>
  </conditionalFormatting>
  <conditionalFormatting sqref="D155:AB155">
    <cfRule type="expression" dxfId="443" priority="866">
      <formula>(D155+D157)&lt;D186</formula>
    </cfRule>
  </conditionalFormatting>
  <conditionalFormatting sqref="D157:AB157">
    <cfRule type="expression" dxfId="442" priority="865">
      <formula>(D155+D157)&lt;D186</formula>
    </cfRule>
  </conditionalFormatting>
  <conditionalFormatting sqref="D186:AA186">
    <cfRule type="expression" dxfId="441" priority="864">
      <formula>(D155+D157)&lt;D186</formula>
    </cfRule>
  </conditionalFormatting>
  <conditionalFormatting sqref="L218:AA218">
    <cfRule type="expression" dxfId="440" priority="860">
      <formula>(L218+L212)&gt;L197</formula>
    </cfRule>
  </conditionalFormatting>
  <conditionalFormatting sqref="L212:AA212">
    <cfRule type="expression" dxfId="439" priority="859">
      <formula>(L218+L212)&gt;L197</formula>
    </cfRule>
  </conditionalFormatting>
  <conditionalFormatting sqref="L197:AA197">
    <cfRule type="expression" dxfId="438" priority="858">
      <formula>(L218+L212)&gt;L197</formula>
    </cfRule>
  </conditionalFormatting>
  <conditionalFormatting sqref="L217:AA217">
    <cfRule type="expression" dxfId="437" priority="857">
      <formula>(L217+L211)&gt;L196</formula>
    </cfRule>
  </conditionalFormatting>
  <conditionalFormatting sqref="L211:AA211">
    <cfRule type="expression" dxfId="436" priority="856">
      <formula>(L217+L211)&gt;L196</formula>
    </cfRule>
  </conditionalFormatting>
  <conditionalFormatting sqref="L196:AA196">
    <cfRule type="expression" dxfId="435" priority="855">
      <formula>(L217+L211)&gt;L196</formula>
    </cfRule>
  </conditionalFormatting>
  <conditionalFormatting sqref="L195">
    <cfRule type="expression" dxfId="434" priority="852">
      <formula>(L216+L210)&gt;L195</formula>
    </cfRule>
  </conditionalFormatting>
  <conditionalFormatting sqref="N195">
    <cfRule type="expression" dxfId="433" priority="851">
      <formula>(N216+N210)&gt;N195</formula>
    </cfRule>
  </conditionalFormatting>
  <conditionalFormatting sqref="P195">
    <cfRule type="expression" dxfId="432" priority="850">
      <formula>(P216+P210)&gt;P195</formula>
    </cfRule>
  </conditionalFormatting>
  <conditionalFormatting sqref="R195">
    <cfRule type="expression" dxfId="431" priority="849">
      <formula>(R216+R210)&gt;R195</formula>
    </cfRule>
  </conditionalFormatting>
  <conditionalFormatting sqref="T195">
    <cfRule type="expression" dxfId="430" priority="848">
      <formula>(T216+T210)&gt;T195</formula>
    </cfRule>
  </conditionalFormatting>
  <conditionalFormatting sqref="V195">
    <cfRule type="expression" dxfId="429" priority="847">
      <formula>(V216+V210)&gt;V195</formula>
    </cfRule>
  </conditionalFormatting>
  <conditionalFormatting sqref="X195">
    <cfRule type="expression" dxfId="428" priority="846">
      <formula>(X216+X210)&gt;X195</formula>
    </cfRule>
  </conditionalFormatting>
  <conditionalFormatting sqref="Z195">
    <cfRule type="expression" dxfId="427" priority="845">
      <formula>(Z216+Z210)&gt;Z195</formula>
    </cfRule>
  </conditionalFormatting>
  <conditionalFormatting sqref="N210">
    <cfRule type="expression" dxfId="426" priority="843">
      <formula>(N216+N210)&gt;N195</formula>
    </cfRule>
    <cfRule type="expression" dxfId="425" priority="844">
      <formula>N223&gt;N210</formula>
    </cfRule>
  </conditionalFormatting>
  <conditionalFormatting sqref="P210">
    <cfRule type="expression" dxfId="424" priority="841">
      <formula>(P216+P210)&gt;P195</formula>
    </cfRule>
    <cfRule type="expression" dxfId="423" priority="842">
      <formula>P223&gt;P210</formula>
    </cfRule>
  </conditionalFormatting>
  <conditionalFormatting sqref="R210">
    <cfRule type="expression" dxfId="422" priority="839">
      <formula>(R216+R210)&gt;R195</formula>
    </cfRule>
    <cfRule type="expression" dxfId="421" priority="840">
      <formula>R223&gt;R210</formula>
    </cfRule>
  </conditionalFormatting>
  <conditionalFormatting sqref="T210">
    <cfRule type="expression" dxfId="420" priority="837">
      <formula>(T216+T210)&gt;T195</formula>
    </cfRule>
    <cfRule type="expression" dxfId="419" priority="838">
      <formula>T223&gt;T210</formula>
    </cfRule>
  </conditionalFormatting>
  <conditionalFormatting sqref="V210">
    <cfRule type="expression" dxfId="418" priority="835">
      <formula>(V216+V210)&gt;V195</formula>
    </cfRule>
    <cfRule type="expression" dxfId="417" priority="836">
      <formula>V223&gt;V210</formula>
    </cfRule>
  </conditionalFormatting>
  <conditionalFormatting sqref="X210">
    <cfRule type="expression" dxfId="416" priority="833">
      <formula>(X216+X210)&gt;X195</formula>
    </cfRule>
    <cfRule type="expression" dxfId="415" priority="834">
      <formula>X223&gt;X210</formula>
    </cfRule>
  </conditionalFormatting>
  <conditionalFormatting sqref="Z210">
    <cfRule type="expression" dxfId="414" priority="831">
      <formula>(Z216+Z210)&gt;Z195</formula>
    </cfRule>
    <cfRule type="expression" dxfId="413" priority="832">
      <formula>Z223&gt;Z210</formula>
    </cfRule>
  </conditionalFormatting>
  <conditionalFormatting sqref="N216">
    <cfRule type="expression" dxfId="412" priority="829">
      <formula>(N216+N210)&gt;N195</formula>
    </cfRule>
    <cfRule type="expression" dxfId="411" priority="830">
      <formula>N229&gt;N216</formula>
    </cfRule>
  </conditionalFormatting>
  <conditionalFormatting sqref="P216">
    <cfRule type="expression" dxfId="410" priority="827">
      <formula>(P216+P210)&gt;P195</formula>
    </cfRule>
    <cfRule type="expression" dxfId="409" priority="828">
      <formula>P229&gt;P216</formula>
    </cfRule>
  </conditionalFormatting>
  <conditionalFormatting sqref="R216">
    <cfRule type="expression" dxfId="408" priority="825">
      <formula>(R216+R210)&gt;R195</formula>
    </cfRule>
    <cfRule type="expression" dxfId="407" priority="826">
      <formula>R229&gt;R216</formula>
    </cfRule>
  </conditionalFormatting>
  <conditionalFormatting sqref="T216">
    <cfRule type="expression" dxfId="406" priority="823">
      <formula>(T216+T210)&gt;T195</formula>
    </cfRule>
    <cfRule type="expression" dxfId="405" priority="824">
      <formula>T229&gt;T216</formula>
    </cfRule>
  </conditionalFormatting>
  <conditionalFormatting sqref="V216">
    <cfRule type="expression" dxfId="404" priority="821">
      <formula>(V216+V210)&gt;V195</formula>
    </cfRule>
    <cfRule type="expression" dxfId="403" priority="822">
      <formula>V229&gt;V216</formula>
    </cfRule>
  </conditionalFormatting>
  <conditionalFormatting sqref="X216">
    <cfRule type="expression" dxfId="402" priority="819">
      <formula>(X216+X210)&gt;X195</formula>
    </cfRule>
    <cfRule type="expression" dxfId="401" priority="820">
      <formula>X229&gt;X216</formula>
    </cfRule>
  </conditionalFormatting>
  <conditionalFormatting sqref="Z216">
    <cfRule type="expression" dxfId="400" priority="817">
      <formula>(Z216+Z210)&gt;Z195</formula>
    </cfRule>
    <cfRule type="expression" dxfId="399" priority="818">
      <formula>Z229&gt;Z216</formula>
    </cfRule>
  </conditionalFormatting>
  <conditionalFormatting sqref="M194">
    <cfRule type="expression" dxfId="398" priority="814">
      <formula>(M215+M209)&gt;M194</formula>
    </cfRule>
  </conditionalFormatting>
  <conditionalFormatting sqref="O194">
    <cfRule type="expression" dxfId="397" priority="813">
      <formula>(O215+O209)&gt;O194</formula>
    </cfRule>
  </conditionalFormatting>
  <conditionalFormatting sqref="Q194">
    <cfRule type="expression" dxfId="396" priority="812">
      <formula>(Q215+Q209)&gt;Q194</formula>
    </cfRule>
  </conditionalFormatting>
  <conditionalFormatting sqref="S194">
    <cfRule type="expression" dxfId="395" priority="811">
      <formula>(S215+S209)&gt;S194</formula>
    </cfRule>
  </conditionalFormatting>
  <conditionalFormatting sqref="U194">
    <cfRule type="expression" dxfId="394" priority="810">
      <formula>(U215+U209)&gt;U194</formula>
    </cfRule>
  </conditionalFormatting>
  <conditionalFormatting sqref="W194">
    <cfRule type="expression" dxfId="393" priority="809">
      <formula>(W215+W209)&gt;W194</formula>
    </cfRule>
  </conditionalFormatting>
  <conditionalFormatting sqref="Y194">
    <cfRule type="expression" dxfId="392" priority="808">
      <formula>(Y215+Y209)&gt;Y194</formula>
    </cfRule>
  </conditionalFormatting>
  <conditionalFormatting sqref="AA194">
    <cfRule type="expression" dxfId="391" priority="807">
      <formula>(AA215+AA209)&gt;AA194</formula>
    </cfRule>
  </conditionalFormatting>
  <conditionalFormatting sqref="O215">
    <cfRule type="expression" dxfId="390" priority="805">
      <formula>(O215+O209)&gt;O194</formula>
    </cfRule>
    <cfRule type="expression" dxfId="389" priority="806">
      <formula>O228&gt;O215</formula>
    </cfRule>
  </conditionalFormatting>
  <conditionalFormatting sqref="Q215">
    <cfRule type="expression" dxfId="388" priority="803">
      <formula>(Q215+Q209)&gt;Q194</formula>
    </cfRule>
    <cfRule type="expression" dxfId="387" priority="804">
      <formula>Q228&gt;Q215</formula>
    </cfRule>
  </conditionalFormatting>
  <conditionalFormatting sqref="S215">
    <cfRule type="expression" dxfId="386" priority="801">
      <formula>(S215+S209)&gt;S194</formula>
    </cfRule>
    <cfRule type="expression" dxfId="385" priority="802">
      <formula>S228&gt;S215</formula>
    </cfRule>
  </conditionalFormatting>
  <conditionalFormatting sqref="U215">
    <cfRule type="expression" dxfId="384" priority="799">
      <formula>(U215+U209)&gt;U194</formula>
    </cfRule>
    <cfRule type="expression" dxfId="383" priority="800">
      <formula>U228&gt;U215</formula>
    </cfRule>
  </conditionalFormatting>
  <conditionalFormatting sqref="W215">
    <cfRule type="expression" dxfId="382" priority="797">
      <formula>(W215+W209)&gt;W194</formula>
    </cfRule>
    <cfRule type="expression" dxfId="381" priority="798">
      <formula>W228&gt;W215</formula>
    </cfRule>
  </conditionalFormatting>
  <conditionalFormatting sqref="Y215">
    <cfRule type="expression" dxfId="380" priority="795">
      <formula>(Y215+Y209)&gt;Y194</formula>
    </cfRule>
    <cfRule type="expression" dxfId="379" priority="796">
      <formula>Y228&gt;Y215</formula>
    </cfRule>
  </conditionalFormatting>
  <conditionalFormatting sqref="AA215">
    <cfRule type="expression" dxfId="378" priority="793">
      <formula>(AA215+AA209)&gt;AA194</formula>
    </cfRule>
    <cfRule type="expression" dxfId="377" priority="794">
      <formula>AA228&gt;AA215</formula>
    </cfRule>
  </conditionalFormatting>
  <conditionalFormatting sqref="O209">
    <cfRule type="expression" dxfId="376" priority="791">
      <formula>(O215+O209)&gt;O194</formula>
    </cfRule>
    <cfRule type="expression" dxfId="375" priority="792">
      <formula>O222&gt;O209</formula>
    </cfRule>
  </conditionalFormatting>
  <conditionalFormatting sqref="Q209">
    <cfRule type="expression" dxfId="374" priority="789">
      <formula>(Q215+Q209)&gt;Q194</formula>
    </cfRule>
    <cfRule type="expression" dxfId="373" priority="790">
      <formula>Q222&gt;Q209</formula>
    </cfRule>
  </conditionalFormatting>
  <conditionalFormatting sqref="S209">
    <cfRule type="expression" dxfId="372" priority="787">
      <formula>(S215+S209)&gt;S194</formula>
    </cfRule>
    <cfRule type="expression" dxfId="371" priority="788">
      <formula>S222&gt;S209</formula>
    </cfRule>
  </conditionalFormatting>
  <conditionalFormatting sqref="U209">
    <cfRule type="expression" dxfId="370" priority="785">
      <formula>(U215+U209)&gt;U194</formula>
    </cfRule>
    <cfRule type="expression" dxfId="369" priority="786">
      <formula>U222&gt;U209</formula>
    </cfRule>
  </conditionalFormatting>
  <conditionalFormatting sqref="W209">
    <cfRule type="expression" dxfId="368" priority="783">
      <formula>(W215+W209)&gt;W194</formula>
    </cfRule>
    <cfRule type="expression" dxfId="367" priority="784">
      <formula>W222&gt;W209</formula>
    </cfRule>
  </conditionalFormatting>
  <conditionalFormatting sqref="Y209">
    <cfRule type="expression" dxfId="366" priority="781">
      <formula>(Y215+Y209)&gt;Y194</formula>
    </cfRule>
    <cfRule type="expression" dxfId="365" priority="782">
      <formula>Y222&gt;Y209</formula>
    </cfRule>
  </conditionalFormatting>
  <conditionalFormatting sqref="AA209">
    <cfRule type="expression" dxfId="364" priority="779">
      <formula>(AA215+AA209)&gt;AA194</formula>
    </cfRule>
    <cfRule type="expression" dxfId="363" priority="780">
      <formula>AA222&gt;AA209</formula>
    </cfRule>
  </conditionalFormatting>
  <conditionalFormatting sqref="AB309">
    <cfRule type="expression" dxfId="362" priority="776">
      <formula>(AB309+AB186)&gt;(AB155+AB157)</formula>
    </cfRule>
  </conditionalFormatting>
  <conditionalFormatting sqref="AB186">
    <cfRule type="expression" dxfId="361" priority="775">
      <formula>(AB309+AB186)&gt;(AB155+AB157)</formula>
    </cfRule>
  </conditionalFormatting>
  <conditionalFormatting sqref="AB155">
    <cfRule type="expression" dxfId="360" priority="774">
      <formula>(AB309+AB186)&gt;(AB155+AB157)</formula>
    </cfRule>
  </conditionalFormatting>
  <conditionalFormatting sqref="AB157">
    <cfRule type="expression" dxfId="359" priority="773">
      <formula>(AB309+AB186)&gt;(AB155+AB157)</formula>
    </cfRule>
  </conditionalFormatting>
  <conditionalFormatting sqref="AF72:AF77">
    <cfRule type="notContainsBlanks" dxfId="358" priority="772">
      <formula>LEN(TRIM(AF72))&gt;0</formula>
    </cfRule>
  </conditionalFormatting>
  <conditionalFormatting sqref="AF170:AF184">
    <cfRule type="notContainsBlanks" dxfId="357" priority="771">
      <formula>LEN(TRIM(AF170))&gt;0</formula>
    </cfRule>
  </conditionalFormatting>
  <conditionalFormatting sqref="AF186:AF191">
    <cfRule type="notContainsBlanks" dxfId="356" priority="770">
      <formula>LEN(TRIM(AF186))&gt;0</formula>
    </cfRule>
  </conditionalFormatting>
  <conditionalFormatting sqref="AF193:AF198">
    <cfRule type="notContainsBlanks" dxfId="355" priority="769">
      <formula>LEN(TRIM(AF193))&gt;0</formula>
    </cfRule>
  </conditionalFormatting>
  <conditionalFormatting sqref="AF200:AF205">
    <cfRule type="notContainsBlanks" dxfId="354" priority="768">
      <formula>LEN(TRIM(AF200))&gt;0</formula>
    </cfRule>
  </conditionalFormatting>
  <conditionalFormatting sqref="AF292:AF307">
    <cfRule type="notContainsBlanks" dxfId="353" priority="767">
      <formula>LEN(TRIM(AF292))&gt;0</formula>
    </cfRule>
  </conditionalFormatting>
  <conditionalFormatting sqref="AF309:AF321">
    <cfRule type="notContainsBlanks" dxfId="352" priority="766">
      <formula>LEN(TRIM(AF309))&gt;0</formula>
    </cfRule>
  </conditionalFormatting>
  <conditionalFormatting sqref="AF323:AF335">
    <cfRule type="notContainsBlanks" dxfId="351" priority="765">
      <formula>LEN(TRIM(AF323))&gt;0</formula>
    </cfRule>
  </conditionalFormatting>
  <conditionalFormatting sqref="AF337:AF349">
    <cfRule type="notContainsBlanks" dxfId="350" priority="764">
      <formula>LEN(TRIM(AF337))&gt;0</formula>
    </cfRule>
  </conditionalFormatting>
  <conditionalFormatting sqref="AF351:AF357">
    <cfRule type="notContainsBlanks" dxfId="349" priority="763">
      <formula>LEN(TRIM(AF351))&gt;0</formula>
    </cfRule>
  </conditionalFormatting>
  <conditionalFormatting sqref="AB27">
    <cfRule type="cellIs" dxfId="348" priority="761" operator="equal">
      <formula>0</formula>
    </cfRule>
  </conditionalFormatting>
  <conditionalFormatting sqref="AB28">
    <cfRule type="cellIs" dxfId="347" priority="760" operator="equal">
      <formula>0</formula>
    </cfRule>
  </conditionalFormatting>
  <conditionalFormatting sqref="L24:AA24">
    <cfRule type="expression" dxfId="346" priority="759">
      <formula>(L29+L30+L31)&gt;L24</formula>
    </cfRule>
  </conditionalFormatting>
  <conditionalFormatting sqref="L29:AA29">
    <cfRule type="expression" dxfId="345" priority="758">
      <formula>(L29+L30+L31)&gt;L24</formula>
    </cfRule>
  </conditionalFormatting>
  <conditionalFormatting sqref="L30:AA30">
    <cfRule type="expression" dxfId="344" priority="757">
      <formula>(L29+L30+L31)&gt;L24</formula>
    </cfRule>
  </conditionalFormatting>
  <conditionalFormatting sqref="L31:AA31">
    <cfRule type="expression" dxfId="343" priority="756">
      <formula>(L29+L30+L31)&gt;L24</formula>
    </cfRule>
  </conditionalFormatting>
  <conditionalFormatting sqref="L25">
    <cfRule type="expression" dxfId="342" priority="755">
      <formula>(L32+L33+L34)&gt;L25</formula>
    </cfRule>
    <cfRule type="cellIs" dxfId="341" priority="32" operator="equal">
      <formula>0</formula>
    </cfRule>
  </conditionalFormatting>
  <conditionalFormatting sqref="L32">
    <cfRule type="expression" dxfId="340" priority="754">
      <formula>(L32+L33+L34)&gt;L25</formula>
    </cfRule>
  </conditionalFormatting>
  <conditionalFormatting sqref="N32">
    <cfRule type="expression" dxfId="339" priority="749">
      <formula>(N32+N33+N34)&gt;N25</formula>
    </cfRule>
  </conditionalFormatting>
  <conditionalFormatting sqref="P32">
    <cfRule type="expression" dxfId="338" priority="744">
      <formula>(P32+P33+P34)&gt;P25</formula>
    </cfRule>
  </conditionalFormatting>
  <conditionalFormatting sqref="R32">
    <cfRule type="expression" dxfId="337" priority="739">
      <formula>(R32+R33+R34)&gt;R25</formula>
    </cfRule>
  </conditionalFormatting>
  <conditionalFormatting sqref="T32">
    <cfRule type="expression" dxfId="336" priority="734">
      <formula>(T32+T33+T34)&gt;T25</formula>
    </cfRule>
  </conditionalFormatting>
  <conditionalFormatting sqref="V32">
    <cfRule type="expression" dxfId="335" priority="729">
      <formula>(V32+V33+V34)&gt;V25</formula>
    </cfRule>
  </conditionalFormatting>
  <conditionalFormatting sqref="X32">
    <cfRule type="expression" dxfId="334" priority="724">
      <formula>(X32+X33+X34)&gt;X25</formula>
    </cfRule>
  </conditionalFormatting>
  <conditionalFormatting sqref="Z32">
    <cfRule type="expression" dxfId="333" priority="719">
      <formula>(Z32+Z33+Z34)&gt;Z25</formula>
    </cfRule>
  </conditionalFormatting>
  <conditionalFormatting sqref="AB26">
    <cfRule type="expression" dxfId="332" priority="709">
      <formula>(AB35+AB36+AB37)&gt;AB26</formula>
    </cfRule>
    <cfRule type="cellIs" dxfId="331" priority="17" operator="equal">
      <formula>0</formula>
    </cfRule>
  </conditionalFormatting>
  <conditionalFormatting sqref="AB35">
    <cfRule type="expression" dxfId="330" priority="708">
      <formula>(AB35+AB36+AB37)&gt;AB26</formula>
    </cfRule>
  </conditionalFormatting>
  <conditionalFormatting sqref="AB37">
    <cfRule type="expression" dxfId="329" priority="706">
      <formula>(AB35+AB36+AB37)&gt;AB26</formula>
    </cfRule>
  </conditionalFormatting>
  <conditionalFormatting sqref="M27">
    <cfRule type="expression" dxfId="328" priority="705">
      <formula>(M38+M39+M40)&gt;M27</formula>
    </cfRule>
    <cfRule type="cellIs" dxfId="327" priority="16" operator="equal">
      <formula>0</formula>
    </cfRule>
  </conditionalFormatting>
  <conditionalFormatting sqref="M38">
    <cfRule type="expression" dxfId="326" priority="704">
      <formula>(M38+M39+M40)&gt;M27</formula>
    </cfRule>
  </conditionalFormatting>
  <conditionalFormatting sqref="O38">
    <cfRule type="expression" dxfId="325" priority="699">
      <formula>(O38+O39+O40)&gt;O27</formula>
    </cfRule>
  </conditionalFormatting>
  <conditionalFormatting sqref="Q38">
    <cfRule type="expression" dxfId="324" priority="694">
      <formula>(Q38+Q39+Q40)&gt;Q27</formula>
    </cfRule>
  </conditionalFormatting>
  <conditionalFormatting sqref="S38">
    <cfRule type="expression" dxfId="323" priority="689">
      <formula>(S38+S39+S40)&gt;S27</formula>
    </cfRule>
  </conditionalFormatting>
  <conditionalFormatting sqref="U38">
    <cfRule type="expression" dxfId="322" priority="684">
      <formula>(U38+U39+U40)&gt;U27</formula>
    </cfRule>
  </conditionalFormatting>
  <conditionalFormatting sqref="W38">
    <cfRule type="expression" dxfId="321" priority="679">
      <formula>(W38+W39+W40)&gt;W27</formula>
    </cfRule>
  </conditionalFormatting>
  <conditionalFormatting sqref="Y38">
    <cfRule type="expression" dxfId="320" priority="674">
      <formula>(Y38+Y39+Y40)&gt;Y27</formula>
    </cfRule>
  </conditionalFormatting>
  <conditionalFormatting sqref="AA38">
    <cfRule type="expression" dxfId="319" priority="669">
      <formula>(AA38+AA39+AA40)&gt;AA27</formula>
    </cfRule>
  </conditionalFormatting>
  <conditionalFormatting sqref="L28:AA28">
    <cfRule type="expression" dxfId="318" priority="659">
      <formula>(L41+L42+L43)&gt;L28</formula>
    </cfRule>
  </conditionalFormatting>
  <conditionalFormatting sqref="L41:AA41">
    <cfRule type="expression" dxfId="317" priority="658">
      <formula>(L41+L42+L43)&gt;L28</formula>
    </cfRule>
  </conditionalFormatting>
  <conditionalFormatting sqref="L42:AA42">
    <cfRule type="expression" dxfId="316" priority="657">
      <formula>(L41+L42+L43)&gt;L28</formula>
    </cfRule>
  </conditionalFormatting>
  <conditionalFormatting sqref="L43:AA43">
    <cfRule type="expression" dxfId="315" priority="656">
      <formula>(L41+L42+L43)&gt;L28</formula>
    </cfRule>
  </conditionalFormatting>
  <conditionalFormatting sqref="AE96 AE99">
    <cfRule type="notContainsBlanks" dxfId="314" priority="654">
      <formula>LEN(TRIM(AE96))&gt;0</formula>
    </cfRule>
  </conditionalFormatting>
  <conditionalFormatting sqref="AB96 AB99">
    <cfRule type="cellIs" dxfId="313" priority="653" operator="equal">
      <formula>0</formula>
    </cfRule>
  </conditionalFormatting>
  <conditionalFormatting sqref="AE102">
    <cfRule type="notContainsBlanks" dxfId="312" priority="652">
      <formula>LEN(TRIM(AE102))&gt;0</formula>
    </cfRule>
  </conditionalFormatting>
  <conditionalFormatting sqref="AE90 AE93">
    <cfRule type="notContainsBlanks" dxfId="311" priority="651">
      <formula>LEN(TRIM(AE90))&gt;0</formula>
    </cfRule>
  </conditionalFormatting>
  <conditionalFormatting sqref="AB90 AB93">
    <cfRule type="cellIs" dxfId="310" priority="650" operator="equal">
      <formula>0</formula>
    </cfRule>
  </conditionalFormatting>
  <conditionalFormatting sqref="AE89">
    <cfRule type="notContainsBlanks" dxfId="309" priority="648">
      <formula>LEN(TRIM(AE89))&gt;0</formula>
    </cfRule>
  </conditionalFormatting>
  <conditionalFormatting sqref="AD89">
    <cfRule type="notContainsBlanks" dxfId="308" priority="649">
      <formula>LEN(TRIM(AD89))&gt;0</formula>
    </cfRule>
  </conditionalFormatting>
  <conditionalFormatting sqref="D89:AB89">
    <cfRule type="cellIs" dxfId="307" priority="647" operator="equal">
      <formula>0</formula>
    </cfRule>
  </conditionalFormatting>
  <conditionalFormatting sqref="AF89">
    <cfRule type="notContainsBlanks" dxfId="306" priority="626">
      <formula>LEN(TRIM(AF89))&gt;0</formula>
    </cfRule>
  </conditionalFormatting>
  <conditionalFormatting sqref="AE91:AE92">
    <cfRule type="notContainsBlanks" dxfId="305" priority="599">
      <formula>LEN(TRIM(AE91))&gt;0</formula>
    </cfRule>
  </conditionalFormatting>
  <conditionalFormatting sqref="AB91:AB92">
    <cfRule type="cellIs" dxfId="304" priority="598" operator="equal">
      <formula>0</formula>
    </cfRule>
  </conditionalFormatting>
  <conditionalFormatting sqref="AE94:AE95">
    <cfRule type="notContainsBlanks" dxfId="303" priority="588">
      <formula>LEN(TRIM(AE94))&gt;0</formula>
    </cfRule>
  </conditionalFormatting>
  <conditionalFormatting sqref="AB94:AB95">
    <cfRule type="cellIs" dxfId="302" priority="587" operator="equal">
      <formula>0</formula>
    </cfRule>
  </conditionalFormatting>
  <conditionalFormatting sqref="AE97:AE98">
    <cfRule type="notContainsBlanks" dxfId="301" priority="574">
      <formula>LEN(TRIM(AE97))&gt;0</formula>
    </cfRule>
  </conditionalFormatting>
  <conditionalFormatting sqref="AB97:AB98">
    <cfRule type="cellIs" dxfId="300" priority="573" operator="equal">
      <formula>0</formula>
    </cfRule>
  </conditionalFormatting>
  <conditionalFormatting sqref="AE100:AE101">
    <cfRule type="notContainsBlanks" dxfId="299" priority="570">
      <formula>LEN(TRIM(AE100))&gt;0</formula>
    </cfRule>
  </conditionalFormatting>
  <conditionalFormatting sqref="AB100:AB101">
    <cfRule type="cellIs" dxfId="298" priority="569" operator="equal">
      <formula>0</formula>
    </cfRule>
  </conditionalFormatting>
  <conditionalFormatting sqref="AE142:AE143">
    <cfRule type="notContainsBlanks" dxfId="297" priority="567">
      <formula>LEN(TRIM(AE142))&gt;0</formula>
    </cfRule>
  </conditionalFormatting>
  <conditionalFormatting sqref="AB142:AB143">
    <cfRule type="cellIs" dxfId="296" priority="566" operator="equal">
      <formula>0</formula>
    </cfRule>
  </conditionalFormatting>
  <conditionalFormatting sqref="L143:AA143">
    <cfRule type="expression" dxfId="295" priority="565">
      <formula>L143&gt;L142</formula>
    </cfRule>
  </conditionalFormatting>
  <conditionalFormatting sqref="L142:AA142">
    <cfRule type="expression" dxfId="294" priority="564">
      <formula>L143&gt;L142</formula>
    </cfRule>
  </conditionalFormatting>
  <conditionalFormatting sqref="AE144:AE145">
    <cfRule type="notContainsBlanks" dxfId="293" priority="563">
      <formula>LEN(TRIM(AE144))&gt;0</formula>
    </cfRule>
  </conditionalFormatting>
  <conditionalFormatting sqref="AB144:AB145">
    <cfRule type="cellIs" dxfId="292" priority="562" operator="equal">
      <formula>0</formula>
    </cfRule>
  </conditionalFormatting>
  <conditionalFormatting sqref="L145:AA145">
    <cfRule type="expression" dxfId="291" priority="561">
      <formula>L145&gt;L144</formula>
    </cfRule>
  </conditionalFormatting>
  <conditionalFormatting sqref="L144:AA144">
    <cfRule type="expression" dxfId="290" priority="560">
      <formula>L145&gt;L144</formula>
    </cfRule>
  </conditionalFormatting>
  <conditionalFormatting sqref="AE237:AE239">
    <cfRule type="notContainsBlanks" dxfId="289" priority="559">
      <formula>LEN(TRIM(AE237))&gt;0</formula>
    </cfRule>
  </conditionalFormatting>
  <conditionalFormatting sqref="AE240">
    <cfRule type="notContainsBlanks" dxfId="288" priority="557">
      <formula>LEN(TRIM(AE240))&gt;0</formula>
    </cfRule>
  </conditionalFormatting>
  <conditionalFormatting sqref="AE235:AE236">
    <cfRule type="notContainsBlanks" dxfId="287" priority="556">
      <formula>LEN(TRIM(AE235))&gt;0</formula>
    </cfRule>
  </conditionalFormatting>
  <conditionalFormatting sqref="AB236">
    <cfRule type="cellIs" dxfId="286" priority="555" operator="equal">
      <formula>0</formula>
    </cfRule>
  </conditionalFormatting>
  <conditionalFormatting sqref="AE234">
    <cfRule type="notContainsBlanks" dxfId="285" priority="553">
      <formula>LEN(TRIM(AE234))&gt;0</formula>
    </cfRule>
  </conditionalFormatting>
  <conditionalFormatting sqref="AD234">
    <cfRule type="notContainsBlanks" dxfId="284" priority="554">
      <formula>LEN(TRIM(AD234))&gt;0</formula>
    </cfRule>
  </conditionalFormatting>
  <conditionalFormatting sqref="D234:AB234">
    <cfRule type="cellIs" dxfId="283" priority="552" operator="equal">
      <formula>0</formula>
    </cfRule>
  </conditionalFormatting>
  <conditionalFormatting sqref="AF234">
    <cfRule type="notContainsBlanks" dxfId="282" priority="550">
      <formula>LEN(TRIM(AF234))&gt;0</formula>
    </cfRule>
  </conditionalFormatting>
  <conditionalFormatting sqref="AE243:AE245">
    <cfRule type="notContainsBlanks" dxfId="281" priority="549">
      <formula>LEN(TRIM(AE243))&gt;0</formula>
    </cfRule>
  </conditionalFormatting>
  <conditionalFormatting sqref="AE246">
    <cfRule type="notContainsBlanks" dxfId="280" priority="547">
      <formula>LEN(TRIM(AE246))&gt;0</formula>
    </cfRule>
  </conditionalFormatting>
  <conditionalFormatting sqref="AE241:AE242">
    <cfRule type="notContainsBlanks" dxfId="279" priority="546">
      <formula>LEN(TRIM(AE241))&gt;0</formula>
    </cfRule>
  </conditionalFormatting>
  <conditionalFormatting sqref="AB241">
    <cfRule type="cellIs" dxfId="278" priority="545" operator="equal">
      <formula>0</formula>
    </cfRule>
  </conditionalFormatting>
  <conditionalFormatting sqref="AB235">
    <cfRule type="cellIs" dxfId="277" priority="542" operator="equal">
      <formula>0</formula>
    </cfRule>
  </conditionalFormatting>
  <conditionalFormatting sqref="AB237:AB240">
    <cfRule type="cellIs" dxfId="276" priority="541" operator="equal">
      <formula>0</formula>
    </cfRule>
  </conditionalFormatting>
  <conditionalFormatting sqref="AB242:AB246">
    <cfRule type="cellIs" dxfId="275" priority="540" operator="equal">
      <formula>0</formula>
    </cfRule>
  </conditionalFormatting>
  <conditionalFormatting sqref="AE81:AE82">
    <cfRule type="notContainsBlanks" dxfId="274" priority="539">
      <formula>LEN(TRIM(AE81))&gt;0</formula>
    </cfRule>
  </conditionalFormatting>
  <conditionalFormatting sqref="AB81:AB82">
    <cfRule type="cellIs" dxfId="273" priority="538" operator="equal">
      <formula>0</formula>
    </cfRule>
  </conditionalFormatting>
  <conditionalFormatting sqref="AE83">
    <cfRule type="notContainsBlanks" dxfId="272" priority="537">
      <formula>LEN(TRIM(AE83))&gt;0</formula>
    </cfRule>
  </conditionalFormatting>
  <conditionalFormatting sqref="AE79:AE80">
    <cfRule type="notContainsBlanks" dxfId="271" priority="536">
      <formula>LEN(TRIM(AE79))&gt;0</formula>
    </cfRule>
  </conditionalFormatting>
  <conditionalFormatting sqref="AB79:AB80">
    <cfRule type="cellIs" dxfId="270" priority="535" operator="equal">
      <formula>0</formula>
    </cfRule>
  </conditionalFormatting>
  <conditionalFormatting sqref="AE84">
    <cfRule type="notContainsBlanks" dxfId="269" priority="513">
      <formula>LEN(TRIM(AE84))&gt;0</formula>
    </cfRule>
  </conditionalFormatting>
  <conditionalFormatting sqref="AB84">
    <cfRule type="cellIs" dxfId="268" priority="512" operator="equal">
      <formula>0</formula>
    </cfRule>
  </conditionalFormatting>
  <conditionalFormatting sqref="AE85">
    <cfRule type="notContainsBlanks" dxfId="267" priority="503">
      <formula>LEN(TRIM(AE85))&gt;0</formula>
    </cfRule>
  </conditionalFormatting>
  <conditionalFormatting sqref="AB85">
    <cfRule type="cellIs" dxfId="266" priority="502" operator="equal">
      <formula>0</formula>
    </cfRule>
  </conditionalFormatting>
  <conditionalFormatting sqref="AE87">
    <cfRule type="notContainsBlanks" dxfId="265" priority="493">
      <formula>LEN(TRIM(AE87))&gt;0</formula>
    </cfRule>
  </conditionalFormatting>
  <conditionalFormatting sqref="AB87">
    <cfRule type="cellIs" dxfId="264" priority="492" operator="equal">
      <formula>0</formula>
    </cfRule>
  </conditionalFormatting>
  <conditionalFormatting sqref="AE86">
    <cfRule type="notContainsBlanks" dxfId="263" priority="483">
      <formula>LEN(TRIM(AE86))&gt;0</formula>
    </cfRule>
  </conditionalFormatting>
  <conditionalFormatting sqref="AB86">
    <cfRule type="cellIs" dxfId="262" priority="482" operator="equal">
      <formula>0</formula>
    </cfRule>
  </conditionalFormatting>
  <conditionalFormatting sqref="AE57:AE58">
    <cfRule type="notContainsBlanks" dxfId="261" priority="473">
      <formula>LEN(TRIM(AE57))&gt;0</formula>
    </cfRule>
  </conditionalFormatting>
  <conditionalFormatting sqref="AB57:AB58">
    <cfRule type="cellIs" dxfId="260" priority="472" operator="equal">
      <formula>0</formula>
    </cfRule>
  </conditionalFormatting>
  <conditionalFormatting sqref="AE59">
    <cfRule type="notContainsBlanks" dxfId="259" priority="471">
      <formula>LEN(TRIM(AE59))&gt;0</formula>
    </cfRule>
  </conditionalFormatting>
  <conditionalFormatting sqref="AE55:AE56">
    <cfRule type="notContainsBlanks" dxfId="258" priority="470">
      <formula>LEN(TRIM(AE55))&gt;0</formula>
    </cfRule>
  </conditionalFormatting>
  <conditionalFormatting sqref="AB55:AB56">
    <cfRule type="cellIs" dxfId="257" priority="469" operator="equal">
      <formula>0</formula>
    </cfRule>
  </conditionalFormatting>
  <conditionalFormatting sqref="AE60">
    <cfRule type="notContainsBlanks" dxfId="256" priority="447">
      <formula>LEN(TRIM(AE60))&gt;0</formula>
    </cfRule>
  </conditionalFormatting>
  <conditionalFormatting sqref="AB60">
    <cfRule type="cellIs" dxfId="255" priority="446" operator="equal">
      <formula>0</formula>
    </cfRule>
  </conditionalFormatting>
  <conditionalFormatting sqref="AE61">
    <cfRule type="notContainsBlanks" dxfId="254" priority="444">
      <formula>LEN(TRIM(AE61))&gt;0</formula>
    </cfRule>
  </conditionalFormatting>
  <conditionalFormatting sqref="AB61">
    <cfRule type="cellIs" dxfId="253" priority="443" operator="equal">
      <formula>0</formula>
    </cfRule>
  </conditionalFormatting>
  <conditionalFormatting sqref="AE63">
    <cfRule type="notContainsBlanks" dxfId="252" priority="441">
      <formula>LEN(TRIM(AE63))&gt;0</formula>
    </cfRule>
  </conditionalFormatting>
  <conditionalFormatting sqref="AB63">
    <cfRule type="cellIs" dxfId="251" priority="440" operator="equal">
      <formula>0</formula>
    </cfRule>
  </conditionalFormatting>
  <conditionalFormatting sqref="AE62">
    <cfRule type="notContainsBlanks" dxfId="250" priority="431">
      <formula>LEN(TRIM(AE62))&gt;0</formula>
    </cfRule>
  </conditionalFormatting>
  <conditionalFormatting sqref="AB62">
    <cfRule type="cellIs" dxfId="249" priority="430" operator="equal">
      <formula>0</formula>
    </cfRule>
  </conditionalFormatting>
  <conditionalFormatting sqref="AE251:AE252">
    <cfRule type="notContainsBlanks" dxfId="248" priority="421">
      <formula>LEN(TRIM(AE251))&gt;0</formula>
    </cfRule>
  </conditionalFormatting>
  <conditionalFormatting sqref="AB251:AB252">
    <cfRule type="cellIs" dxfId="247" priority="420" operator="equal">
      <formula>0</formula>
    </cfRule>
  </conditionalFormatting>
  <conditionalFormatting sqref="AE253">
    <cfRule type="notContainsBlanks" dxfId="246" priority="419">
      <formula>LEN(TRIM(AE253))&gt;0</formula>
    </cfRule>
  </conditionalFormatting>
  <conditionalFormatting sqref="AE249:AE250">
    <cfRule type="notContainsBlanks" dxfId="245" priority="418">
      <formula>LEN(TRIM(AE249))&gt;0</formula>
    </cfRule>
  </conditionalFormatting>
  <conditionalFormatting sqref="AB249:AB250">
    <cfRule type="cellIs" dxfId="244" priority="417" operator="equal">
      <formula>0</formula>
    </cfRule>
  </conditionalFormatting>
  <conditionalFormatting sqref="AE254">
    <cfRule type="notContainsBlanks" dxfId="243" priority="395">
      <formula>LEN(TRIM(AE254))&gt;0</formula>
    </cfRule>
  </conditionalFormatting>
  <conditionalFormatting sqref="AB254">
    <cfRule type="cellIs" dxfId="242" priority="394" operator="equal">
      <formula>0</formula>
    </cfRule>
  </conditionalFormatting>
  <conditionalFormatting sqref="AE255">
    <cfRule type="notContainsBlanks" dxfId="241" priority="392">
      <formula>LEN(TRIM(AE255))&gt;0</formula>
    </cfRule>
  </conditionalFormatting>
  <conditionalFormatting sqref="AB255">
    <cfRule type="cellIs" dxfId="240" priority="391" operator="equal">
      <formula>0</formula>
    </cfRule>
  </conditionalFormatting>
  <conditionalFormatting sqref="AE257">
    <cfRule type="notContainsBlanks" dxfId="239" priority="389">
      <formula>LEN(TRIM(AE257))&gt;0</formula>
    </cfRule>
  </conditionalFormatting>
  <conditionalFormatting sqref="AB257">
    <cfRule type="cellIs" dxfId="238" priority="388" operator="equal">
      <formula>0</formula>
    </cfRule>
  </conditionalFormatting>
  <conditionalFormatting sqref="AE256">
    <cfRule type="notContainsBlanks" dxfId="237" priority="379">
      <formula>LEN(TRIM(AE256))&gt;0</formula>
    </cfRule>
  </conditionalFormatting>
  <conditionalFormatting sqref="AB256">
    <cfRule type="cellIs" dxfId="236" priority="378" operator="equal">
      <formula>0</formula>
    </cfRule>
  </conditionalFormatting>
  <conditionalFormatting sqref="AE261:AE262">
    <cfRule type="notContainsBlanks" dxfId="235" priority="369">
      <formula>LEN(TRIM(AE261))&gt;0</formula>
    </cfRule>
  </conditionalFormatting>
  <conditionalFormatting sqref="AB261:AB262">
    <cfRule type="cellIs" dxfId="234" priority="368" operator="equal">
      <formula>0</formula>
    </cfRule>
  </conditionalFormatting>
  <conditionalFormatting sqref="AE263">
    <cfRule type="notContainsBlanks" dxfId="233" priority="367">
      <formula>LEN(TRIM(AE263))&gt;0</formula>
    </cfRule>
  </conditionalFormatting>
  <conditionalFormatting sqref="AE259:AE260">
    <cfRule type="notContainsBlanks" dxfId="232" priority="366">
      <formula>LEN(TRIM(AE259))&gt;0</formula>
    </cfRule>
  </conditionalFormatting>
  <conditionalFormatting sqref="AB259:AB260">
    <cfRule type="cellIs" dxfId="231" priority="365" operator="equal">
      <formula>0</formula>
    </cfRule>
  </conditionalFormatting>
  <conditionalFormatting sqref="AE264">
    <cfRule type="notContainsBlanks" dxfId="230" priority="343">
      <formula>LEN(TRIM(AE264))&gt;0</formula>
    </cfRule>
  </conditionalFormatting>
  <conditionalFormatting sqref="AB264">
    <cfRule type="cellIs" dxfId="229" priority="342" operator="equal">
      <formula>0</formula>
    </cfRule>
  </conditionalFormatting>
  <conditionalFormatting sqref="AE265">
    <cfRule type="notContainsBlanks" dxfId="228" priority="340">
      <formula>LEN(TRIM(AE265))&gt;0</formula>
    </cfRule>
  </conditionalFormatting>
  <conditionalFormatting sqref="AB265">
    <cfRule type="cellIs" dxfId="227" priority="339" operator="equal">
      <formula>0</formula>
    </cfRule>
  </conditionalFormatting>
  <conditionalFormatting sqref="AE267">
    <cfRule type="notContainsBlanks" dxfId="226" priority="337">
      <formula>LEN(TRIM(AE267))&gt;0</formula>
    </cfRule>
  </conditionalFormatting>
  <conditionalFormatting sqref="AB267">
    <cfRule type="cellIs" dxfId="225" priority="336" operator="equal">
      <formula>0</formula>
    </cfRule>
  </conditionalFormatting>
  <conditionalFormatting sqref="AE266">
    <cfRule type="notContainsBlanks" dxfId="224" priority="327">
      <formula>LEN(TRIM(AE266))&gt;0</formula>
    </cfRule>
  </conditionalFormatting>
  <conditionalFormatting sqref="AB266">
    <cfRule type="cellIs" dxfId="223" priority="326" operator="equal">
      <formula>0</formula>
    </cfRule>
  </conditionalFormatting>
  <conditionalFormatting sqref="M249 O249 Q249 S249 U249 W249 Y249 AA249">
    <cfRule type="expression" dxfId="222" priority="3842">
      <formula>M249&gt;M79</formula>
    </cfRule>
  </conditionalFormatting>
  <conditionalFormatting sqref="M256:M257 O256:O257 Q256:Q257 S256:S257 U256:U257 W256:W257 Y256:Y257 AA256:AA257">
    <cfRule type="expression" dxfId="221" priority="3850">
      <formula>M256&gt;M85</formula>
    </cfRule>
  </conditionalFormatting>
  <conditionalFormatting sqref="L254:AA255">
    <cfRule type="expression" dxfId="220" priority="3851">
      <formula>L254&gt;L81</formula>
    </cfRule>
  </conditionalFormatting>
  <conditionalFormatting sqref="L109:AB109">
    <cfRule type="expression" dxfId="219" priority="4218">
      <formula>(L109+L108)&gt;L23</formula>
    </cfRule>
  </conditionalFormatting>
  <conditionalFormatting sqref="L108:AB108">
    <cfRule type="expression" dxfId="218" priority="4219">
      <formula>(L109+L108)&gt;L23</formula>
    </cfRule>
  </conditionalFormatting>
  <conditionalFormatting sqref="AE47:AE48">
    <cfRule type="notContainsBlanks" dxfId="217" priority="313">
      <formula>LEN(TRIM(AE47))&gt;0</formula>
    </cfRule>
  </conditionalFormatting>
  <conditionalFormatting sqref="AB47:AB48">
    <cfRule type="cellIs" dxfId="216" priority="312" operator="equal">
      <formula>0</formula>
    </cfRule>
  </conditionalFormatting>
  <conditionalFormatting sqref="AE49">
    <cfRule type="notContainsBlanks" dxfId="215" priority="311">
      <formula>LEN(TRIM(AE49))&gt;0</formula>
    </cfRule>
  </conditionalFormatting>
  <conditionalFormatting sqref="AE45:AE46">
    <cfRule type="notContainsBlanks" dxfId="214" priority="310">
      <formula>LEN(TRIM(AE45))&gt;0</formula>
    </cfRule>
  </conditionalFormatting>
  <conditionalFormatting sqref="AB45:AB46">
    <cfRule type="cellIs" dxfId="213" priority="309" operator="equal">
      <formula>0</formula>
    </cfRule>
  </conditionalFormatting>
  <conditionalFormatting sqref="AE50">
    <cfRule type="notContainsBlanks" dxfId="212" priority="301">
      <formula>LEN(TRIM(AE50))&gt;0</formula>
    </cfRule>
  </conditionalFormatting>
  <conditionalFormatting sqref="AB50">
    <cfRule type="cellIs" dxfId="211" priority="300" operator="equal">
      <formula>0</formula>
    </cfRule>
  </conditionalFormatting>
  <conditionalFormatting sqref="AE51">
    <cfRule type="notContainsBlanks" dxfId="210" priority="299">
      <formula>LEN(TRIM(AE51))&gt;0</formula>
    </cfRule>
  </conditionalFormatting>
  <conditionalFormatting sqref="AB51">
    <cfRule type="cellIs" dxfId="209" priority="298" operator="equal">
      <formula>0</formula>
    </cfRule>
  </conditionalFormatting>
  <conditionalFormatting sqref="AE53">
    <cfRule type="notContainsBlanks" dxfId="208" priority="297">
      <formula>LEN(TRIM(AE53))&gt;0</formula>
    </cfRule>
  </conditionalFormatting>
  <conditionalFormatting sqref="AB53">
    <cfRule type="cellIs" dxfId="207" priority="296" operator="equal">
      <formula>0</formula>
    </cfRule>
  </conditionalFormatting>
  <conditionalFormatting sqref="AE52">
    <cfRule type="notContainsBlanks" dxfId="206" priority="292">
      <formula>LEN(TRIM(AE52))&gt;0</formula>
    </cfRule>
  </conditionalFormatting>
  <conditionalFormatting sqref="AB52">
    <cfRule type="cellIs" dxfId="205" priority="291" operator="equal">
      <formula>0</formula>
    </cfRule>
  </conditionalFormatting>
  <conditionalFormatting sqref="AE270:AF270 AE271:AE272">
    <cfRule type="notContainsBlanks" dxfId="204" priority="284">
      <formula>LEN(TRIM(AE270))&gt;0</formula>
    </cfRule>
  </conditionalFormatting>
  <conditionalFormatting sqref="AD270">
    <cfRule type="notContainsBlanks" dxfId="203" priority="285">
      <formula>LEN(TRIM(AD270))&gt;0</formula>
    </cfRule>
  </conditionalFormatting>
  <conditionalFormatting sqref="AB270:AB276">
    <cfRule type="cellIs" dxfId="202" priority="283" operator="equal">
      <formula>0</formula>
    </cfRule>
  </conditionalFormatting>
  <conditionalFormatting sqref="AE273:AF273 AE274:AE275">
    <cfRule type="notContainsBlanks" dxfId="201" priority="276">
      <formula>LEN(TRIM(AE273))&gt;0</formula>
    </cfRule>
  </conditionalFormatting>
  <conditionalFormatting sqref="AE276:AF276 AE277:AE278">
    <cfRule type="notContainsBlanks" dxfId="200" priority="268">
      <formula>LEN(TRIM(AE276))&gt;0</formula>
    </cfRule>
  </conditionalFormatting>
  <conditionalFormatting sqref="AB277:AB278">
    <cfRule type="cellIs" dxfId="199" priority="267" operator="equal">
      <formula>0</formula>
    </cfRule>
  </conditionalFormatting>
  <conditionalFormatting sqref="AE280:AF280 AE281:AE282">
    <cfRule type="notContainsBlanks" dxfId="198" priority="260">
      <formula>LEN(TRIM(AE280))&gt;0</formula>
    </cfRule>
  </conditionalFormatting>
  <conditionalFormatting sqref="AB280:AB286">
    <cfRule type="cellIs" dxfId="197" priority="259" operator="equal">
      <formula>0</formula>
    </cfRule>
  </conditionalFormatting>
  <conditionalFormatting sqref="AE283:AF283 AE284:AE285">
    <cfRule type="notContainsBlanks" dxfId="196" priority="252">
      <formula>LEN(TRIM(AE283))&gt;0</formula>
    </cfRule>
  </conditionalFormatting>
  <conditionalFormatting sqref="AE286:AF286 AE287:AE288">
    <cfRule type="notContainsBlanks" dxfId="195" priority="244">
      <formula>LEN(TRIM(AE286))&gt;0</formula>
    </cfRule>
  </conditionalFormatting>
  <conditionalFormatting sqref="AB287:AB288">
    <cfRule type="cellIs" dxfId="194" priority="243" operator="equal">
      <formula>0</formula>
    </cfRule>
  </conditionalFormatting>
  <conditionalFormatting sqref="L126:AA126">
    <cfRule type="expression" dxfId="193" priority="4501">
      <formula>(L126+L128)&gt;L42</formula>
    </cfRule>
  </conditionalFormatting>
  <conditionalFormatting sqref="L128:AA128">
    <cfRule type="expression" dxfId="192" priority="4502">
      <formula>(L126+L128)&gt;L42</formula>
    </cfRule>
  </conditionalFormatting>
  <conditionalFormatting sqref="AB118">
    <cfRule type="expression" dxfId="191" priority="4503">
      <formula>(AB118+AB120)&gt;AB36</formula>
    </cfRule>
    <cfRule type="expression" dxfId="190" priority="4504">
      <formula>AB119&gt;AB118</formula>
    </cfRule>
  </conditionalFormatting>
  <conditionalFormatting sqref="AB120">
    <cfRule type="expression" dxfId="189" priority="4505">
      <formula>(AB118+AB120)&gt;AB36</formula>
    </cfRule>
    <cfRule type="expression" dxfId="188" priority="4506">
      <formula>AB121&gt;AB120</formula>
    </cfRule>
  </conditionalFormatting>
  <conditionalFormatting sqref="L116:AA116">
    <cfRule type="expression" dxfId="187" priority="4507">
      <formula>(L116+L114)&gt;L30</formula>
    </cfRule>
  </conditionalFormatting>
  <conditionalFormatting sqref="L114:AA114">
    <cfRule type="expression" dxfId="186" priority="4508">
      <formula>(L116+L114)&gt;L30</formula>
    </cfRule>
  </conditionalFormatting>
  <conditionalFormatting sqref="AB36">
    <cfRule type="expression" dxfId="185" priority="4509">
      <formula>(AB35+AB36+AB37)&gt;AB26</formula>
    </cfRule>
    <cfRule type="expression" dxfId="184" priority="4510">
      <formula>(AB118+AB120)&gt;AB36</formula>
    </cfRule>
  </conditionalFormatting>
  <conditionalFormatting sqref="M122 O122 Q122 S122 U122 W122 Y122 AA122">
    <cfRule type="expression" dxfId="183" priority="4511">
      <formula>(M122+M124)&gt;M39</formula>
    </cfRule>
  </conditionalFormatting>
  <conditionalFormatting sqref="M124 O124 Q124 S124 U124 W124 Y124 AA124">
    <cfRule type="expression" dxfId="182" priority="4519">
      <formula>(M122+M124)&gt;M39</formula>
    </cfRule>
  </conditionalFormatting>
  <conditionalFormatting sqref="M39 O39 Q39 S39 U39 W39 Y39 AA39">
    <cfRule type="expression" dxfId="181" priority="4527">
      <formula>(M38+M39+M40)&gt;M27</formula>
    </cfRule>
    <cfRule type="expression" dxfId="180" priority="4528">
      <formula>(M122+M124)&gt;M39</formula>
    </cfRule>
  </conditionalFormatting>
  <conditionalFormatting sqref="L130 N130 P130 R130 T130 V130 X130 Z130">
    <cfRule type="expression" dxfId="179" priority="4543">
      <formula>(L130+L132)&gt;L33</formula>
    </cfRule>
  </conditionalFormatting>
  <conditionalFormatting sqref="L132 N132 P132 R132 T132 V132 X132 Z132">
    <cfRule type="expression" dxfId="178" priority="4551">
      <formula>(L130+L132)&gt;L33</formula>
    </cfRule>
  </conditionalFormatting>
  <conditionalFormatting sqref="L33 N33 P33 R33 T33 V33 X33 Z33">
    <cfRule type="expression" dxfId="177" priority="4559">
      <formula>(L32+L33+L34)&gt;L25</formula>
    </cfRule>
    <cfRule type="expression" dxfId="176" priority="4560">
      <formula>(L130+L132)&gt;L33</formula>
    </cfRule>
  </conditionalFormatting>
  <conditionalFormatting sqref="AB263">
    <cfRule type="expression" dxfId="175" priority="4581">
      <formula>AB263&gt;AB141</formula>
    </cfRule>
    <cfRule type="expression" dxfId="174" priority="4582">
      <formula>AB141&gt;AB54</formula>
    </cfRule>
    <cfRule type="expression" dxfId="173" priority="4583">
      <formula>AB263&gt;AB262</formula>
    </cfRule>
  </conditionalFormatting>
  <conditionalFormatting sqref="AD45:AD53">
    <cfRule type="notContainsBlanks" dxfId="172" priority="237">
      <formula>LEN(TRIM(AD45))&gt;0</formula>
    </cfRule>
  </conditionalFormatting>
  <conditionalFormatting sqref="AD55:AD63">
    <cfRule type="notContainsBlanks" dxfId="171" priority="236">
      <formula>LEN(TRIM(AD55))&gt;0</formula>
    </cfRule>
  </conditionalFormatting>
  <conditionalFormatting sqref="AD280">
    <cfRule type="notContainsBlanks" dxfId="170" priority="235">
      <formula>LEN(TRIM(AD280))&gt;0</formula>
    </cfRule>
  </conditionalFormatting>
  <conditionalFormatting sqref="M55">
    <cfRule type="expression" dxfId="169" priority="190">
      <formula>(M249+M66)&gt;M55</formula>
    </cfRule>
    <cfRule type="expression" dxfId="168" priority="234">
      <formula>M55&gt;M45</formula>
    </cfRule>
  </conditionalFormatting>
  <conditionalFormatting sqref="M45">
    <cfRule type="expression" dxfId="167" priority="233">
      <formula>M55&gt;M45</formula>
    </cfRule>
  </conditionalFormatting>
  <conditionalFormatting sqref="O45">
    <cfRule type="expression" dxfId="166" priority="232">
      <formula>O55&gt;O45</formula>
    </cfRule>
  </conditionalFormatting>
  <conditionalFormatting sqref="Q45">
    <cfRule type="expression" dxfId="165" priority="231">
      <formula>Q55&gt;Q45</formula>
    </cfRule>
  </conditionalFormatting>
  <conditionalFormatting sqref="S45">
    <cfRule type="expression" dxfId="164" priority="230">
      <formula>S55&gt;S45</formula>
    </cfRule>
  </conditionalFormatting>
  <conditionalFormatting sqref="U45">
    <cfRule type="expression" dxfId="163" priority="229">
      <formula>U55&gt;U45</formula>
    </cfRule>
  </conditionalFormatting>
  <conditionalFormatting sqref="W45">
    <cfRule type="expression" dxfId="162" priority="228">
      <formula>W55&gt;W45</formula>
    </cfRule>
  </conditionalFormatting>
  <conditionalFormatting sqref="Y45">
    <cfRule type="expression" dxfId="161" priority="227">
      <formula>Y55&gt;Y45</formula>
    </cfRule>
  </conditionalFormatting>
  <conditionalFormatting sqref="AA45">
    <cfRule type="expression" dxfId="160" priority="226">
      <formula>AA55&gt;AA45</formula>
    </cfRule>
  </conditionalFormatting>
  <conditionalFormatting sqref="L46">
    <cfRule type="expression" dxfId="159" priority="217">
      <formula>L56&gt;L46</formula>
    </cfRule>
  </conditionalFormatting>
  <conditionalFormatting sqref="N46">
    <cfRule type="expression" dxfId="158" priority="216">
      <formula>N56&gt;N46</formula>
    </cfRule>
  </conditionalFormatting>
  <conditionalFormatting sqref="P46">
    <cfRule type="expression" dxfId="157" priority="215">
      <formula>P56&gt;P46</formula>
    </cfRule>
  </conditionalFormatting>
  <conditionalFormatting sqref="R46">
    <cfRule type="expression" dxfId="156" priority="214">
      <formula>R56&gt;R46</formula>
    </cfRule>
  </conditionalFormatting>
  <conditionalFormatting sqref="T46">
    <cfRule type="expression" dxfId="155" priority="213">
      <formula>T56&gt;T46</formula>
    </cfRule>
  </conditionalFormatting>
  <conditionalFormatting sqref="V46">
    <cfRule type="expression" dxfId="154" priority="212">
      <formula>V56&gt;V46</formula>
    </cfRule>
  </conditionalFormatting>
  <conditionalFormatting sqref="X46">
    <cfRule type="expression" dxfId="153" priority="211">
      <formula>X56&gt;X46</formula>
    </cfRule>
  </conditionalFormatting>
  <conditionalFormatting sqref="Z46">
    <cfRule type="expression" dxfId="152" priority="210">
      <formula>Z56&gt;Z46</formula>
    </cfRule>
  </conditionalFormatting>
  <conditionalFormatting sqref="R56">
    <cfRule type="expression" dxfId="151" priority="207">
      <formula>R56&gt;R46</formula>
    </cfRule>
  </conditionalFormatting>
  <conditionalFormatting sqref="M47:AA47">
    <cfRule type="expression" dxfId="150" priority="201">
      <formula>M57&gt;M47</formula>
    </cfRule>
  </conditionalFormatting>
  <conditionalFormatting sqref="L47">
    <cfRule type="expression" dxfId="149" priority="200">
      <formula>L57&gt;L47</formula>
    </cfRule>
  </conditionalFormatting>
  <conditionalFormatting sqref="L48">
    <cfRule type="expression" dxfId="148" priority="199">
      <formula>L58&gt;L48</formula>
    </cfRule>
  </conditionalFormatting>
  <conditionalFormatting sqref="M48:AA48">
    <cfRule type="expression" dxfId="147" priority="198">
      <formula>M58&gt;M48</formula>
    </cfRule>
  </conditionalFormatting>
  <conditionalFormatting sqref="AB49">
    <cfRule type="expression" dxfId="146" priority="197">
      <formula>AB59&gt;AB49</formula>
    </cfRule>
  </conditionalFormatting>
  <conditionalFormatting sqref="L50:AA51 M52:M53 O52:O53 Q52:Q53 S52:S53 U52:U53 W52:W53 Y52:Y53 AA52:AA53">
    <cfRule type="expression" dxfId="145" priority="196">
      <formula>L60&gt;L50</formula>
    </cfRule>
  </conditionalFormatting>
  <conditionalFormatting sqref="L60:AA61 M62:M63 O62:O63 Q62:Q63 S62:S63 U62:U63 W62:W63 Y62:Y63 AA62:AA63">
    <cfRule type="expression" dxfId="144" priority="194">
      <formula>L60&gt;L50</formula>
    </cfRule>
  </conditionalFormatting>
  <conditionalFormatting sqref="AD249:AD257">
    <cfRule type="notContainsBlanks" dxfId="143" priority="193">
      <formula>LEN(TRIM(AD249))&gt;0</formula>
    </cfRule>
  </conditionalFormatting>
  <conditionalFormatting sqref="M249">
    <cfRule type="expression" dxfId="142" priority="192">
      <formula>(M249+M66)&gt;M55</formula>
    </cfRule>
  </conditionalFormatting>
  <conditionalFormatting sqref="O55">
    <cfRule type="expression" dxfId="141" priority="188">
      <formula>(O249+O66)&gt;O55</formula>
    </cfRule>
    <cfRule type="expression" dxfId="140" priority="189">
      <formula>O55&gt;O45</formula>
    </cfRule>
  </conditionalFormatting>
  <conditionalFormatting sqref="Q55">
    <cfRule type="expression" dxfId="139" priority="186">
      <formula>(Q249+Q66)&gt;Q55</formula>
    </cfRule>
    <cfRule type="expression" dxfId="138" priority="187">
      <formula>Q55&gt;Q45</formula>
    </cfRule>
  </conditionalFormatting>
  <conditionalFormatting sqref="S55">
    <cfRule type="expression" dxfId="137" priority="184">
      <formula>(S249+S66)&gt;S55</formula>
    </cfRule>
    <cfRule type="expression" dxfId="136" priority="185">
      <formula>S55&gt;S45</formula>
    </cfRule>
  </conditionalFormatting>
  <conditionalFormatting sqref="U55">
    <cfRule type="expression" dxfId="135" priority="182">
      <formula>(U249+U66)&gt;U55</formula>
    </cfRule>
    <cfRule type="expression" dxfId="134" priority="183">
      <formula>U55&gt;U45</formula>
    </cfRule>
  </conditionalFormatting>
  <conditionalFormatting sqref="W55">
    <cfRule type="expression" dxfId="133" priority="180">
      <formula>(W249+W66)&gt;W55</formula>
    </cfRule>
    <cfRule type="expression" dxfId="132" priority="181">
      <formula>W55&gt;W45</formula>
    </cfRule>
  </conditionalFormatting>
  <conditionalFormatting sqref="Y55">
    <cfRule type="expression" dxfId="131" priority="178">
      <formula>(Y249+Y66)&gt;Y55</formula>
    </cfRule>
    <cfRule type="expression" dxfId="130" priority="179">
      <formula>Y55&gt;Y45</formula>
    </cfRule>
  </conditionalFormatting>
  <conditionalFormatting sqref="AA55">
    <cfRule type="expression" dxfId="129" priority="176">
      <formula>(AA249+AA66)&gt;AA55</formula>
    </cfRule>
    <cfRule type="expression" dxfId="128" priority="177">
      <formula>AA55&gt;AA45</formula>
    </cfRule>
  </conditionalFormatting>
  <conditionalFormatting sqref="L56">
    <cfRule type="expression" dxfId="127" priority="174">
      <formula>(L250+L67)&gt;L56</formula>
    </cfRule>
    <cfRule type="expression" dxfId="126" priority="175">
      <formula>L56&gt;L46</formula>
    </cfRule>
  </conditionalFormatting>
  <conditionalFormatting sqref="N56">
    <cfRule type="expression" dxfId="125" priority="172">
      <formula>(N250+N67)&gt;N56</formula>
    </cfRule>
    <cfRule type="expression" dxfId="124" priority="173">
      <formula>N56&gt;N46</formula>
    </cfRule>
  </conditionalFormatting>
  <conditionalFormatting sqref="P56">
    <cfRule type="expression" dxfId="123" priority="170">
      <formula>(P250+P67)&gt;P56</formula>
    </cfRule>
    <cfRule type="expression" dxfId="122" priority="171">
      <formula>P56&gt;P46</formula>
    </cfRule>
  </conditionalFormatting>
  <conditionalFormatting sqref="T56">
    <cfRule type="expression" dxfId="121" priority="168">
      <formula>(T250+T67)&gt;T56</formula>
    </cfRule>
    <cfRule type="expression" dxfId="120" priority="169">
      <formula>T56&gt;T46</formula>
    </cfRule>
  </conditionalFormatting>
  <conditionalFormatting sqref="V56">
    <cfRule type="expression" dxfId="119" priority="166">
      <formula>(V250+V67)&gt;V56</formula>
    </cfRule>
    <cfRule type="expression" dxfId="118" priority="167">
      <formula>V56&gt;V46</formula>
    </cfRule>
  </conditionalFormatting>
  <conditionalFormatting sqref="X56">
    <cfRule type="expression" dxfId="117" priority="164">
      <formula>(X250+X67)&gt;X56</formula>
    </cfRule>
    <cfRule type="expression" dxfId="116" priority="165">
      <formula>X56&gt;X46</formula>
    </cfRule>
  </conditionalFormatting>
  <conditionalFormatting sqref="Z56">
    <cfRule type="expression" dxfId="115" priority="162">
      <formula>(Z250+Z67)&gt;Z56</formula>
    </cfRule>
    <cfRule type="expression" dxfId="114" priority="163">
      <formula>Z56&gt;Z46</formula>
    </cfRule>
  </conditionalFormatting>
  <conditionalFormatting sqref="L57:L58">
    <cfRule type="expression" dxfId="113" priority="160">
      <formula>(L251+L68)&gt;L57</formula>
    </cfRule>
    <cfRule type="expression" dxfId="112" priority="161">
      <formula>L57&gt;L47</formula>
    </cfRule>
  </conditionalFormatting>
  <conditionalFormatting sqref="M57:AA58">
    <cfRule type="expression" dxfId="111" priority="158">
      <formula>(M251+M68)&gt;M57</formula>
    </cfRule>
    <cfRule type="expression" dxfId="110" priority="159">
      <formula>M57&gt;M47</formula>
    </cfRule>
  </conditionalFormatting>
  <conditionalFormatting sqref="AB59">
    <cfRule type="expression" dxfId="109" priority="156">
      <formula>(AB253+AB70)&gt;AB59</formula>
    </cfRule>
    <cfRule type="expression" dxfId="108" priority="157">
      <formula>AB59&gt;AB49</formula>
    </cfRule>
  </conditionalFormatting>
  <conditionalFormatting sqref="O66">
    <cfRule type="expression" dxfId="107" priority="154">
      <formula>(O249+O66)&gt;O55</formula>
    </cfRule>
    <cfRule type="expression" dxfId="106" priority="155">
      <formula>O66&gt;O27</formula>
    </cfRule>
  </conditionalFormatting>
  <conditionalFormatting sqref="Q66">
    <cfRule type="expression" dxfId="105" priority="152">
      <formula>(Q249+Q66)&gt;Q55</formula>
    </cfRule>
    <cfRule type="expression" dxfId="104" priority="153">
      <formula>Q66&gt;Q27</formula>
    </cfRule>
  </conditionalFormatting>
  <conditionalFormatting sqref="S66">
    <cfRule type="expression" dxfId="103" priority="150">
      <formula>(S249+S66)&gt;S55</formula>
    </cfRule>
    <cfRule type="expression" dxfId="102" priority="151">
      <formula>S66&gt;S27</formula>
    </cfRule>
  </conditionalFormatting>
  <conditionalFormatting sqref="U66">
    <cfRule type="expression" dxfId="101" priority="148">
      <formula>(U249+U66)&gt;U55</formula>
    </cfRule>
    <cfRule type="expression" dxfId="100" priority="149">
      <formula>U66&gt;U27</formula>
    </cfRule>
  </conditionalFormatting>
  <conditionalFormatting sqref="W66">
    <cfRule type="expression" dxfId="99" priority="146">
      <formula>(W249+W66)&gt;W55</formula>
    </cfRule>
    <cfRule type="expression" dxfId="98" priority="147">
      <formula>W66&gt;W27</formula>
    </cfRule>
  </conditionalFormatting>
  <conditionalFormatting sqref="Y66">
    <cfRule type="expression" dxfId="97" priority="144">
      <formula>(Y249+Y66)&gt;Y55</formula>
    </cfRule>
    <cfRule type="expression" dxfId="96" priority="145">
      <formula>Y66&gt;Y27</formula>
    </cfRule>
  </conditionalFormatting>
  <conditionalFormatting sqref="AA66">
    <cfRule type="expression" dxfId="95" priority="142">
      <formula>(AA249+AA66)&gt;AA55</formula>
    </cfRule>
    <cfRule type="expression" dxfId="94" priority="143">
      <formula>AA66&gt;AA27</formula>
    </cfRule>
  </conditionalFormatting>
  <conditionalFormatting sqref="L67">
    <cfRule type="expression" dxfId="93" priority="76">
      <formula>L77&gt;L67</formula>
    </cfRule>
    <cfRule type="expression" dxfId="92" priority="140">
      <formula>(L250+L67)&gt;L56</formula>
    </cfRule>
    <cfRule type="expression" dxfId="91" priority="141">
      <formula>L67&gt;L28</formula>
    </cfRule>
  </conditionalFormatting>
  <conditionalFormatting sqref="L68:AA69">
    <cfRule type="expression" dxfId="90" priority="124">
      <formula>(L251+L68)&gt;L57</formula>
    </cfRule>
    <cfRule type="expression" dxfId="89" priority="125">
      <formula>L68&gt;L29</formula>
    </cfRule>
  </conditionalFormatting>
  <conditionalFormatting sqref="AB70">
    <cfRule type="expression" dxfId="88" priority="122">
      <formula>(AB253+AB70)&gt;AB59</formula>
    </cfRule>
    <cfRule type="expression" dxfId="87" priority="123">
      <formula>AB70&gt;AB31</formula>
    </cfRule>
  </conditionalFormatting>
  <conditionalFormatting sqref="O249">
    <cfRule type="expression" dxfId="86" priority="121">
      <formula>(O249+O66)&gt;O55</formula>
    </cfRule>
  </conditionalFormatting>
  <conditionalFormatting sqref="Q249">
    <cfRule type="expression" dxfId="85" priority="120">
      <formula>(Q249+Q66)&gt;Q55</formula>
    </cfRule>
  </conditionalFormatting>
  <conditionalFormatting sqref="S249">
    <cfRule type="expression" dxfId="84" priority="119">
      <formula>(S249+S66)&gt;S55</formula>
    </cfRule>
  </conditionalFormatting>
  <conditionalFormatting sqref="U249">
    <cfRule type="expression" dxfId="83" priority="118">
      <formula>(U249+U66)&gt;U55</formula>
    </cfRule>
  </conditionalFormatting>
  <conditionalFormatting sqref="W249">
    <cfRule type="expression" dxfId="82" priority="117">
      <formula>(W249+W66)&gt;W55</formula>
    </cfRule>
  </conditionalFormatting>
  <conditionalFormatting sqref="Y249">
    <cfRule type="expression" dxfId="81" priority="116">
      <formula>(Y249+Y66)&gt;Y55</formula>
    </cfRule>
  </conditionalFormatting>
  <conditionalFormatting sqref="AA249">
    <cfRule type="expression" dxfId="80" priority="115">
      <formula>(AA249+AA66)&gt;AA55</formula>
    </cfRule>
  </conditionalFormatting>
  <conditionalFormatting sqref="L250">
    <cfRule type="expression" dxfId="79" priority="114">
      <formula>L250&gt;L80</formula>
    </cfRule>
  </conditionalFormatting>
  <conditionalFormatting sqref="L250">
    <cfRule type="expression" dxfId="78" priority="113">
      <formula>(L250+L67)&gt;L56</formula>
    </cfRule>
  </conditionalFormatting>
  <conditionalFormatting sqref="N250">
    <cfRule type="expression" dxfId="77" priority="112">
      <formula>N250&gt;N80</formula>
    </cfRule>
  </conditionalFormatting>
  <conditionalFormatting sqref="N250">
    <cfRule type="expression" dxfId="76" priority="111">
      <formula>(N250+N67)&gt;N56</formula>
    </cfRule>
  </conditionalFormatting>
  <conditionalFormatting sqref="P250">
    <cfRule type="expression" dxfId="75" priority="110">
      <formula>P250&gt;P80</formula>
    </cfRule>
  </conditionalFormatting>
  <conditionalFormatting sqref="P250">
    <cfRule type="expression" dxfId="74" priority="109">
      <formula>(P250+P67)&gt;P56</formula>
    </cfRule>
  </conditionalFormatting>
  <conditionalFormatting sqref="R250">
    <cfRule type="expression" dxfId="73" priority="108">
      <formula>R250&gt;R80</formula>
    </cfRule>
  </conditionalFormatting>
  <conditionalFormatting sqref="R250">
    <cfRule type="expression" dxfId="72" priority="107">
      <formula>(R250+R67)&gt;R56</formula>
    </cfRule>
  </conditionalFormatting>
  <conditionalFormatting sqref="T250">
    <cfRule type="expression" dxfId="71" priority="106">
      <formula>T250&gt;T80</formula>
    </cfRule>
  </conditionalFormatting>
  <conditionalFormatting sqref="T250">
    <cfRule type="expression" dxfId="70" priority="105">
      <formula>(T250+T67)&gt;T56</formula>
    </cfRule>
  </conditionalFormatting>
  <conditionalFormatting sqref="V250">
    <cfRule type="expression" dxfId="69" priority="104">
      <formula>V250&gt;V80</formula>
    </cfRule>
  </conditionalFormatting>
  <conditionalFormatting sqref="V250">
    <cfRule type="expression" dxfId="68" priority="103">
      <formula>(V250+V67)&gt;V56</formula>
    </cfRule>
  </conditionalFormatting>
  <conditionalFormatting sqref="X250">
    <cfRule type="expression" dxfId="67" priority="102">
      <formula>X250&gt;X80</formula>
    </cfRule>
  </conditionalFormatting>
  <conditionalFormatting sqref="X250">
    <cfRule type="expression" dxfId="66" priority="101">
      <formula>(X250+X67)&gt;X56</formula>
    </cfRule>
  </conditionalFormatting>
  <conditionalFormatting sqref="Z250">
    <cfRule type="expression" dxfId="65" priority="100">
      <formula>Z250&gt;Z80</formula>
    </cfRule>
  </conditionalFormatting>
  <conditionalFormatting sqref="Z250">
    <cfRule type="expression" dxfId="64" priority="99">
      <formula>(Z250+Z67)&gt;Z56</formula>
    </cfRule>
  </conditionalFormatting>
  <conditionalFormatting sqref="L251:AA252">
    <cfRule type="expression" dxfId="63" priority="98">
      <formula>L251&gt;L81</formula>
    </cfRule>
  </conditionalFormatting>
  <conditionalFormatting sqref="L251:AA252">
    <cfRule type="expression" dxfId="62" priority="97">
      <formula>(L251+L68)&gt;L57</formula>
    </cfRule>
  </conditionalFormatting>
  <conditionalFormatting sqref="AB253">
    <cfRule type="expression" dxfId="61" priority="96">
      <formula>AB253&gt;AB83</formula>
    </cfRule>
  </conditionalFormatting>
  <conditionalFormatting sqref="AB253">
    <cfRule type="expression" dxfId="60" priority="95">
      <formula>(AB253+AB70)&gt;AB59</formula>
    </cfRule>
  </conditionalFormatting>
  <conditionalFormatting sqref="AB77">
    <cfRule type="cellIs" dxfId="59" priority="78" operator="equal">
      <formula>0</formula>
    </cfRule>
  </conditionalFormatting>
  <conditionalFormatting sqref="L77">
    <cfRule type="expression" dxfId="58" priority="77">
      <formula>L77&gt;L67</formula>
    </cfRule>
  </conditionalFormatting>
  <conditionalFormatting sqref="N77">
    <cfRule type="expression" dxfId="57" priority="75">
      <formula>N77&gt;N67</formula>
    </cfRule>
  </conditionalFormatting>
  <conditionalFormatting sqref="P77">
    <cfRule type="expression" dxfId="56" priority="74">
      <formula>P77&gt;P67</formula>
    </cfRule>
  </conditionalFormatting>
  <conditionalFormatting sqref="R77">
    <cfRule type="expression" dxfId="55" priority="73">
      <formula>R77&gt;R67</formula>
    </cfRule>
  </conditionalFormatting>
  <conditionalFormatting sqref="T77">
    <cfRule type="expression" dxfId="54" priority="72">
      <formula>T77&gt;T67</formula>
    </cfRule>
  </conditionalFormatting>
  <conditionalFormatting sqref="V77">
    <cfRule type="expression" dxfId="53" priority="71">
      <formula>V77&gt;V67</formula>
    </cfRule>
  </conditionalFormatting>
  <conditionalFormatting sqref="X77">
    <cfRule type="expression" dxfId="52" priority="70">
      <formula>X77&gt;X67</formula>
    </cfRule>
  </conditionalFormatting>
  <conditionalFormatting sqref="Z77">
    <cfRule type="expression" dxfId="51" priority="69">
      <formula>Z77&gt;Z67</formula>
    </cfRule>
  </conditionalFormatting>
  <conditionalFormatting sqref="N67">
    <cfRule type="expression" dxfId="50" priority="66">
      <formula>N77&gt;N67</formula>
    </cfRule>
    <cfRule type="expression" dxfId="49" priority="67">
      <formula>(N250+N67)&gt;N56</formula>
    </cfRule>
    <cfRule type="expression" dxfId="48" priority="68">
      <formula>N67&gt;N28</formula>
    </cfRule>
  </conditionalFormatting>
  <conditionalFormatting sqref="P67">
    <cfRule type="expression" dxfId="47" priority="63">
      <formula>P77&gt;P67</formula>
    </cfRule>
    <cfRule type="expression" dxfId="46" priority="64">
      <formula>(P250+P67)&gt;P56</formula>
    </cfRule>
    <cfRule type="expression" dxfId="45" priority="65">
      <formula>P67&gt;P28</formula>
    </cfRule>
  </conditionalFormatting>
  <conditionalFormatting sqref="R67">
    <cfRule type="expression" dxfId="44" priority="60">
      <formula>R77&gt;R67</formula>
    </cfRule>
    <cfRule type="expression" dxfId="43" priority="61">
      <formula>(R250+R67)&gt;R56</formula>
    </cfRule>
    <cfRule type="expression" dxfId="42" priority="62">
      <formula>R67&gt;R28</formula>
    </cfRule>
  </conditionalFormatting>
  <conditionalFormatting sqref="T67">
    <cfRule type="expression" dxfId="41" priority="57">
      <formula>T77&gt;T67</formula>
    </cfRule>
    <cfRule type="expression" dxfId="40" priority="58">
      <formula>(T250+T67)&gt;T56</formula>
    </cfRule>
    <cfRule type="expression" dxfId="39" priority="59">
      <formula>T67&gt;T28</formula>
    </cfRule>
  </conditionalFormatting>
  <conditionalFormatting sqref="V67">
    <cfRule type="expression" dxfId="38" priority="54">
      <formula>V77&gt;V67</formula>
    </cfRule>
    <cfRule type="expression" dxfId="37" priority="55">
      <formula>(V250+V67)&gt;V56</formula>
    </cfRule>
    <cfRule type="expression" dxfId="36" priority="56">
      <formula>V67&gt;V28</formula>
    </cfRule>
  </conditionalFormatting>
  <conditionalFormatting sqref="X67">
    <cfRule type="expression" dxfId="35" priority="51">
      <formula>X77&gt;X67</formula>
    </cfRule>
    <cfRule type="expression" dxfId="34" priority="52">
      <formula>(X250+X67)&gt;X56</formula>
    </cfRule>
    <cfRule type="expression" dxfId="33" priority="53">
      <formula>X67&gt;X28</formula>
    </cfRule>
  </conditionalFormatting>
  <conditionalFormatting sqref="Z67">
    <cfRule type="expression" dxfId="32" priority="48">
      <formula>Z77&gt;Z67</formula>
    </cfRule>
    <cfRule type="expression" dxfId="31" priority="49">
      <formula>(Z250+Z67)&gt;Z56</formula>
    </cfRule>
    <cfRule type="expression" dxfId="30" priority="50">
      <formula>Z67&gt;Z28</formula>
    </cfRule>
  </conditionalFormatting>
  <conditionalFormatting sqref="L24:AA24">
    <cfRule type="cellIs" dxfId="29" priority="33" operator="equal">
      <formula>0</formula>
    </cfRule>
  </conditionalFormatting>
  <conditionalFormatting sqref="N25">
    <cfRule type="cellIs" dxfId="28" priority="30" operator="equal">
      <formula>0</formula>
    </cfRule>
    <cfRule type="expression" dxfId="27" priority="31">
      <formula>(N32+N33+N34)&gt;N25</formula>
    </cfRule>
  </conditionalFormatting>
  <conditionalFormatting sqref="P25">
    <cfRule type="cellIs" dxfId="26" priority="28" operator="equal">
      <formula>0</formula>
    </cfRule>
    <cfRule type="expression" dxfId="25" priority="29">
      <formula>(P32+P33+P34)&gt;P25</formula>
    </cfRule>
  </conditionalFormatting>
  <conditionalFormatting sqref="R25">
    <cfRule type="cellIs" dxfId="24" priority="26" operator="equal">
      <formula>0</formula>
    </cfRule>
    <cfRule type="expression" dxfId="23" priority="27">
      <formula>(R32+R33+R34)&gt;R25</formula>
    </cfRule>
  </conditionalFormatting>
  <conditionalFormatting sqref="T25">
    <cfRule type="cellIs" dxfId="22" priority="24" operator="equal">
      <formula>0</formula>
    </cfRule>
    <cfRule type="expression" dxfId="21" priority="25">
      <formula>(T32+T33+T34)&gt;T25</formula>
    </cfRule>
  </conditionalFormatting>
  <conditionalFormatting sqref="V25">
    <cfRule type="cellIs" dxfId="20" priority="22" operator="equal">
      <formula>0</formula>
    </cfRule>
    <cfRule type="expression" dxfId="19" priority="23">
      <formula>(V32+V33+V34)&gt;V25</formula>
    </cfRule>
  </conditionalFormatting>
  <conditionalFormatting sqref="X25">
    <cfRule type="cellIs" dxfId="18" priority="20" operator="equal">
      <formula>0</formula>
    </cfRule>
    <cfRule type="expression" dxfId="17" priority="21">
      <formula>(X32+X33+X34)&gt;X25</formula>
    </cfRule>
  </conditionalFormatting>
  <conditionalFormatting sqref="Z25">
    <cfRule type="cellIs" dxfId="16" priority="18" operator="equal">
      <formula>0</formula>
    </cfRule>
    <cfRule type="expression" dxfId="15" priority="19">
      <formula>(Z32+Z33+Z34)&gt;Z25</formula>
    </cfRule>
  </conditionalFormatting>
  <conditionalFormatting sqref="O27">
    <cfRule type="cellIs" dxfId="14" priority="14" operator="equal">
      <formula>0</formula>
    </cfRule>
    <cfRule type="expression" dxfId="13" priority="15">
      <formula>(O38+O39+O40)&gt;O27</formula>
    </cfRule>
  </conditionalFormatting>
  <conditionalFormatting sqref="Q27">
    <cfRule type="cellIs" dxfId="12" priority="12" operator="equal">
      <formula>0</formula>
    </cfRule>
    <cfRule type="expression" dxfId="11" priority="13">
      <formula>(Q38+Q39+Q40)&gt;Q27</formula>
    </cfRule>
  </conditionalFormatting>
  <conditionalFormatting sqref="S27">
    <cfRule type="cellIs" dxfId="10" priority="10" operator="equal">
      <formula>0</formula>
    </cfRule>
    <cfRule type="expression" dxfId="9" priority="11">
      <formula>(S38+S39+S40)&gt;S27</formula>
    </cfRule>
  </conditionalFormatting>
  <conditionalFormatting sqref="U27">
    <cfRule type="cellIs" dxfId="8" priority="8" operator="equal">
      <formula>0</formula>
    </cfRule>
    <cfRule type="expression" dxfId="7" priority="9">
      <formula>(U38+U39+U40)&gt;U27</formula>
    </cfRule>
  </conditionalFormatting>
  <conditionalFormatting sqref="W27">
    <cfRule type="cellIs" dxfId="6" priority="6" operator="equal">
      <formula>0</formula>
    </cfRule>
    <cfRule type="expression" dxfId="5" priority="7">
      <formula>(W38+W39+W40)&gt;W27</formula>
    </cfRule>
  </conditionalFormatting>
  <conditionalFormatting sqref="Y27">
    <cfRule type="cellIs" dxfId="4" priority="4" operator="equal">
      <formula>0</formula>
    </cfRule>
    <cfRule type="expression" dxfId="3" priority="5">
      <formula>(Y38+Y39+Y40)&gt;Y27</formula>
    </cfRule>
  </conditionalFormatting>
  <conditionalFormatting sqref="AA27">
    <cfRule type="cellIs" dxfId="2" priority="2" operator="equal">
      <formula>0</formula>
    </cfRule>
    <cfRule type="expression" dxfId="1" priority="3">
      <formula>(AA38+AA39+AA40)&gt;AA27</formula>
    </cfRule>
  </conditionalFormatting>
  <conditionalFormatting sqref="L28:AA28">
    <cfRule type="cellIs" dxfId="0" priority="1" operator="equal">
      <formula>0</formula>
    </cfRule>
  </conditionalFormatting>
  <dataValidations count="1">
    <dataValidation type="whole" allowBlank="1" showInputMessage="1" showErrorMessage="1" errorTitle="Non-Numeric or abnormal value" error="Enter Numbers only between 0 and 99999" sqref="D8:AA18 D89:AB89 AB18 AB309 AB11 AB292 AB170:AB171 AB351 D161:AA166 AB337 AB323 D337:AA349 M209:AA213 D323:AA335 D309:AA321 D292:AA307 AB72 AB118:AB121 AB59 AB24:AB28 M193:AB193 N65:AB65 D170:AA184 D270:AA278 AB150:AB157 M207:AB208 AB200 D200:AA205 M194:AA198 M228:AA232 M227:AB227 D249:AA257 E186:AB186 M214:AB214 AB220:AB221 D193:L198 M215:AA226 D280:AA288 D186:D191 E187:AA191 D207:L232 D114:AA157 E234:AB234 D351:AA357 D234:D246 E235:AA246 D90:AA104 AB70 D45:AA53 D79:AA87 N66:AA70 D108:AA110 D259:AA267 AB49 D55:AA63 D72:AA77 D65:M70 AB253 D24:AA43">
      <formula1>0</formula1>
      <formula2>99999</formula2>
    </dataValidation>
  </dataValidations>
  <pageMargins left="0.511811023622047" right="7.8740157480315001E-2" top="0.196850393700787" bottom="0.196850393700787" header="0.2" footer="0.118110236220472"/>
  <pageSetup scale="26" fitToHeight="0" orientation="portrait" r:id="rId1"/>
  <headerFooter>
    <oddFooter>&amp;R&amp;P</oddFooter>
  </headerFooter>
  <rowBreaks count="1" manualBreakCount="1">
    <brk id="154" max="16383" man="1"/>
  </rowBreaks>
  <ignoredErrors>
    <ignoredError sqref="J19"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757ECA-E322-4B4F-A80B-F429838D8BF7}">
  <ds:schemaRefs>
    <ds:schemaRef ds:uri="http://schemas.microsoft.com/office/2006/documentManagement/types"/>
    <ds:schemaRef ds:uri="dac3fa0a-9923-49c3-b4ba-df6390fa58ea"/>
    <ds:schemaRef ds:uri="http://schemas.openxmlformats.org/package/2006/metadata/core-properties"/>
    <ds:schemaRef ds:uri="http://purl.org/dc/elements/1.1/"/>
    <ds:schemaRef ds:uri="http://schemas.microsoft.com/office/infopath/2007/PartnerControls"/>
    <ds:schemaRef ds:uri="1ed6e237-7a44-4d6d-bfbc-e270d277b5ad"/>
    <ds:schemaRef ds:uri="http://purl.org/dc/terms/"/>
    <ds:schemaRef ds:uri="http://schemas.microsoft.com/sharepoint/v3"/>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 Maingi</dc:creator>
  <cp:lastModifiedBy>Emmanuel Kaunda</cp:lastModifiedBy>
  <cp:lastPrinted>2020-06-04T19:13:43Z</cp:lastPrinted>
  <dcterms:created xsi:type="dcterms:W3CDTF">2018-10-31T09:45:26Z</dcterms:created>
  <dcterms:modified xsi:type="dcterms:W3CDTF">2024-04-15T06:37:36Z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